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U:\Collaboration\Tax Processes\Delinquent Lists\2026\PRODUCTION RUN\RE\"/>
    </mc:Choice>
  </mc:AlternateContent>
  <xr:revisionPtr revIDLastSave="0" documentId="8_{5F97F81F-453A-446C-B129-2E944443F012}" xr6:coauthVersionLast="47" xr6:coauthVersionMax="47" xr10:uidLastSave="{00000000-0000-0000-0000-000000000000}"/>
  <bookViews>
    <workbookView xWindow="30612" yWindow="-108" windowWidth="23256" windowHeight="12456" xr2:uid="{3A8E1625-8A89-4972-8901-F181871E1C1C}"/>
  </bookViews>
  <sheets>
    <sheet name="RP_OH_ADVERTISINGLIST_1428809 (" sheetId="1" r:id="rId1"/>
  </sheets>
  <calcPr calcId="0"/>
</workbook>
</file>

<file path=xl/calcChain.xml><?xml version="1.0" encoding="utf-8"?>
<calcChain xmlns="http://schemas.openxmlformats.org/spreadsheetml/2006/main">
  <c r="B13299" i="1" l="1"/>
  <c r="A2768" i="1"/>
  <c r="B2768" i="1"/>
  <c r="C2768" i="1"/>
  <c r="A12637" i="1"/>
  <c r="B12637" i="1"/>
  <c r="C12637" i="1"/>
  <c r="A8933" i="1"/>
  <c r="B8933" i="1"/>
  <c r="C8933" i="1"/>
  <c r="A1627" i="1"/>
  <c r="B1627" i="1"/>
  <c r="C1627" i="1"/>
  <c r="A11687" i="1"/>
  <c r="B11687" i="1"/>
  <c r="C11687" i="1"/>
  <c r="A8768" i="1"/>
  <c r="B8768" i="1"/>
  <c r="C8768" i="1"/>
  <c r="A3517" i="1"/>
  <c r="B3517" i="1"/>
  <c r="C3517" i="1"/>
  <c r="A7623" i="1"/>
  <c r="B7623" i="1"/>
  <c r="C7623" i="1"/>
  <c r="A5999" i="1"/>
  <c r="B5999" i="1"/>
  <c r="C5999" i="1"/>
  <c r="A5748" i="1"/>
  <c r="B5748" i="1"/>
  <c r="C5748" i="1"/>
  <c r="A6573" i="1"/>
  <c r="B6573" i="1"/>
  <c r="C6573" i="1"/>
  <c r="A11451" i="1"/>
  <c r="B11451" i="1"/>
  <c r="C11451" i="1"/>
  <c r="A4405" i="1"/>
  <c r="B4405" i="1"/>
  <c r="C4405" i="1"/>
  <c r="A1228" i="1"/>
  <c r="B1228" i="1"/>
  <c r="C1228" i="1"/>
  <c r="A8874" i="1"/>
  <c r="B8874" i="1"/>
  <c r="C8874" i="1"/>
  <c r="A5060" i="1"/>
  <c r="B5060" i="1"/>
  <c r="C5060" i="1"/>
  <c r="A4609" i="1"/>
  <c r="B4609" i="1"/>
  <c r="C4609" i="1"/>
  <c r="A10438" i="1"/>
  <c r="B10438" i="1"/>
  <c r="C10438" i="1"/>
  <c r="A9014" i="1"/>
  <c r="B9014" i="1"/>
  <c r="C9014" i="1"/>
  <c r="A1886" i="1"/>
  <c r="B1886" i="1"/>
  <c r="C1886" i="1"/>
  <c r="A3511" i="1"/>
  <c r="B3511" i="1"/>
  <c r="C3511" i="1"/>
  <c r="A12174" i="1"/>
  <c r="B12174" i="1"/>
  <c r="C12174" i="1"/>
  <c r="A9016" i="1"/>
  <c r="B9016" i="1"/>
  <c r="C9016" i="1"/>
  <c r="A865" i="1"/>
  <c r="B865" i="1"/>
  <c r="C865" i="1"/>
  <c r="A11161" i="1"/>
  <c r="B11161" i="1"/>
  <c r="C11161" i="1"/>
  <c r="A8299" i="1"/>
  <c r="B8299" i="1"/>
  <c r="C8299" i="1"/>
  <c r="A3267" i="1"/>
  <c r="B3267" i="1"/>
  <c r="C3267" i="1"/>
  <c r="A3600" i="1"/>
  <c r="B3600" i="1"/>
  <c r="C3600" i="1"/>
  <c r="A7311" i="1"/>
  <c r="B7311" i="1"/>
  <c r="C7311" i="1"/>
  <c r="A5743" i="1"/>
  <c r="B5743" i="1"/>
  <c r="C5743" i="1"/>
  <c r="A10232" i="1"/>
  <c r="B10232" i="1"/>
  <c r="C10232" i="1"/>
  <c r="A7672" i="1"/>
  <c r="B7672" i="1"/>
  <c r="C7672" i="1"/>
  <c r="A8164" i="1"/>
  <c r="B8164" i="1"/>
  <c r="C8164" i="1"/>
  <c r="A7013" i="1"/>
  <c r="B7013" i="1"/>
  <c r="C7013" i="1"/>
  <c r="A517" i="1"/>
  <c r="B517" i="1"/>
  <c r="C517" i="1"/>
  <c r="A13334" i="1"/>
  <c r="B13334" i="1"/>
  <c r="C13334" i="1"/>
  <c r="A4599" i="1"/>
  <c r="B4599" i="1"/>
  <c r="C4599" i="1"/>
  <c r="A8533" i="1"/>
  <c r="B8533" i="1"/>
  <c r="C8533" i="1"/>
  <c r="A1455" i="1"/>
  <c r="B1455" i="1"/>
  <c r="C1455" i="1"/>
  <c r="A8534" i="1"/>
  <c r="B8534" i="1"/>
  <c r="C8534" i="1"/>
  <c r="A7673" i="1"/>
  <c r="B7673" i="1"/>
  <c r="C7673" i="1"/>
  <c r="A12781" i="1"/>
  <c r="B12781" i="1"/>
  <c r="C12781" i="1"/>
  <c r="A4615" i="1"/>
  <c r="B4615" i="1"/>
  <c r="C4615" i="1"/>
  <c r="A7674" i="1"/>
  <c r="B7674" i="1"/>
  <c r="C7674" i="1"/>
  <c r="A6610" i="1"/>
  <c r="B6610" i="1"/>
  <c r="C6610" i="1"/>
  <c r="A13240" i="1"/>
  <c r="B13240" i="1"/>
  <c r="C13240" i="1"/>
  <c r="A8535" i="1"/>
  <c r="B8535" i="1"/>
  <c r="C8535" i="1"/>
  <c r="A10362" i="1"/>
  <c r="B10362" i="1"/>
  <c r="C10362" i="1"/>
  <c r="A125" i="1"/>
  <c r="B125" i="1"/>
  <c r="C125" i="1"/>
  <c r="A12476" i="1"/>
  <c r="B12476" i="1"/>
  <c r="C12476" i="1"/>
  <c r="A13645" i="1"/>
  <c r="B13645" i="1"/>
  <c r="C13645" i="1"/>
  <c r="A10085" i="1"/>
  <c r="B10085" i="1"/>
  <c r="C10085" i="1"/>
  <c r="A11395" i="1"/>
  <c r="B11395" i="1"/>
  <c r="C11395" i="1"/>
  <c r="A1456" i="1"/>
  <c r="B1456" i="1"/>
  <c r="C1456" i="1"/>
  <c r="A2694" i="1"/>
  <c r="B2694" i="1"/>
  <c r="C2694" i="1"/>
  <c r="A2950" i="1"/>
  <c r="B2950" i="1"/>
  <c r="C2950" i="1"/>
  <c r="A2941" i="1"/>
  <c r="B2941" i="1"/>
  <c r="C2941" i="1"/>
  <c r="A817" i="1"/>
  <c r="B817" i="1"/>
  <c r="C817" i="1"/>
  <c r="A9166" i="1"/>
  <c r="B9166" i="1"/>
  <c r="C9166" i="1"/>
  <c r="A11836" i="1"/>
  <c r="B11836" i="1"/>
  <c r="C11836" i="1"/>
  <c r="A910" i="1"/>
  <c r="B910" i="1"/>
  <c r="C910" i="1"/>
  <c r="A6455" i="1"/>
  <c r="B6455" i="1"/>
  <c r="C6455" i="1"/>
  <c r="A11837" i="1"/>
  <c r="B11837" i="1"/>
  <c r="C11837" i="1"/>
  <c r="A5059" i="1"/>
  <c r="B5059" i="1"/>
  <c r="C5059" i="1"/>
  <c r="A7281" i="1"/>
  <c r="B7281" i="1"/>
  <c r="C7281" i="1"/>
  <c r="A2381" i="1"/>
  <c r="B2381" i="1"/>
  <c r="C2381" i="1"/>
  <c r="A6022" i="1"/>
  <c r="B6022" i="1"/>
  <c r="C6022" i="1"/>
  <c r="A2708" i="1"/>
  <c r="B2708" i="1"/>
  <c r="C2708" i="1"/>
  <c r="A2095" i="1"/>
  <c r="B2095" i="1"/>
  <c r="C2095" i="1"/>
  <c r="A262" i="1"/>
  <c r="B262" i="1"/>
  <c r="C262" i="1"/>
  <c r="A4955" i="1"/>
  <c r="B4955" i="1"/>
  <c r="C4955" i="1"/>
  <c r="A10192" i="1"/>
  <c r="B10192" i="1"/>
  <c r="C10192" i="1"/>
  <c r="A2005" i="1"/>
  <c r="B2005" i="1"/>
  <c r="C2005" i="1"/>
  <c r="A13355" i="1"/>
  <c r="B13355" i="1"/>
  <c r="C13355" i="1"/>
  <c r="A12705" i="1"/>
  <c r="B12705" i="1"/>
  <c r="C12705" i="1"/>
  <c r="A3528" i="1"/>
  <c r="B3528" i="1"/>
  <c r="C3528" i="1"/>
  <c r="A12673" i="1"/>
  <c r="B12673" i="1"/>
  <c r="C12673" i="1"/>
  <c r="A11127" i="1"/>
  <c r="B11127" i="1"/>
  <c r="C11127" i="1"/>
  <c r="A5818" i="1"/>
  <c r="B5818" i="1"/>
  <c r="C5818" i="1"/>
  <c r="A8839" i="1"/>
  <c r="B8839" i="1"/>
  <c r="C8839" i="1"/>
  <c r="A1335" i="1"/>
  <c r="B1335" i="1"/>
  <c r="C1335" i="1"/>
  <c r="A5560" i="1"/>
  <c r="B5560" i="1"/>
  <c r="C5560" i="1"/>
  <c r="A8481" i="1"/>
  <c r="B8481" i="1"/>
  <c r="C8481" i="1"/>
  <c r="A11052" i="1"/>
  <c r="B11052" i="1"/>
  <c r="C11052" i="1"/>
  <c r="A9748" i="1"/>
  <c r="B9748" i="1"/>
  <c r="C9748" i="1"/>
  <c r="A6840" i="1"/>
  <c r="B6840" i="1"/>
  <c r="C6840" i="1"/>
  <c r="A6929" i="1"/>
  <c r="B6929" i="1"/>
  <c r="C6929" i="1"/>
  <c r="A8536" i="1"/>
  <c r="B8536" i="1"/>
  <c r="C8536" i="1"/>
  <c r="A367" i="1"/>
  <c r="B367" i="1"/>
  <c r="C367" i="1"/>
  <c r="A9908" i="1"/>
  <c r="B9908" i="1"/>
  <c r="C9908" i="1"/>
  <c r="A3714" i="1"/>
  <c r="B3714" i="1"/>
  <c r="C3714" i="1"/>
  <c r="A13411" i="1"/>
  <c r="B13411" i="1"/>
  <c r="C13411" i="1"/>
  <c r="A8264" i="1"/>
  <c r="B8264" i="1"/>
  <c r="C8264" i="1"/>
  <c r="A3364" i="1"/>
  <c r="B3364" i="1"/>
  <c r="C3364" i="1"/>
  <c r="A11349" i="1"/>
  <c r="B11349" i="1"/>
  <c r="C11349" i="1"/>
  <c r="A13230" i="1"/>
  <c r="B13230" i="1"/>
  <c r="C13230" i="1"/>
  <c r="A7930" i="1"/>
  <c r="B7930" i="1"/>
  <c r="C7930" i="1"/>
  <c r="A1611" i="1"/>
  <c r="B1611" i="1"/>
  <c r="C1611" i="1"/>
  <c r="A6363" i="1"/>
  <c r="B6363" i="1"/>
  <c r="C6363" i="1"/>
  <c r="A390" i="1"/>
  <c r="B390" i="1"/>
  <c r="C390" i="1"/>
  <c r="A13763" i="1"/>
  <c r="B13763" i="1"/>
  <c r="C13763" i="1"/>
  <c r="A1058" i="1"/>
  <c r="B1058" i="1"/>
  <c r="C1058" i="1"/>
  <c r="A2624" i="1"/>
  <c r="B2624" i="1"/>
  <c r="C2624" i="1"/>
  <c r="A2414" i="1"/>
  <c r="B2414" i="1"/>
  <c r="C2414" i="1"/>
  <c r="A9470" i="1"/>
  <c r="B9470" i="1"/>
  <c r="C9470" i="1"/>
  <c r="A6530" i="1"/>
  <c r="B6530" i="1"/>
  <c r="C6530" i="1"/>
  <c r="A13777" i="1"/>
  <c r="B13777" i="1"/>
  <c r="C13777" i="1"/>
  <c r="A2131" i="1"/>
  <c r="B2131" i="1"/>
  <c r="C2131" i="1"/>
  <c r="A6744" i="1"/>
  <c r="B6744" i="1"/>
  <c r="C6744" i="1"/>
  <c r="A10370" i="1"/>
  <c r="B10370" i="1"/>
  <c r="C10370" i="1"/>
  <c r="A6801" i="1"/>
  <c r="B6801" i="1"/>
  <c r="C6801" i="1"/>
  <c r="A8150" i="1"/>
  <c r="B8150" i="1"/>
  <c r="C8150" i="1"/>
  <c r="A13638" i="1"/>
  <c r="B13638" i="1"/>
  <c r="C13638" i="1"/>
  <c r="A13227" i="1"/>
  <c r="B13227" i="1"/>
  <c r="C13227" i="1"/>
  <c r="A9116" i="1"/>
  <c r="B9116" i="1"/>
  <c r="C9116" i="1"/>
  <c r="A2492" i="1"/>
  <c r="B2492" i="1"/>
  <c r="C2492" i="1"/>
  <c r="A9167" i="1"/>
  <c r="B9167" i="1"/>
  <c r="C9167" i="1"/>
  <c r="A9168" i="1"/>
  <c r="B9168" i="1"/>
  <c r="C9168" i="1"/>
  <c r="A8705" i="1"/>
  <c r="B8705" i="1"/>
  <c r="C8705" i="1"/>
  <c r="A8851" i="1"/>
  <c r="B8851" i="1"/>
  <c r="C8851" i="1"/>
  <c r="A8973" i="1"/>
  <c r="B8973" i="1"/>
  <c r="C8973" i="1"/>
  <c r="A9873" i="1"/>
  <c r="B9873" i="1"/>
  <c r="C9873" i="1"/>
  <c r="A1147" i="1"/>
  <c r="B1147" i="1"/>
  <c r="C1147" i="1"/>
  <c r="A11522" i="1"/>
  <c r="B11522" i="1"/>
  <c r="C11522" i="1"/>
  <c r="A5007" i="1"/>
  <c r="B5007" i="1"/>
  <c r="C5007" i="1"/>
  <c r="A8939" i="1"/>
  <c r="B8939" i="1"/>
  <c r="C8939" i="1"/>
  <c r="A6576" i="1"/>
  <c r="B6576" i="1"/>
  <c r="C6576" i="1"/>
  <c r="A11058" i="1"/>
  <c r="B11058" i="1"/>
  <c r="C11058" i="1"/>
  <c r="A9811" i="1"/>
  <c r="B9811" i="1"/>
  <c r="C9811" i="1"/>
  <c r="A4830" i="1"/>
  <c r="B4830" i="1"/>
  <c r="C4830" i="1"/>
  <c r="A6059" i="1"/>
  <c r="B6059" i="1"/>
  <c r="C6059" i="1"/>
  <c r="A3918" i="1"/>
  <c r="B3918" i="1"/>
  <c r="C3918" i="1"/>
  <c r="A7757" i="1"/>
  <c r="B7757" i="1"/>
  <c r="C7757" i="1"/>
  <c r="A6082" i="1"/>
  <c r="B6082" i="1"/>
  <c r="C6082" i="1"/>
  <c r="A9178" i="1"/>
  <c r="B9178" i="1"/>
  <c r="C9178" i="1"/>
  <c r="A10585" i="1"/>
  <c r="B10585" i="1"/>
  <c r="C10585" i="1"/>
  <c r="A63" i="1"/>
  <c r="B63" i="1"/>
  <c r="C63" i="1"/>
  <c r="A4793" i="1"/>
  <c r="B4793" i="1"/>
  <c r="C4793" i="1"/>
  <c r="A7919" i="1"/>
  <c r="B7919" i="1"/>
  <c r="C7919" i="1"/>
  <c r="A3495" i="1"/>
  <c r="B3495" i="1"/>
  <c r="C3495" i="1"/>
  <c r="A8377" i="1"/>
  <c r="B8377" i="1"/>
  <c r="C8377" i="1"/>
  <c r="A12856" i="1"/>
  <c r="B12856" i="1"/>
  <c r="C12856" i="1"/>
  <c r="A12595" i="1"/>
  <c r="B12595" i="1"/>
  <c r="C12595" i="1"/>
  <c r="A12038" i="1"/>
  <c r="B12038" i="1"/>
  <c r="C12038" i="1"/>
  <c r="A12843" i="1"/>
  <c r="B12843" i="1"/>
  <c r="C12843" i="1"/>
  <c r="A5220" i="1"/>
  <c r="B5220" i="1"/>
  <c r="C5220" i="1"/>
  <c r="A13303" i="1"/>
  <c r="B13303" i="1"/>
  <c r="C13303" i="1"/>
  <c r="A1850" i="1"/>
  <c r="B1850" i="1"/>
  <c r="C1850" i="1"/>
  <c r="A975" i="1"/>
  <c r="B975" i="1"/>
  <c r="C975" i="1"/>
  <c r="A535" i="1"/>
  <c r="B535" i="1"/>
  <c r="C535" i="1"/>
  <c r="A9866" i="1"/>
  <c r="B9866" i="1"/>
  <c r="C9866" i="1"/>
  <c r="A10053" i="1"/>
  <c r="B10053" i="1"/>
  <c r="C10053" i="1"/>
  <c r="A9243" i="1"/>
  <c r="B9243" i="1"/>
  <c r="C9243" i="1"/>
  <c r="A10889" i="1"/>
  <c r="B10889" i="1"/>
  <c r="C10889" i="1"/>
  <c r="A4334" i="1"/>
  <c r="B4334" i="1"/>
  <c r="C4334" i="1"/>
  <c r="A10291" i="1"/>
  <c r="B10291" i="1"/>
  <c r="C10291" i="1"/>
  <c r="A8833" i="1"/>
  <c r="B8833" i="1"/>
  <c r="C8833" i="1"/>
  <c r="A9026" i="1"/>
  <c r="B9026" i="1"/>
  <c r="C9026" i="1"/>
  <c r="A17" i="1"/>
  <c r="B17" i="1"/>
  <c r="C17" i="1"/>
  <c r="A12200" i="1"/>
  <c r="B12200" i="1"/>
  <c r="C12200" i="1"/>
  <c r="A10908" i="1"/>
  <c r="B10908" i="1"/>
  <c r="C10908" i="1"/>
  <c r="A12769" i="1"/>
  <c r="B12769" i="1"/>
  <c r="C12769" i="1"/>
  <c r="A3136" i="1"/>
  <c r="B3136" i="1"/>
  <c r="C3136" i="1"/>
  <c r="A5586" i="1"/>
  <c r="B5586" i="1"/>
  <c r="C5586" i="1"/>
  <c r="A4871" i="1"/>
  <c r="B4871" i="1"/>
  <c r="C4871" i="1"/>
  <c r="A12462" i="1"/>
  <c r="B12462" i="1"/>
  <c r="C12462" i="1"/>
  <c r="A8309" i="1"/>
  <c r="B8309" i="1"/>
  <c r="C8309" i="1"/>
  <c r="A2977" i="1"/>
  <c r="B2977" i="1"/>
  <c r="C2977" i="1"/>
  <c r="A10071" i="1"/>
  <c r="B10071" i="1"/>
  <c r="C10071" i="1"/>
  <c r="A9734" i="1"/>
  <c r="B9734" i="1"/>
  <c r="C9734" i="1"/>
  <c r="A13834" i="1"/>
  <c r="B13834" i="1"/>
  <c r="C13834" i="1"/>
  <c r="A12298" i="1"/>
  <c r="B12298" i="1"/>
  <c r="C12298" i="1"/>
  <c r="A10523" i="1"/>
  <c r="B10523" i="1"/>
  <c r="C10523" i="1"/>
  <c r="A178" i="1"/>
  <c r="B178" i="1"/>
  <c r="C178" i="1"/>
  <c r="A13160" i="1"/>
  <c r="B13160" i="1"/>
  <c r="C13160" i="1"/>
  <c r="A7567" i="1"/>
  <c r="B7567" i="1"/>
  <c r="C7567" i="1"/>
  <c r="A12962" i="1"/>
  <c r="B12962" i="1"/>
  <c r="C12962" i="1"/>
  <c r="A5330" i="1"/>
  <c r="B5330" i="1"/>
  <c r="C5330" i="1"/>
  <c r="A6200" i="1"/>
  <c r="B6200" i="1"/>
  <c r="C6200" i="1"/>
  <c r="A13578" i="1"/>
  <c r="B13578" i="1"/>
  <c r="C13578" i="1"/>
  <c r="A5861" i="1"/>
  <c r="B5861" i="1"/>
  <c r="C5861" i="1"/>
  <c r="A4962" i="1"/>
  <c r="B4962" i="1"/>
  <c r="C4962" i="1"/>
  <c r="A2690" i="1"/>
  <c r="B2690" i="1"/>
  <c r="C2690" i="1"/>
  <c r="A6364" i="1"/>
  <c r="B6364" i="1"/>
  <c r="C6364" i="1"/>
  <c r="A5899" i="1"/>
  <c r="B5899" i="1"/>
  <c r="C5899" i="1"/>
  <c r="A3704" i="1"/>
  <c r="B3704" i="1"/>
  <c r="C3704" i="1"/>
  <c r="A4583" i="1"/>
  <c r="B4583" i="1"/>
  <c r="C4583" i="1"/>
  <c r="A4548" i="1"/>
  <c r="B4548" i="1"/>
  <c r="C4548" i="1"/>
  <c r="A1994" i="1"/>
  <c r="B1994" i="1"/>
  <c r="C1994" i="1"/>
  <c r="A4446" i="1"/>
  <c r="B4446" i="1"/>
  <c r="C4446" i="1"/>
  <c r="A2071" i="1"/>
  <c r="B2071" i="1"/>
  <c r="C2071" i="1"/>
  <c r="A1685" i="1"/>
  <c r="B1685" i="1"/>
  <c r="C1685" i="1"/>
  <c r="A5489" i="1"/>
  <c r="B5489" i="1"/>
  <c r="C5489" i="1"/>
  <c r="A2220" i="1"/>
  <c r="B2220" i="1"/>
  <c r="C2220" i="1"/>
  <c r="A4763" i="1"/>
  <c r="B4763" i="1"/>
  <c r="C4763" i="1"/>
  <c r="A13005" i="1"/>
  <c r="B13005" i="1"/>
  <c r="C13005" i="1"/>
  <c r="A4719" i="1"/>
  <c r="B4719" i="1"/>
  <c r="C4719" i="1"/>
  <c r="A913" i="1"/>
  <c r="B913" i="1"/>
  <c r="C913" i="1"/>
  <c r="A12059" i="1"/>
  <c r="B12059" i="1"/>
  <c r="C12059" i="1"/>
  <c r="A1493" i="1"/>
  <c r="B1493" i="1"/>
  <c r="C1493" i="1"/>
  <c r="A10468" i="1"/>
  <c r="B10468" i="1"/>
  <c r="C10468" i="1"/>
  <c r="A8875" i="1"/>
  <c r="B8875" i="1"/>
  <c r="C8875" i="1"/>
  <c r="A734" i="1"/>
  <c r="B734" i="1"/>
  <c r="C734" i="1"/>
  <c r="A3477" i="1"/>
  <c r="B3477" i="1"/>
  <c r="C3477" i="1"/>
  <c r="A12770" i="1"/>
  <c r="B12770" i="1"/>
  <c r="C12770" i="1"/>
  <c r="A9330" i="1"/>
  <c r="B9330" i="1"/>
  <c r="C9330" i="1"/>
  <c r="A12317" i="1"/>
  <c r="B12317" i="1"/>
  <c r="C12317" i="1"/>
  <c r="A5252" i="1"/>
  <c r="B5252" i="1"/>
  <c r="C5252" i="1"/>
  <c r="A3598" i="1"/>
  <c r="B3598" i="1"/>
  <c r="C3598" i="1"/>
  <c r="A9120" i="1"/>
  <c r="B9120" i="1"/>
  <c r="C9120" i="1"/>
  <c r="A8998" i="1"/>
  <c r="B8998" i="1"/>
  <c r="C8998" i="1"/>
  <c r="A12697" i="1"/>
  <c r="B12697" i="1"/>
  <c r="C12697" i="1"/>
  <c r="A2902" i="1"/>
  <c r="B2902" i="1"/>
  <c r="C2902" i="1"/>
  <c r="A7574" i="1"/>
  <c r="B7574" i="1"/>
  <c r="C7574" i="1"/>
  <c r="A2192" i="1"/>
  <c r="B2192" i="1"/>
  <c r="C2192" i="1"/>
  <c r="A2739" i="1"/>
  <c r="B2739" i="1"/>
  <c r="C2739" i="1"/>
  <c r="A10426" i="1"/>
  <c r="B10426" i="1"/>
  <c r="C10426" i="1"/>
  <c r="A10404" i="1"/>
  <c r="B10404" i="1"/>
  <c r="C10404" i="1"/>
  <c r="A9191" i="1"/>
  <c r="B9191" i="1"/>
  <c r="C9191" i="1"/>
  <c r="A22" i="1"/>
  <c r="B22" i="1"/>
  <c r="C22" i="1"/>
  <c r="A2292" i="1"/>
  <c r="B2292" i="1"/>
  <c r="C2292" i="1"/>
  <c r="A3624" i="1"/>
  <c r="B3624" i="1"/>
  <c r="C3624" i="1"/>
  <c r="A11657" i="1"/>
  <c r="B11657" i="1"/>
  <c r="C11657" i="1"/>
  <c r="A7873" i="1"/>
  <c r="B7873" i="1"/>
  <c r="C7873" i="1"/>
  <c r="A347" i="1"/>
  <c r="B347" i="1"/>
  <c r="C347" i="1"/>
  <c r="A6674" i="1"/>
  <c r="B6674" i="1"/>
  <c r="C6674" i="1"/>
  <c r="A3037" i="1"/>
  <c r="B3037" i="1"/>
  <c r="C3037" i="1"/>
  <c r="A1167" i="1"/>
  <c r="B1167" i="1"/>
  <c r="C1167" i="1"/>
  <c r="A13030" i="1"/>
  <c r="B13030" i="1"/>
  <c r="C13030" i="1"/>
  <c r="A7128" i="1"/>
  <c r="B7128" i="1"/>
  <c r="C7128" i="1"/>
  <c r="A7966" i="1"/>
  <c r="B7966" i="1"/>
  <c r="C7966" i="1"/>
  <c r="A6963" i="1"/>
  <c r="B6963" i="1"/>
  <c r="C6963" i="1"/>
  <c r="A6016" i="1"/>
  <c r="B6016" i="1"/>
  <c r="C6016" i="1"/>
  <c r="A6115" i="1"/>
  <c r="B6115" i="1"/>
  <c r="C6115" i="1"/>
  <c r="A6068" i="1"/>
  <c r="B6068" i="1"/>
  <c r="C6068" i="1"/>
  <c r="A8859" i="1"/>
  <c r="B8859" i="1"/>
  <c r="C8859" i="1"/>
  <c r="A2999" i="1"/>
  <c r="B2999" i="1"/>
  <c r="C2999" i="1"/>
  <c r="A10279" i="1"/>
  <c r="B10279" i="1"/>
  <c r="C10279" i="1"/>
  <c r="A10897" i="1"/>
  <c r="B10897" i="1"/>
  <c r="C10897" i="1"/>
  <c r="A5275" i="1"/>
  <c r="B5275" i="1"/>
  <c r="C5275" i="1"/>
  <c r="A8847" i="1"/>
  <c r="B8847" i="1"/>
  <c r="C8847" i="1"/>
  <c r="A3358" i="1"/>
  <c r="B3358" i="1"/>
  <c r="C3358" i="1"/>
  <c r="A12400" i="1"/>
  <c r="B12400" i="1"/>
  <c r="C12400" i="1"/>
  <c r="A3786" i="1"/>
  <c r="B3786" i="1"/>
  <c r="C3786" i="1"/>
  <c r="A6360" i="1"/>
  <c r="B6360" i="1"/>
  <c r="C6360" i="1"/>
  <c r="A789" i="1"/>
  <c r="B789" i="1"/>
  <c r="C789" i="1"/>
  <c r="A11209" i="1"/>
  <c r="B11209" i="1"/>
  <c r="C11209" i="1"/>
  <c r="A12123" i="1"/>
  <c r="B12123" i="1"/>
  <c r="C12123" i="1"/>
  <c r="A10841" i="1"/>
  <c r="B10841" i="1"/>
  <c r="C10841" i="1"/>
  <c r="A13775" i="1"/>
  <c r="B13775" i="1"/>
  <c r="C13775" i="1"/>
  <c r="A6441" i="1"/>
  <c r="B6441" i="1"/>
  <c r="C6441" i="1"/>
  <c r="A11828" i="1"/>
  <c r="B11828" i="1"/>
  <c r="C11828" i="1"/>
  <c r="A9055" i="1"/>
  <c r="B9055" i="1"/>
  <c r="C9055" i="1"/>
  <c r="A12676" i="1"/>
  <c r="B12676" i="1"/>
  <c r="C12676" i="1"/>
  <c r="A3820" i="1"/>
  <c r="B3820" i="1"/>
  <c r="C3820" i="1"/>
  <c r="A4053" i="1"/>
  <c r="B4053" i="1"/>
  <c r="C4053" i="1"/>
  <c r="A9850" i="1"/>
  <c r="B9850" i="1"/>
  <c r="C9850" i="1"/>
  <c r="A4523" i="1"/>
  <c r="B4523" i="1"/>
  <c r="C4523" i="1"/>
  <c r="A8360" i="1"/>
  <c r="B8360" i="1"/>
  <c r="C8360" i="1"/>
  <c r="A9649" i="1"/>
  <c r="B9649" i="1"/>
  <c r="C9649" i="1"/>
  <c r="A3901" i="1"/>
  <c r="B3901" i="1"/>
  <c r="C3901" i="1"/>
  <c r="A2872" i="1"/>
  <c r="B2872" i="1"/>
  <c r="C2872" i="1"/>
  <c r="A2278" i="1"/>
  <c r="B2278" i="1"/>
  <c r="C2278" i="1"/>
  <c r="A3865" i="1"/>
  <c r="B3865" i="1"/>
  <c r="C3865" i="1"/>
  <c r="A1589" i="1"/>
  <c r="B1589" i="1"/>
  <c r="C1589" i="1"/>
  <c r="A3948" i="1"/>
  <c r="B3948" i="1"/>
  <c r="C3948" i="1"/>
  <c r="A4581" i="1"/>
  <c r="B4581" i="1"/>
  <c r="C4581" i="1"/>
  <c r="A13315" i="1"/>
  <c r="B13315" i="1"/>
  <c r="C13315" i="1"/>
  <c r="A9721" i="1"/>
  <c r="B9721" i="1"/>
  <c r="C9721" i="1"/>
  <c r="A5733" i="1"/>
  <c r="B5733" i="1"/>
  <c r="C5733" i="1"/>
  <c r="A1235" i="1"/>
  <c r="B1235" i="1"/>
  <c r="C1235" i="1"/>
  <c r="A11559" i="1"/>
  <c r="B11559" i="1"/>
  <c r="C11559" i="1"/>
  <c r="A4679" i="1"/>
  <c r="B4679" i="1"/>
  <c r="C4679" i="1"/>
  <c r="A7016" i="1"/>
  <c r="B7016" i="1"/>
  <c r="C7016" i="1"/>
  <c r="A9244" i="1"/>
  <c r="B9244" i="1"/>
  <c r="C9244" i="1"/>
  <c r="A13179" i="1"/>
  <c r="B13179" i="1"/>
  <c r="C13179" i="1"/>
  <c r="A11625" i="1"/>
  <c r="B11625" i="1"/>
  <c r="C11625" i="1"/>
  <c r="A4764" i="1"/>
  <c r="B4764" i="1"/>
  <c r="C4764" i="1"/>
  <c r="A8259" i="1"/>
  <c r="B8259" i="1"/>
  <c r="C8259" i="1"/>
  <c r="A9879" i="1"/>
  <c r="B9879" i="1"/>
  <c r="C9879" i="1"/>
  <c r="A7874" i="1"/>
  <c r="B7874" i="1"/>
  <c r="C7874" i="1"/>
  <c r="A8927" i="1"/>
  <c r="B8927" i="1"/>
  <c r="C8927" i="1"/>
  <c r="A11249" i="1"/>
  <c r="B11249" i="1"/>
  <c r="C11249" i="1"/>
  <c r="A9064" i="1"/>
  <c r="B9064" i="1"/>
  <c r="C9064" i="1"/>
  <c r="A4807" i="1"/>
  <c r="B4807" i="1"/>
  <c r="C4807" i="1"/>
  <c r="A3108" i="1"/>
  <c r="B3108" i="1"/>
  <c r="C3108" i="1"/>
  <c r="A6921" i="1"/>
  <c r="B6921" i="1"/>
  <c r="C6921" i="1"/>
  <c r="A12258" i="1"/>
  <c r="B12258" i="1"/>
  <c r="C12258" i="1"/>
  <c r="A4745" i="1"/>
  <c r="B4745" i="1"/>
  <c r="C4745" i="1"/>
  <c r="A6374" i="1"/>
  <c r="B6374" i="1"/>
  <c r="C6374" i="1"/>
  <c r="A7179" i="1"/>
  <c r="B7179" i="1"/>
  <c r="C7179" i="1"/>
  <c r="A10899" i="1"/>
  <c r="B10899" i="1"/>
  <c r="C10899" i="1"/>
  <c r="A9275" i="1"/>
  <c r="B9275" i="1"/>
  <c r="C9275" i="1"/>
  <c r="A12771" i="1"/>
  <c r="B12771" i="1"/>
  <c r="C12771" i="1"/>
  <c r="A7675" i="1"/>
  <c r="B7675" i="1"/>
  <c r="C7675" i="1"/>
  <c r="A3507" i="1"/>
  <c r="B3507" i="1"/>
  <c r="C3507" i="1"/>
  <c r="A12953" i="1"/>
  <c r="B12953" i="1"/>
  <c r="C12953" i="1"/>
  <c r="A6652" i="1"/>
  <c r="B6652" i="1"/>
  <c r="C6652" i="1"/>
  <c r="A9242" i="1"/>
  <c r="B9242" i="1"/>
  <c r="C9242" i="1"/>
  <c r="A2255" i="1"/>
  <c r="B2255" i="1"/>
  <c r="C2255" i="1"/>
  <c r="A5721" i="1"/>
  <c r="B5721" i="1"/>
  <c r="C5721" i="1"/>
  <c r="A987" i="1"/>
  <c r="B987" i="1"/>
  <c r="C987" i="1"/>
  <c r="A2860" i="1"/>
  <c r="B2860" i="1"/>
  <c r="C2860" i="1"/>
  <c r="A8060" i="1"/>
  <c r="B8060" i="1"/>
  <c r="C8060" i="1"/>
  <c r="A2415" i="1"/>
  <c r="B2415" i="1"/>
  <c r="C2415" i="1"/>
  <c r="A6332" i="1"/>
  <c r="B6332" i="1"/>
  <c r="C6332" i="1"/>
  <c r="A12967" i="1"/>
  <c r="B12967" i="1"/>
  <c r="C12967" i="1"/>
  <c r="A11697" i="1"/>
  <c r="B11697" i="1"/>
  <c r="C11697" i="1"/>
  <c r="A11682" i="1"/>
  <c r="B11682" i="1"/>
  <c r="C11682" i="1"/>
  <c r="A10516" i="1"/>
  <c r="B10516" i="1"/>
  <c r="C10516" i="1"/>
  <c r="A5927" i="1"/>
  <c r="B5927" i="1"/>
  <c r="C5927" i="1"/>
  <c r="A4720" i="1"/>
  <c r="B4720" i="1"/>
  <c r="C4720" i="1"/>
  <c r="A4460" i="1"/>
  <c r="B4460" i="1"/>
  <c r="C4460" i="1"/>
  <c r="A8897" i="1"/>
  <c r="B8897" i="1"/>
  <c r="C8897" i="1"/>
  <c r="A840" i="1"/>
  <c r="B840" i="1"/>
  <c r="C840" i="1"/>
  <c r="A13866" i="1"/>
  <c r="B13866" i="1"/>
  <c r="C13866" i="1"/>
  <c r="A3131" i="1"/>
  <c r="B3131" i="1"/>
  <c r="C3131" i="1"/>
  <c r="A2958" i="1"/>
  <c r="B2958" i="1"/>
  <c r="C2958" i="1"/>
  <c r="A13849" i="1"/>
  <c r="B13849" i="1"/>
  <c r="C13849" i="1"/>
  <c r="A3877" i="1"/>
  <c r="B3877" i="1"/>
  <c r="C3877" i="1"/>
  <c r="A12378" i="1"/>
  <c r="B12378" i="1"/>
  <c r="C12378" i="1"/>
  <c r="A1187" i="1"/>
  <c r="B1187" i="1"/>
  <c r="C1187" i="1"/>
  <c r="A11361" i="1"/>
  <c r="B11361" i="1"/>
  <c r="C11361" i="1"/>
  <c r="A7897" i="1"/>
  <c r="B7897" i="1"/>
  <c r="C7897" i="1"/>
  <c r="A7176" i="1"/>
  <c r="B7176" i="1"/>
  <c r="C7176" i="1"/>
  <c r="A10403" i="1"/>
  <c r="B10403" i="1"/>
  <c r="C10403" i="1"/>
  <c r="A159" i="1"/>
  <c r="B159" i="1"/>
  <c r="C159" i="1"/>
  <c r="A827" i="1"/>
  <c r="B827" i="1"/>
  <c r="C827" i="1"/>
  <c r="A8831" i="1"/>
  <c r="B8831" i="1"/>
  <c r="C8831" i="1"/>
  <c r="A6516" i="1"/>
  <c r="B6516" i="1"/>
  <c r="C6516" i="1"/>
  <c r="A6211" i="1"/>
  <c r="B6211" i="1"/>
  <c r="C6211" i="1"/>
  <c r="A7863" i="1"/>
  <c r="B7863" i="1"/>
  <c r="C7863" i="1"/>
  <c r="A11472" i="1"/>
  <c r="B11472" i="1"/>
  <c r="C11472" i="1"/>
  <c r="A4037" i="1"/>
  <c r="B4037" i="1"/>
  <c r="C4037" i="1"/>
  <c r="A9050" i="1"/>
  <c r="B9050" i="1"/>
  <c r="C9050" i="1"/>
  <c r="A4274" i="1"/>
  <c r="B4274" i="1"/>
  <c r="C4274" i="1"/>
  <c r="A2332" i="1"/>
  <c r="B2332" i="1"/>
  <c r="C2332" i="1"/>
  <c r="A8201" i="1"/>
  <c r="B8201" i="1"/>
  <c r="C8201" i="1"/>
  <c r="A7243" i="1"/>
  <c r="B7243" i="1"/>
  <c r="C7243" i="1"/>
  <c r="A13095" i="1"/>
  <c r="B13095" i="1"/>
  <c r="C13095" i="1"/>
  <c r="A9047" i="1"/>
  <c r="B9047" i="1"/>
  <c r="C9047" i="1"/>
  <c r="A13663" i="1"/>
  <c r="B13663" i="1"/>
  <c r="C13663" i="1"/>
  <c r="A7162" i="1"/>
  <c r="B7162" i="1"/>
  <c r="C7162" i="1"/>
  <c r="A5863" i="1"/>
  <c r="B5863" i="1"/>
  <c r="C5863" i="1"/>
  <c r="A2826" i="1"/>
  <c r="B2826" i="1"/>
  <c r="C2826" i="1"/>
  <c r="A1650" i="1"/>
  <c r="B1650" i="1"/>
  <c r="C1650" i="1"/>
  <c r="A3279" i="1"/>
  <c r="B3279" i="1"/>
  <c r="C3279" i="1"/>
  <c r="A866" i="1"/>
  <c r="B866" i="1"/>
  <c r="C866" i="1"/>
  <c r="A2361" i="1"/>
  <c r="B2361" i="1"/>
  <c r="C2361" i="1"/>
  <c r="A2344" i="1"/>
  <c r="B2344" i="1"/>
  <c r="C2344" i="1"/>
  <c r="A13502" i="1"/>
  <c r="B13502" i="1"/>
  <c r="C13502" i="1"/>
  <c r="A11810" i="1"/>
  <c r="B11810" i="1"/>
  <c r="C11810" i="1"/>
  <c r="A12624" i="1"/>
  <c r="B12624" i="1"/>
  <c r="C12624" i="1"/>
  <c r="A10569" i="1"/>
  <c r="B10569" i="1"/>
  <c r="C10569" i="1"/>
  <c r="A12809" i="1"/>
  <c r="B12809" i="1"/>
  <c r="C12809" i="1"/>
  <c r="A10891" i="1"/>
  <c r="B10891" i="1"/>
  <c r="C10891" i="1"/>
  <c r="A3126" i="1"/>
  <c r="B3126" i="1"/>
  <c r="C3126" i="1"/>
  <c r="A12257" i="1"/>
  <c r="B12257" i="1"/>
  <c r="C12257" i="1"/>
  <c r="A2467" i="1"/>
  <c r="B2467" i="1"/>
  <c r="C2467" i="1"/>
  <c r="A8915" i="1"/>
  <c r="B8915" i="1"/>
  <c r="C8915" i="1"/>
  <c r="A7233" i="1"/>
  <c r="B7233" i="1"/>
  <c r="C7233" i="1"/>
  <c r="A9071" i="1"/>
  <c r="B9071" i="1"/>
  <c r="C9071" i="1"/>
  <c r="A13563" i="1"/>
  <c r="B13563" i="1"/>
  <c r="C13563" i="1"/>
  <c r="A2721" i="1"/>
  <c r="B2721" i="1"/>
  <c r="C2721" i="1"/>
  <c r="A730" i="1"/>
  <c r="B730" i="1"/>
  <c r="C730" i="1"/>
  <c r="A12382" i="1"/>
  <c r="B12382" i="1"/>
  <c r="C12382" i="1"/>
  <c r="A7676" i="1"/>
  <c r="B7676" i="1"/>
  <c r="C7676" i="1"/>
  <c r="A160" i="1"/>
  <c r="B160" i="1"/>
  <c r="C160" i="1"/>
  <c r="A6069" i="1"/>
  <c r="B6069" i="1"/>
  <c r="C6069" i="1"/>
  <c r="A9943" i="1"/>
  <c r="B9943" i="1"/>
  <c r="C9943" i="1"/>
  <c r="A2444" i="1"/>
  <c r="B2444" i="1"/>
  <c r="C2444" i="1"/>
  <c r="A9948" i="1"/>
  <c r="B9948" i="1"/>
  <c r="C9948" i="1"/>
  <c r="A595" i="1"/>
  <c r="B595" i="1"/>
  <c r="C595" i="1"/>
  <c r="A10594" i="1"/>
  <c r="B10594" i="1"/>
  <c r="C10594" i="1"/>
  <c r="A7646" i="1"/>
  <c r="B7646" i="1"/>
  <c r="C7646" i="1"/>
  <c r="A9938" i="1"/>
  <c r="B9938" i="1"/>
  <c r="C9938" i="1"/>
  <c r="A9689" i="1"/>
  <c r="B9689" i="1"/>
  <c r="C9689" i="1"/>
  <c r="A5878" i="1"/>
  <c r="B5878" i="1"/>
  <c r="C5878" i="1"/>
  <c r="A4928" i="1"/>
  <c r="B4928" i="1"/>
  <c r="C4928" i="1"/>
  <c r="A12860" i="1"/>
  <c r="B12860" i="1"/>
  <c r="C12860" i="1"/>
  <c r="A12861" i="1"/>
  <c r="B12861" i="1"/>
  <c r="C12861" i="1"/>
  <c r="A5258" i="1"/>
  <c r="B5258" i="1"/>
  <c r="C5258" i="1"/>
  <c r="A7416" i="1"/>
  <c r="B7416" i="1"/>
  <c r="C7416" i="1"/>
  <c r="A13375" i="1"/>
  <c r="B13375" i="1"/>
  <c r="C13375" i="1"/>
  <c r="A6964" i="1"/>
  <c r="B6964" i="1"/>
  <c r="C6964" i="1"/>
  <c r="A8030" i="1"/>
  <c r="B8030" i="1"/>
  <c r="C8030" i="1"/>
  <c r="A4835" i="1"/>
  <c r="B4835" i="1"/>
  <c r="C4835" i="1"/>
  <c r="A7239" i="1"/>
  <c r="B7239" i="1"/>
  <c r="C7239" i="1"/>
  <c r="A10067" i="1"/>
  <c r="B10067" i="1"/>
  <c r="C10067" i="1"/>
  <c r="A7426" i="1"/>
  <c r="B7426" i="1"/>
  <c r="C7426" i="1"/>
  <c r="A7787" i="1"/>
  <c r="B7787" i="1"/>
  <c r="C7787" i="1"/>
  <c r="A9483" i="1"/>
  <c r="B9483" i="1"/>
  <c r="C9483" i="1"/>
  <c r="A7788" i="1"/>
  <c r="B7788" i="1"/>
  <c r="C7788" i="1"/>
  <c r="A9273" i="1"/>
  <c r="B9273" i="1"/>
  <c r="C9273" i="1"/>
  <c r="A12772" i="1"/>
  <c r="B12772" i="1"/>
  <c r="C12772" i="1"/>
  <c r="A11471" i="1"/>
  <c r="B11471" i="1"/>
  <c r="C11471" i="1"/>
  <c r="A5732" i="1"/>
  <c r="B5732" i="1"/>
  <c r="C5732" i="1"/>
  <c r="A1535" i="1"/>
  <c r="B1535" i="1"/>
  <c r="C1535" i="1"/>
  <c r="A10578" i="1"/>
  <c r="B10578" i="1"/>
  <c r="C10578" i="1"/>
  <c r="A7809" i="1"/>
  <c r="B7809" i="1"/>
  <c r="C7809" i="1"/>
  <c r="A3487" i="1"/>
  <c r="B3487" i="1"/>
  <c r="C3487" i="1"/>
  <c r="A12264" i="1"/>
  <c r="B12264" i="1"/>
  <c r="C12264" i="1"/>
  <c r="A1612" i="1"/>
  <c r="B1612" i="1"/>
  <c r="C1612" i="1"/>
  <c r="A8246" i="1"/>
  <c r="B8246" i="1"/>
  <c r="C8246" i="1"/>
  <c r="A3390" i="1"/>
  <c r="B3390" i="1"/>
  <c r="C3390" i="1"/>
  <c r="A1926" i="1"/>
  <c r="B1926" i="1"/>
  <c r="C1926" i="1"/>
  <c r="A7643" i="1"/>
  <c r="B7643" i="1"/>
  <c r="C7643" i="1"/>
  <c r="A10988" i="1"/>
  <c r="B10988" i="1"/>
  <c r="C10988" i="1"/>
  <c r="A10887" i="1"/>
  <c r="B10887" i="1"/>
  <c r="C10887" i="1"/>
  <c r="A7149" i="1"/>
  <c r="B7149" i="1"/>
  <c r="C7149" i="1"/>
  <c r="A8832" i="1"/>
  <c r="B8832" i="1"/>
  <c r="C8832" i="1"/>
  <c r="A4226" i="1"/>
  <c r="B4226" i="1"/>
  <c r="C4226" i="1"/>
  <c r="A3658" i="1"/>
  <c r="B3658" i="1"/>
  <c r="C3658" i="1"/>
  <c r="A8980" i="1"/>
  <c r="B8980" i="1"/>
  <c r="C8980" i="1"/>
  <c r="A13181" i="1"/>
  <c r="B13181" i="1"/>
  <c r="C13181" i="1"/>
  <c r="A5147" i="1"/>
  <c r="B5147" i="1"/>
  <c r="C5147" i="1"/>
  <c r="A11049" i="1"/>
  <c r="B11049" i="1"/>
  <c r="C11049" i="1"/>
  <c r="A13721" i="1"/>
  <c r="B13721" i="1"/>
  <c r="C13721" i="1"/>
  <c r="A11156" i="1"/>
  <c r="B11156" i="1"/>
  <c r="C11156" i="1"/>
  <c r="A9074" i="1"/>
  <c r="B9074" i="1"/>
  <c r="C9074" i="1"/>
  <c r="A10405" i="1"/>
  <c r="B10405" i="1"/>
  <c r="C10405" i="1"/>
  <c r="A5993" i="1"/>
  <c r="B5993" i="1"/>
  <c r="C5993" i="1"/>
  <c r="A5953" i="1"/>
  <c r="B5953" i="1"/>
  <c r="C5953" i="1"/>
  <c r="A12125" i="1"/>
  <c r="B12125" i="1"/>
  <c r="C12125" i="1"/>
  <c r="A9121" i="1"/>
  <c r="B9121" i="1"/>
  <c r="C9121" i="1"/>
  <c r="A674" i="1"/>
  <c r="B674" i="1"/>
  <c r="C674" i="1"/>
  <c r="A1550" i="1"/>
  <c r="B1550" i="1"/>
  <c r="C1550" i="1"/>
  <c r="A3670" i="1"/>
  <c r="B3670" i="1"/>
  <c r="C3670" i="1"/>
  <c r="A6086" i="1"/>
  <c r="B6086" i="1"/>
  <c r="C6086" i="1"/>
  <c r="A1309" i="1"/>
  <c r="B1309" i="1"/>
  <c r="C1309" i="1"/>
  <c r="A13428" i="1"/>
  <c r="B13428" i="1"/>
  <c r="C13428" i="1"/>
  <c r="A1406" i="1"/>
  <c r="B1406" i="1"/>
  <c r="C1406" i="1"/>
  <c r="A6524" i="1"/>
  <c r="B6524" i="1"/>
  <c r="C6524" i="1"/>
  <c r="A2897" i="1"/>
  <c r="B2897" i="1"/>
  <c r="C2897" i="1"/>
  <c r="A5944" i="1"/>
  <c r="B5944" i="1"/>
  <c r="C5944" i="1"/>
  <c r="A12796" i="1"/>
  <c r="B12796" i="1"/>
  <c r="C12796" i="1"/>
  <c r="A6836" i="1"/>
  <c r="B6836" i="1"/>
  <c r="C6836" i="1"/>
  <c r="A3435" i="1"/>
  <c r="B3435" i="1"/>
  <c r="C3435" i="1"/>
  <c r="A5254" i="1"/>
  <c r="B5254" i="1"/>
  <c r="C5254" i="1"/>
  <c r="A10388" i="1"/>
  <c r="B10388" i="1"/>
  <c r="C10388" i="1"/>
  <c r="A138" i="1"/>
  <c r="B138" i="1"/>
  <c r="C138" i="1"/>
  <c r="A8092" i="1"/>
  <c r="B8092" i="1"/>
  <c r="C8092" i="1"/>
  <c r="A9445" i="1"/>
  <c r="B9445" i="1"/>
  <c r="C9445" i="1"/>
  <c r="A13678" i="1"/>
  <c r="B13678" i="1"/>
  <c r="C13678" i="1"/>
  <c r="A11428" i="1"/>
  <c r="B11428" i="1"/>
  <c r="C11428" i="1"/>
  <c r="A13423" i="1"/>
  <c r="B13423" i="1"/>
  <c r="C13423" i="1"/>
  <c r="A7203" i="1"/>
  <c r="B7203" i="1"/>
  <c r="C7203" i="1"/>
  <c r="A11384" i="1"/>
  <c r="B11384" i="1"/>
  <c r="C11384" i="1"/>
  <c r="A2599" i="1"/>
  <c r="B2599" i="1"/>
  <c r="C2599" i="1"/>
  <c r="A9936" i="1"/>
  <c r="B9936" i="1"/>
  <c r="C9936" i="1"/>
  <c r="A2109" i="1"/>
  <c r="B2109" i="1"/>
  <c r="C2109" i="1"/>
  <c r="A10406" i="1"/>
  <c r="B10406" i="1"/>
  <c r="C10406" i="1"/>
  <c r="A8526" i="1"/>
  <c r="B8526" i="1"/>
  <c r="C8526" i="1"/>
  <c r="A8325" i="1"/>
  <c r="B8325" i="1"/>
  <c r="C8325" i="1"/>
  <c r="A8405" i="1"/>
  <c r="B8405" i="1"/>
  <c r="C8405" i="1"/>
  <c r="A2600" i="1"/>
  <c r="B2600" i="1"/>
  <c r="C2600" i="1"/>
  <c r="A3667" i="1"/>
  <c r="B3667" i="1"/>
  <c r="C3667" i="1"/>
  <c r="A8724" i="1"/>
  <c r="B8724" i="1"/>
  <c r="C8724" i="1"/>
  <c r="A13395" i="1"/>
  <c r="B13395" i="1"/>
  <c r="C13395" i="1"/>
  <c r="A12189" i="1"/>
  <c r="B12189" i="1"/>
  <c r="C12189" i="1"/>
  <c r="A5371" i="1"/>
  <c r="B5371" i="1"/>
  <c r="C5371" i="1"/>
  <c r="A11718" i="1"/>
  <c r="B11718" i="1"/>
  <c r="C11718" i="1"/>
  <c r="A12124" i="1"/>
  <c r="B12124" i="1"/>
  <c r="C12124" i="1"/>
  <c r="A7797" i="1"/>
  <c r="B7797" i="1"/>
  <c r="C7797" i="1"/>
  <c r="A12344" i="1"/>
  <c r="B12344" i="1"/>
  <c r="C12344" i="1"/>
  <c r="A2828" i="1"/>
  <c r="B2828" i="1"/>
  <c r="C2828" i="1"/>
  <c r="A9995" i="1"/>
  <c r="B9995" i="1"/>
  <c r="C9995" i="1"/>
  <c r="A5246" i="1"/>
  <c r="B5246" i="1"/>
  <c r="C5246" i="1"/>
  <c r="A382" i="1"/>
  <c r="B382" i="1"/>
  <c r="C382" i="1"/>
  <c r="A5785" i="1"/>
  <c r="B5785" i="1"/>
  <c r="C5785" i="1"/>
  <c r="A10313" i="1"/>
  <c r="B10313" i="1"/>
  <c r="C10313" i="1"/>
  <c r="A11885" i="1"/>
  <c r="B11885" i="1"/>
  <c r="C11885" i="1"/>
  <c r="A7258" i="1"/>
  <c r="B7258" i="1"/>
  <c r="C7258" i="1"/>
  <c r="A9265" i="1"/>
  <c r="B9265" i="1"/>
  <c r="C9265" i="1"/>
  <c r="A410" i="1"/>
  <c r="B410" i="1"/>
  <c r="C410" i="1"/>
  <c r="A9155" i="1"/>
  <c r="B9155" i="1"/>
  <c r="C9155" i="1"/>
  <c r="A976" i="1"/>
  <c r="B976" i="1"/>
  <c r="C976" i="1"/>
  <c r="A5191" i="1"/>
  <c r="B5191" i="1"/>
  <c r="C5191" i="1"/>
  <c r="A1314" i="1"/>
  <c r="B1314" i="1"/>
  <c r="C1314" i="1"/>
  <c r="A11091" i="1"/>
  <c r="B11091" i="1"/>
  <c r="C11091" i="1"/>
  <c r="A11329" i="1"/>
  <c r="B11329" i="1"/>
  <c r="C11329" i="1"/>
  <c r="A9537" i="1"/>
  <c r="B9537" i="1"/>
  <c r="C9537" i="1"/>
  <c r="A13417" i="1"/>
  <c r="B13417" i="1"/>
  <c r="C13417" i="1"/>
  <c r="A7321" i="1"/>
  <c r="B7321" i="1"/>
  <c r="C7321" i="1"/>
  <c r="A9202" i="1"/>
  <c r="B9202" i="1"/>
  <c r="C9202" i="1"/>
  <c r="A9558" i="1"/>
  <c r="B9558" i="1"/>
  <c r="C9558" i="1"/>
  <c r="A2927" i="1"/>
  <c r="B2927" i="1"/>
  <c r="C2927" i="1"/>
  <c r="A5511" i="1"/>
  <c r="B5511" i="1"/>
  <c r="C5511" i="1"/>
  <c r="A2470" i="1"/>
  <c r="B2470" i="1"/>
  <c r="C2470" i="1"/>
  <c r="A8654" i="1"/>
  <c r="B8654" i="1"/>
  <c r="C8654" i="1"/>
  <c r="A7677" i="1"/>
  <c r="B7677" i="1"/>
  <c r="C7677" i="1"/>
  <c r="A7711" i="1"/>
  <c r="B7711" i="1"/>
  <c r="C7711" i="1"/>
  <c r="A4836" i="1"/>
  <c r="B4836" i="1"/>
  <c r="C4836" i="1"/>
  <c r="A6809" i="1"/>
  <c r="B6809" i="1"/>
  <c r="C6809" i="1"/>
  <c r="A11580" i="1"/>
  <c r="B11580" i="1"/>
  <c r="C11580" i="1"/>
  <c r="A9090" i="1"/>
  <c r="B9090" i="1"/>
  <c r="C9090" i="1"/>
  <c r="A12954" i="1"/>
  <c r="B12954" i="1"/>
  <c r="C12954" i="1"/>
  <c r="A12955" i="1"/>
  <c r="B12955" i="1"/>
  <c r="C12955" i="1"/>
  <c r="A6452" i="1"/>
  <c r="B6452" i="1"/>
  <c r="C6452" i="1"/>
  <c r="A9959" i="1"/>
  <c r="B9959" i="1"/>
  <c r="C9959" i="1"/>
  <c r="A7775" i="1"/>
  <c r="B7775" i="1"/>
  <c r="C7775" i="1"/>
  <c r="A2104" i="1"/>
  <c r="B2104" i="1"/>
  <c r="C2104" i="1"/>
  <c r="A13012" i="1"/>
  <c r="B13012" i="1"/>
  <c r="C13012" i="1"/>
  <c r="A9521" i="1"/>
  <c r="B9521" i="1"/>
  <c r="C9521" i="1"/>
  <c r="A3120" i="1"/>
  <c r="B3120" i="1"/>
  <c r="C3120" i="1"/>
  <c r="A10407" i="1"/>
  <c r="B10407" i="1"/>
  <c r="C10407" i="1"/>
  <c r="A85" i="1"/>
  <c r="B85" i="1"/>
  <c r="C85" i="1"/>
  <c r="A6520" i="1"/>
  <c r="B6520" i="1"/>
  <c r="C6520" i="1"/>
  <c r="A11644" i="1"/>
  <c r="B11644" i="1"/>
  <c r="C11644" i="1"/>
  <c r="A13243" i="1"/>
  <c r="B13243" i="1"/>
  <c r="C13243" i="1"/>
  <c r="A6688" i="1"/>
  <c r="B6688" i="1"/>
  <c r="C6688" i="1"/>
  <c r="A6185" i="1"/>
  <c r="B6185" i="1"/>
  <c r="C6185" i="1"/>
  <c r="A2154" i="1"/>
  <c r="B2154" i="1"/>
  <c r="C2154" i="1"/>
  <c r="A6443" i="1"/>
  <c r="B6443" i="1"/>
  <c r="C6443" i="1"/>
  <c r="A5153" i="1"/>
  <c r="B5153" i="1"/>
  <c r="C5153" i="1"/>
  <c r="A1420" i="1"/>
  <c r="B1420" i="1"/>
  <c r="C1420" i="1"/>
  <c r="A6033" i="1"/>
  <c r="B6033" i="1"/>
  <c r="C6033" i="1"/>
  <c r="A9619" i="1"/>
  <c r="B9619" i="1"/>
  <c r="C9619" i="1"/>
  <c r="A474" i="1"/>
  <c r="B474" i="1"/>
  <c r="C474" i="1"/>
  <c r="A1195" i="1"/>
  <c r="B1195" i="1"/>
  <c r="C1195" i="1"/>
  <c r="A10212" i="1"/>
  <c r="B10212" i="1"/>
  <c r="C10212" i="1"/>
  <c r="A8198" i="1"/>
  <c r="B8198" i="1"/>
  <c r="C8198" i="1"/>
  <c r="A475" i="1"/>
  <c r="B475" i="1"/>
  <c r="C475" i="1"/>
  <c r="A7308" i="1"/>
  <c r="B7308" i="1"/>
  <c r="C7308" i="1"/>
  <c r="A3109" i="1"/>
  <c r="B3109" i="1"/>
  <c r="C3109" i="1"/>
  <c r="A4289" i="1"/>
  <c r="B4289" i="1"/>
  <c r="C4289" i="1"/>
  <c r="A10354" i="1"/>
  <c r="B10354" i="1"/>
  <c r="C10354" i="1"/>
  <c r="A8993" i="1"/>
  <c r="B8993" i="1"/>
  <c r="C8993" i="1"/>
  <c r="A12376" i="1"/>
  <c r="B12376" i="1"/>
  <c r="C12376" i="1"/>
  <c r="A850" i="1"/>
  <c r="B850" i="1"/>
  <c r="C850" i="1"/>
  <c r="A11399" i="1"/>
  <c r="B11399" i="1"/>
  <c r="C11399" i="1"/>
  <c r="A7789" i="1"/>
  <c r="B7789" i="1"/>
  <c r="C7789" i="1"/>
  <c r="A9749" i="1"/>
  <c r="B9749" i="1"/>
  <c r="C9749" i="1"/>
  <c r="A3041" i="1"/>
  <c r="B3041" i="1"/>
  <c r="C3041" i="1"/>
  <c r="A10851" i="1"/>
  <c r="B10851" i="1"/>
  <c r="C10851" i="1"/>
  <c r="A2159" i="1"/>
  <c r="B2159" i="1"/>
  <c r="C2159" i="1"/>
  <c r="A988" i="1"/>
  <c r="B988" i="1"/>
  <c r="C988" i="1"/>
  <c r="A6216" i="1"/>
  <c r="B6216" i="1"/>
  <c r="C6216" i="1"/>
  <c r="A10170" i="1"/>
  <c r="B10170" i="1"/>
  <c r="C10170" i="1"/>
  <c r="A10399" i="1"/>
  <c r="B10399" i="1"/>
  <c r="C10399" i="1"/>
  <c r="A879" i="1"/>
  <c r="B879" i="1"/>
  <c r="C879" i="1"/>
  <c r="A9284" i="1"/>
  <c r="B9284" i="1"/>
  <c r="C9284" i="1"/>
  <c r="A11819" i="1"/>
  <c r="B11819" i="1"/>
  <c r="C11819" i="1"/>
  <c r="A4085" i="1"/>
  <c r="B4085" i="1"/>
  <c r="C4085" i="1"/>
  <c r="A13390" i="1"/>
  <c r="B13390" i="1"/>
  <c r="C13390" i="1"/>
  <c r="A3671" i="1"/>
  <c r="B3671" i="1"/>
  <c r="C3671" i="1"/>
  <c r="A443" i="1"/>
  <c r="B443" i="1"/>
  <c r="C443" i="1"/>
  <c r="A10577" i="1"/>
  <c r="B10577" i="1"/>
  <c r="C10577" i="1"/>
  <c r="A10934" i="1"/>
  <c r="B10934" i="1"/>
  <c r="C10934" i="1"/>
  <c r="A9022" i="1"/>
  <c r="B9022" i="1"/>
  <c r="C9022" i="1"/>
  <c r="A6011" i="1"/>
  <c r="B6011" i="1"/>
  <c r="C6011" i="1"/>
  <c r="A11561" i="1"/>
  <c r="B11561" i="1"/>
  <c r="C11561" i="1"/>
  <c r="A4238" i="1"/>
  <c r="B4238" i="1"/>
  <c r="C4238" i="1"/>
  <c r="A2555" i="1"/>
  <c r="B2555" i="1"/>
  <c r="C2555" i="1"/>
  <c r="A9341" i="1"/>
  <c r="B9341" i="1"/>
  <c r="C9341" i="1"/>
  <c r="A4206" i="1"/>
  <c r="B4206" i="1"/>
  <c r="C4206" i="1"/>
  <c r="A13795" i="1"/>
  <c r="B13795" i="1"/>
  <c r="C13795" i="1"/>
  <c r="A9587" i="1"/>
  <c r="B9587" i="1"/>
  <c r="C9587" i="1"/>
  <c r="A4302" i="1"/>
  <c r="B4302" i="1"/>
  <c r="C4302" i="1"/>
  <c r="A10674" i="1"/>
  <c r="B10674" i="1"/>
  <c r="C10674" i="1"/>
  <c r="A599" i="1"/>
  <c r="B599" i="1"/>
  <c r="C599" i="1"/>
  <c r="A7633" i="1"/>
  <c r="B7633" i="1"/>
  <c r="C7633" i="1"/>
  <c r="A1220" i="1"/>
  <c r="B1220" i="1"/>
  <c r="C1220" i="1"/>
  <c r="A3660" i="1"/>
  <c r="B3660" i="1"/>
  <c r="C3660" i="1"/>
  <c r="A5251" i="1"/>
  <c r="B5251" i="1"/>
  <c r="C5251" i="1"/>
  <c r="A613" i="1"/>
  <c r="B613" i="1"/>
  <c r="C613" i="1"/>
  <c r="A12362" i="1"/>
  <c r="B12362" i="1"/>
  <c r="C12362" i="1"/>
  <c r="A426" i="1"/>
  <c r="B426" i="1"/>
  <c r="C426" i="1"/>
  <c r="A13700" i="1"/>
  <c r="B13700" i="1"/>
  <c r="C13700" i="1"/>
  <c r="A10931" i="1"/>
  <c r="B10931" i="1"/>
  <c r="C10931" i="1"/>
  <c r="A7937" i="1"/>
  <c r="B7937" i="1"/>
  <c r="C7937" i="1"/>
  <c r="A9896" i="1"/>
  <c r="B9896" i="1"/>
  <c r="C9896" i="1"/>
  <c r="A133" i="1"/>
  <c r="B133" i="1"/>
  <c r="C133" i="1"/>
  <c r="A9219" i="1"/>
  <c r="B9219" i="1"/>
  <c r="C9219" i="1"/>
  <c r="A221" i="1"/>
  <c r="B221" i="1"/>
  <c r="C221" i="1"/>
  <c r="A813" i="1"/>
  <c r="B813" i="1"/>
  <c r="C813" i="1"/>
  <c r="A13480" i="1"/>
  <c r="B13480" i="1"/>
  <c r="C13480" i="1"/>
  <c r="A12870" i="1"/>
  <c r="B12870" i="1"/>
  <c r="C12870" i="1"/>
  <c r="A6582" i="1"/>
  <c r="B6582" i="1"/>
  <c r="C6582" i="1"/>
  <c r="A9820" i="1"/>
  <c r="B9820" i="1"/>
  <c r="C9820" i="1"/>
  <c r="A3617" i="1"/>
  <c r="B3617" i="1"/>
  <c r="C3617" i="1"/>
  <c r="A1694" i="1"/>
  <c r="B1694" i="1"/>
  <c r="C1694" i="1"/>
  <c r="A5015" i="1"/>
  <c r="B5015" i="1"/>
  <c r="C5015" i="1"/>
  <c r="A11465" i="1"/>
  <c r="B11465" i="1"/>
  <c r="C11465" i="1"/>
  <c r="A6835" i="1"/>
  <c r="B6835" i="1"/>
  <c r="C6835" i="1"/>
  <c r="A56" i="1"/>
  <c r="B56" i="1"/>
  <c r="C56" i="1"/>
  <c r="A10408" i="1"/>
  <c r="B10408" i="1"/>
  <c r="C10408" i="1"/>
  <c r="A9965" i="1"/>
  <c r="B9965" i="1"/>
  <c r="C9965" i="1"/>
  <c r="A9747" i="1"/>
  <c r="B9747" i="1"/>
  <c r="C9747" i="1"/>
  <c r="A12759" i="1"/>
  <c r="B12759" i="1"/>
  <c r="C12759" i="1"/>
  <c r="A6161" i="1"/>
  <c r="B6161" i="1"/>
  <c r="C6161" i="1"/>
  <c r="A10111" i="1"/>
  <c r="B10111" i="1"/>
  <c r="C10111" i="1"/>
  <c r="A13014" i="1"/>
  <c r="B13014" i="1"/>
  <c r="C13014" i="1"/>
  <c r="A12927" i="1"/>
  <c r="B12927" i="1"/>
  <c r="C12927" i="1"/>
  <c r="A7344" i="1"/>
  <c r="B7344" i="1"/>
  <c r="C7344" i="1"/>
  <c r="A2251" i="1"/>
  <c r="B2251" i="1"/>
  <c r="C2251" i="1"/>
  <c r="A12431" i="1"/>
  <c r="B12431" i="1"/>
  <c r="C12431" i="1"/>
  <c r="A12817" i="1"/>
  <c r="B12817" i="1"/>
  <c r="C12817" i="1"/>
  <c r="A3668" i="1"/>
  <c r="B3668" i="1"/>
  <c r="C3668" i="1"/>
  <c r="A12630" i="1"/>
  <c r="B12630" i="1"/>
  <c r="C12630" i="1"/>
  <c r="A4281" i="1"/>
  <c r="B4281" i="1"/>
  <c r="C4281" i="1"/>
  <c r="A963" i="1"/>
  <c r="B963" i="1"/>
  <c r="C963" i="1"/>
  <c r="A3420" i="1"/>
  <c r="B3420" i="1"/>
  <c r="C3420" i="1"/>
  <c r="A5244" i="1"/>
  <c r="B5244" i="1"/>
  <c r="C5244" i="1"/>
  <c r="A12345" i="1"/>
  <c r="B12345" i="1"/>
  <c r="C12345" i="1"/>
  <c r="A7099" i="1"/>
  <c r="B7099" i="1"/>
  <c r="A11155" i="1"/>
  <c r="B11155" i="1"/>
  <c r="C11155" i="1"/>
  <c r="A6390" i="1"/>
  <c r="B6390" i="1"/>
  <c r="C6390" i="1"/>
  <c r="A6613" i="1"/>
  <c r="B6613" i="1"/>
  <c r="C6613" i="1"/>
  <c r="A2247" i="1"/>
  <c r="B2247" i="1"/>
  <c r="C2247" i="1"/>
  <c r="A5184" i="1"/>
  <c r="B5184" i="1"/>
  <c r="C5184" i="1"/>
  <c r="A7160" i="1"/>
  <c r="B7160" i="1"/>
  <c r="C7160" i="1"/>
  <c r="A3604" i="1"/>
  <c r="B3604" i="1"/>
  <c r="C3604" i="1"/>
  <c r="A514" i="1"/>
  <c r="B514" i="1"/>
  <c r="C514" i="1"/>
  <c r="A5764" i="1"/>
  <c r="B5764" i="1"/>
  <c r="C5764" i="1"/>
  <c r="A6996" i="1"/>
  <c r="B6996" i="1"/>
  <c r="C6996" i="1"/>
  <c r="A3531" i="1"/>
  <c r="B3531" i="1"/>
  <c r="C3531" i="1"/>
  <c r="A11054" i="1"/>
  <c r="B11054" i="1"/>
  <c r="C11054" i="1"/>
  <c r="A5546" i="1"/>
  <c r="B5546" i="1"/>
  <c r="C5546" i="1"/>
  <c r="A1874" i="1"/>
  <c r="B1874" i="1"/>
  <c r="C1874" i="1"/>
  <c r="A6434" i="1"/>
  <c r="B6434" i="1"/>
  <c r="C6434" i="1"/>
  <c r="A11652" i="1"/>
  <c r="B11652" i="1"/>
  <c r="C11652" i="1"/>
  <c r="A444" i="1"/>
  <c r="B444" i="1"/>
  <c r="C444" i="1"/>
  <c r="A13232" i="1"/>
  <c r="B13232" i="1"/>
  <c r="C13232" i="1"/>
  <c r="A1989" i="1"/>
  <c r="B1989" i="1"/>
  <c r="C1989" i="1"/>
  <c r="A4068" i="1"/>
  <c r="B4068" i="1"/>
  <c r="C4068" i="1"/>
  <c r="A2405" i="1"/>
  <c r="B2405" i="1"/>
  <c r="C2405" i="1"/>
  <c r="A4641" i="1"/>
  <c r="B4641" i="1"/>
  <c r="C4641" i="1"/>
  <c r="A5140" i="1"/>
  <c r="B5140" i="1"/>
  <c r="C5140" i="1"/>
  <c r="A13134" i="1"/>
  <c r="B13134" i="1"/>
  <c r="C13134" i="1"/>
  <c r="A11356" i="1"/>
  <c r="B11356" i="1"/>
  <c r="C11356" i="1"/>
  <c r="A11843" i="1"/>
  <c r="B11843" i="1"/>
  <c r="C11843" i="1"/>
  <c r="A1086" i="1"/>
  <c r="B1086" i="1"/>
  <c r="C1086" i="1"/>
  <c r="A12601" i="1"/>
  <c r="B12601" i="1"/>
  <c r="C12601" i="1"/>
  <c r="A2497" i="1"/>
  <c r="B2497" i="1"/>
  <c r="C2497" i="1"/>
  <c r="A12701" i="1"/>
  <c r="B12701" i="1"/>
  <c r="C12701" i="1"/>
  <c r="A1969" i="1"/>
  <c r="B1969" i="1"/>
  <c r="C1969" i="1"/>
  <c r="A9195" i="1"/>
  <c r="B9195" i="1"/>
  <c r="C9195" i="1"/>
  <c r="A5136" i="1"/>
  <c r="B5136" i="1"/>
  <c r="C5136" i="1"/>
  <c r="A5591" i="1"/>
  <c r="B5591" i="1"/>
  <c r="C5591" i="1"/>
  <c r="A5566" i="1"/>
  <c r="B5566" i="1"/>
  <c r="C5566" i="1"/>
  <c r="A13441" i="1"/>
  <c r="B13441" i="1"/>
  <c r="C13441" i="1"/>
  <c r="A13558" i="1"/>
  <c r="B13558" i="1"/>
  <c r="C13558" i="1"/>
  <c r="A1093" i="1"/>
  <c r="B1093" i="1"/>
  <c r="C1093" i="1"/>
  <c r="A4721" i="1"/>
  <c r="B4721" i="1"/>
  <c r="C4721" i="1"/>
  <c r="A11706" i="1"/>
  <c r="B11706" i="1"/>
  <c r="C11706" i="1"/>
  <c r="A2836" i="1"/>
  <c r="B2836" i="1"/>
  <c r="C2836" i="1"/>
  <c r="A9245" i="1"/>
  <c r="B9245" i="1"/>
  <c r="C9245" i="1"/>
  <c r="A12928" i="1"/>
  <c r="B12928" i="1"/>
  <c r="C12928" i="1"/>
  <c r="A11688" i="1"/>
  <c r="B11688" i="1"/>
  <c r="C11688" i="1"/>
  <c r="A12977" i="1"/>
  <c r="B12977" i="1"/>
  <c r="C12977" i="1"/>
  <c r="A10401" i="1"/>
  <c r="B10401" i="1"/>
  <c r="C10401" i="1"/>
  <c r="A2030" i="1"/>
  <c r="B2030" i="1"/>
  <c r="C2030" i="1"/>
  <c r="A7938" i="1"/>
  <c r="B7938" i="1"/>
  <c r="C7938" i="1"/>
  <c r="A13616" i="1"/>
  <c r="B13616" i="1"/>
  <c r="C13616" i="1"/>
  <c r="A7004" i="1"/>
  <c r="B7004" i="1"/>
  <c r="C7004" i="1"/>
  <c r="A12372" i="1"/>
  <c r="B12372" i="1"/>
  <c r="C12372" i="1"/>
  <c r="A13453" i="1"/>
  <c r="B13453" i="1"/>
  <c r="C13453" i="1"/>
  <c r="A11297" i="1"/>
  <c r="B11297" i="1"/>
  <c r="C11297" i="1"/>
  <c r="A13346" i="1"/>
  <c r="B13346" i="1"/>
  <c r="C13346" i="1"/>
  <c r="A7037" i="1"/>
  <c r="B7037" i="1"/>
  <c r="C7037" i="1"/>
  <c r="A7920" i="1"/>
  <c r="B7920" i="1"/>
  <c r="C7920" i="1"/>
  <c r="A13229" i="1"/>
  <c r="B13229" i="1"/>
  <c r="C13229" i="1"/>
  <c r="A8537" i="1"/>
  <c r="B8537" i="1"/>
  <c r="C8537" i="1"/>
  <c r="A12616" i="1"/>
  <c r="B12616" i="1"/>
  <c r="C12616" i="1"/>
  <c r="A13891" i="1"/>
  <c r="B13891" i="1"/>
  <c r="C13891" i="1"/>
  <c r="A2504" i="1"/>
  <c r="B2504" i="1"/>
  <c r="C2504" i="1"/>
  <c r="A7876" i="1"/>
  <c r="B7876" i="1"/>
  <c r="C7876" i="1"/>
  <c r="A989" i="1"/>
  <c r="B989" i="1"/>
  <c r="C989" i="1"/>
  <c r="A4779" i="1"/>
  <c r="B4779" i="1"/>
  <c r="C4779" i="1"/>
  <c r="A1847" i="1"/>
  <c r="B1847" i="1"/>
  <c r="C1847" i="1"/>
  <c r="A7456" i="1"/>
  <c r="B7456" i="1"/>
  <c r="C7456" i="1"/>
  <c r="A6314" i="1"/>
  <c r="B6314" i="1"/>
  <c r="C6314" i="1"/>
  <c r="A13694" i="1"/>
  <c r="B13694" i="1"/>
  <c r="C13694" i="1"/>
  <c r="A11950" i="1"/>
  <c r="B11950" i="1"/>
  <c r="C11950" i="1"/>
  <c r="A670" i="1"/>
  <c r="B670" i="1"/>
  <c r="C670" i="1"/>
  <c r="A662" i="1"/>
  <c r="B662" i="1"/>
  <c r="C662" i="1"/>
  <c r="A2035" i="1"/>
  <c r="B2035" i="1"/>
  <c r="C2035" i="1"/>
  <c r="A665" i="1"/>
  <c r="B665" i="1"/>
  <c r="C665" i="1"/>
  <c r="A8842" i="1"/>
  <c r="B8842" i="1"/>
  <c r="C8842" i="1"/>
  <c r="A2272" i="1"/>
  <c r="B2272" i="1"/>
  <c r="C2272" i="1"/>
  <c r="A13358" i="1"/>
  <c r="B13358" i="1"/>
  <c r="C13358" i="1"/>
  <c r="A4674" i="1"/>
  <c r="B4674" i="1"/>
  <c r="C4674" i="1"/>
  <c r="A12609" i="1"/>
  <c r="B12609" i="1"/>
  <c r="C12609" i="1"/>
  <c r="A1540" i="1"/>
  <c r="B1540" i="1"/>
  <c r="C1540" i="1"/>
  <c r="A4453" i="1"/>
  <c r="B4453" i="1"/>
  <c r="C4453" i="1"/>
  <c r="A10719" i="1"/>
  <c r="B10719" i="1"/>
  <c r="C10719" i="1"/>
  <c r="A271" i="1"/>
  <c r="B271" i="1"/>
  <c r="C271" i="1"/>
  <c r="A3752" i="1"/>
  <c r="B3752" i="1"/>
  <c r="C3752" i="1"/>
  <c r="A7076" i="1"/>
  <c r="B7076" i="1"/>
  <c r="C7076" i="1"/>
  <c r="A1138" i="1"/>
  <c r="B1138" i="1"/>
  <c r="C1138" i="1"/>
  <c r="A7044" i="1"/>
  <c r="B7044" i="1"/>
  <c r="C7044" i="1"/>
  <c r="A12107" i="1"/>
  <c r="B12107" i="1"/>
  <c r="C12107" i="1"/>
  <c r="A1274" i="1"/>
  <c r="B1274" i="1"/>
  <c r="C1274" i="1"/>
  <c r="A1034" i="1"/>
  <c r="B1034" i="1"/>
  <c r="C1034" i="1"/>
  <c r="A10458" i="1"/>
  <c r="B10458" i="1"/>
  <c r="C10458" i="1"/>
  <c r="A8019" i="1"/>
  <c r="B8019" i="1"/>
  <c r="C8019" i="1"/>
  <c r="A13069" i="1"/>
  <c r="B13069" i="1"/>
  <c r="C13069" i="1"/>
  <c r="A3235" i="1"/>
  <c r="B3235" i="1"/>
  <c r="C3235" i="1"/>
  <c r="A3957" i="1"/>
  <c r="B3957" i="1"/>
  <c r="C3957" i="1"/>
  <c r="A8023" i="1"/>
  <c r="B8023" i="1"/>
  <c r="C8023" i="1"/>
  <c r="A8355" i="1"/>
  <c r="B8355" i="1"/>
  <c r="C8355" i="1"/>
  <c r="A7431" i="1"/>
  <c r="B7431" i="1"/>
  <c r="C7431" i="1"/>
  <c r="A3259" i="1"/>
  <c r="B3259" i="1"/>
  <c r="C3259" i="1"/>
  <c r="A3290" i="1"/>
  <c r="B3290" i="1"/>
  <c r="C3290" i="1"/>
  <c r="A7421" i="1"/>
  <c r="B7421" i="1"/>
  <c r="C7421" i="1"/>
  <c r="A13807" i="1"/>
  <c r="B13807" i="1"/>
  <c r="C13807" i="1"/>
  <c r="A12940" i="1"/>
  <c r="B12940" i="1"/>
  <c r="C12940" i="1"/>
  <c r="A2938" i="1"/>
  <c r="B2938" i="1"/>
  <c r="C2938" i="1"/>
  <c r="A3821" i="1"/>
  <c r="B3821" i="1"/>
  <c r="C3821" i="1"/>
  <c r="A2972" i="1"/>
  <c r="B2972" i="1"/>
  <c r="C2972" i="1"/>
  <c r="A8686" i="1"/>
  <c r="B8686" i="1"/>
  <c r="C8686" i="1"/>
  <c r="A7829" i="1"/>
  <c r="B7829" i="1"/>
  <c r="C7829" i="1"/>
  <c r="A738" i="1"/>
  <c r="B738" i="1"/>
  <c r="C738" i="1"/>
  <c r="A7427" i="1"/>
  <c r="B7427" i="1"/>
  <c r="C7427" i="1"/>
  <c r="A7790" i="1"/>
  <c r="B7790" i="1"/>
  <c r="C7790" i="1"/>
  <c r="A6518" i="1"/>
  <c r="B6518" i="1"/>
  <c r="C6518" i="1"/>
  <c r="A12773" i="1"/>
  <c r="B12773" i="1"/>
  <c r="C12773" i="1"/>
  <c r="A1732" i="1"/>
  <c r="B1732" i="1"/>
  <c r="C1732" i="1"/>
  <c r="A2049" i="1"/>
  <c r="B2049" i="1"/>
  <c r="C2049" i="1"/>
  <c r="A415" i="1"/>
  <c r="B415" i="1"/>
  <c r="C415" i="1"/>
  <c r="A11872" i="1"/>
  <c r="B11872" i="1"/>
  <c r="C11872" i="1"/>
  <c r="A663" i="1"/>
  <c r="B663" i="1"/>
  <c r="C663" i="1"/>
  <c r="A11092" i="1"/>
  <c r="B11092" i="1"/>
  <c r="C11092" i="1"/>
  <c r="A4898" i="1"/>
  <c r="B4898" i="1"/>
  <c r="C4898" i="1"/>
  <c r="A13838" i="1"/>
  <c r="B13838" i="1"/>
  <c r="C13838" i="1"/>
  <c r="A3133" i="1"/>
  <c r="B3133" i="1"/>
  <c r="C3133" i="1"/>
  <c r="A3705" i="1"/>
  <c r="B3705" i="1"/>
  <c r="C3705" i="1"/>
  <c r="A7151" i="1"/>
  <c r="B7151" i="1"/>
  <c r="C7151" i="1"/>
  <c r="A8132" i="1"/>
  <c r="B8132" i="1"/>
  <c r="C8132" i="1"/>
  <c r="A9169" i="1"/>
  <c r="B9169" i="1"/>
  <c r="C9169" i="1"/>
  <c r="A6947" i="1"/>
  <c r="B6947" i="1"/>
  <c r="C6947" i="1"/>
  <c r="A9801" i="1"/>
  <c r="B9801" i="1"/>
  <c r="C9801" i="1"/>
  <c r="A543" i="1"/>
  <c r="B543" i="1"/>
  <c r="C543" i="1"/>
  <c r="A9616" i="1"/>
  <c r="B9616" i="1"/>
  <c r="C9616" i="1"/>
  <c r="A4929" i="1"/>
  <c r="B4929" i="1"/>
  <c r="C4929" i="1"/>
  <c r="A4714" i="1"/>
  <c r="B4714" i="1"/>
  <c r="C4714" i="1"/>
  <c r="A3750" i="1"/>
  <c r="B3750" i="1"/>
  <c r="C3750" i="1"/>
  <c r="A7336" i="1"/>
  <c r="B7336" i="1"/>
  <c r="C7336" i="1"/>
  <c r="A3185" i="1"/>
  <c r="B3185" i="1"/>
  <c r="C3185" i="1"/>
  <c r="A6333" i="1"/>
  <c r="B6333" i="1"/>
  <c r="C6333" i="1"/>
  <c r="A4454" i="1"/>
  <c r="B4454" i="1"/>
  <c r="C4454" i="1"/>
  <c r="A8667" i="1"/>
  <c r="B8667" i="1"/>
  <c r="C8667" i="1"/>
  <c r="A7889" i="1"/>
  <c r="B7889" i="1"/>
  <c r="C7889" i="1"/>
  <c r="A7848" i="1"/>
  <c r="B7848" i="1"/>
  <c r="C7848" i="1"/>
  <c r="A3581" i="1"/>
  <c r="B3581" i="1"/>
  <c r="C3581" i="1"/>
  <c r="A1433" i="1"/>
  <c r="B1433" i="1"/>
  <c r="C1433" i="1"/>
  <c r="A3954" i="1"/>
  <c r="B3954" i="1"/>
  <c r="C3954" i="1"/>
  <c r="A11643" i="1"/>
  <c r="B11643" i="1"/>
  <c r="C11643" i="1"/>
  <c r="A3518" i="1"/>
  <c r="B3518" i="1"/>
  <c r="C3518" i="1"/>
  <c r="A9412" i="1"/>
  <c r="B9412" i="1"/>
  <c r="C9412" i="1"/>
  <c r="A10574" i="1"/>
  <c r="B10574" i="1"/>
  <c r="C10574" i="1"/>
  <c r="A4937" i="1"/>
  <c r="B4937" i="1"/>
  <c r="C4937" i="1"/>
  <c r="A5423" i="1"/>
  <c r="B5423" i="1"/>
  <c r="C5423" i="1"/>
  <c r="A5487" i="1"/>
  <c r="B5487" i="1"/>
  <c r="C5487" i="1"/>
  <c r="A2770" i="1"/>
  <c r="B2770" i="1"/>
  <c r="C2770" i="1"/>
  <c r="A12245" i="1"/>
  <c r="B12245" i="1"/>
  <c r="C12245" i="1"/>
  <c r="A13021" i="1"/>
  <c r="B13021" i="1"/>
  <c r="C13021" i="1"/>
  <c r="A7864" i="1"/>
  <c r="B7864" i="1"/>
  <c r="C7864" i="1"/>
  <c r="A10146" i="1"/>
  <c r="B10146" i="1"/>
  <c r="C10146" i="1"/>
  <c r="A10465" i="1"/>
  <c r="B10465" i="1"/>
  <c r="C10465" i="1"/>
  <c r="A12594" i="1"/>
  <c r="B12594" i="1"/>
  <c r="C12594" i="1"/>
  <c r="A4666" i="1"/>
  <c r="B4666" i="1"/>
  <c r="C4666" i="1"/>
  <c r="A6050" i="1"/>
  <c r="B6050" i="1"/>
  <c r="C6050" i="1"/>
  <c r="A2666" i="1"/>
  <c r="B2666" i="1"/>
  <c r="C2666" i="1"/>
  <c r="A8018" i="1"/>
  <c r="B8018" i="1"/>
  <c r="C8018" i="1"/>
  <c r="A6123" i="1"/>
  <c r="B6123" i="1"/>
  <c r="C6123" i="1"/>
  <c r="A12551" i="1"/>
  <c r="B12551" i="1"/>
  <c r="C12551" i="1"/>
  <c r="A3956" i="1"/>
  <c r="B3956" i="1"/>
  <c r="C3956" i="1"/>
  <c r="A12193" i="1"/>
  <c r="B12193" i="1"/>
  <c r="C12193" i="1"/>
  <c r="A12346" i="1"/>
  <c r="B12346" i="1"/>
  <c r="C12346" i="1"/>
  <c r="A5369" i="1"/>
  <c r="B5369" i="1"/>
  <c r="C5369" i="1"/>
  <c r="A1129" i="1"/>
  <c r="B1129" i="1"/>
  <c r="C1129" i="1"/>
  <c r="A13220" i="1"/>
  <c r="B13220" i="1"/>
  <c r="C13220" i="1"/>
  <c r="A5431" i="1"/>
  <c r="B5431" i="1"/>
  <c r="C5431" i="1"/>
  <c r="A5205" i="1"/>
  <c r="B5205" i="1"/>
  <c r="C5205" i="1"/>
  <c r="A3424" i="1"/>
  <c r="B3424" i="1"/>
  <c r="C3424" i="1"/>
  <c r="A10940" i="1"/>
  <c r="B10940" i="1"/>
  <c r="C10940" i="1"/>
  <c r="A8876" i="1"/>
  <c r="B8876" i="1"/>
  <c r="C8876" i="1"/>
  <c r="A1145" i="1"/>
  <c r="B1145" i="1"/>
  <c r="C1145" i="1"/>
  <c r="A1351" i="1"/>
  <c r="B1351" i="1"/>
  <c r="C1351" i="1"/>
  <c r="A7282" i="1"/>
  <c r="B7282" i="1"/>
  <c r="C7282" i="1"/>
  <c r="A3334" i="1"/>
  <c r="B3334" i="1"/>
  <c r="C3334" i="1"/>
  <c r="A10755" i="1"/>
  <c r="B10755" i="1"/>
  <c r="C10755" i="1"/>
  <c r="A6673" i="1"/>
  <c r="B6673" i="1"/>
  <c r="C6673" i="1"/>
  <c r="A6407" i="1"/>
  <c r="B6407" i="1"/>
  <c r="C6407" i="1"/>
  <c r="A3488" i="1"/>
  <c r="B3488" i="1"/>
  <c r="C3488" i="1"/>
  <c r="A5671" i="1"/>
  <c r="B5671" i="1"/>
  <c r="C5671" i="1"/>
  <c r="A6991" i="1"/>
  <c r="B6991" i="1"/>
  <c r="C6991" i="1"/>
  <c r="A10352" i="1"/>
  <c r="B10352" i="1"/>
  <c r="C10352" i="1"/>
  <c r="A166" i="1"/>
  <c r="B166" i="1"/>
  <c r="C166" i="1"/>
  <c r="A10660" i="1"/>
  <c r="B10660" i="1"/>
  <c r="C10660" i="1"/>
  <c r="A6376" i="1"/>
  <c r="B6376" i="1"/>
  <c r="C6376" i="1"/>
  <c r="A4382" i="1"/>
  <c r="B4382" i="1"/>
  <c r="C4382" i="1"/>
  <c r="A3847" i="1"/>
  <c r="B3847" i="1"/>
  <c r="C3847" i="1"/>
  <c r="A8784" i="1"/>
  <c r="B8784" i="1"/>
  <c r="C8784" i="1"/>
  <c r="A4722" i="1"/>
  <c r="B4722" i="1"/>
  <c r="C4722" i="1"/>
  <c r="A11438" i="1"/>
  <c r="B11438" i="1"/>
  <c r="C11438" i="1"/>
  <c r="A8347" i="1"/>
  <c r="B8347" i="1"/>
  <c r="C8347" i="1"/>
  <c r="A9827" i="1"/>
  <c r="B9827" i="1"/>
  <c r="C9827" i="1"/>
  <c r="A2402" i="1"/>
  <c r="B2402" i="1"/>
  <c r="C2402" i="1"/>
  <c r="A10034" i="1"/>
  <c r="B10034" i="1"/>
  <c r="C10034" i="1"/>
  <c r="A5997" i="1"/>
  <c r="B5997" i="1"/>
  <c r="C5997" i="1"/>
  <c r="A13415" i="1"/>
  <c r="B13415" i="1"/>
  <c r="C13415" i="1"/>
  <c r="A7132" i="1"/>
  <c r="B7132" i="1"/>
  <c r="C7132" i="1"/>
  <c r="A4270" i="1"/>
  <c r="B4270" i="1"/>
  <c r="C4270" i="1"/>
  <c r="A12578" i="1"/>
  <c r="B12578" i="1"/>
  <c r="C12578" i="1"/>
  <c r="A7019" i="1"/>
  <c r="B7019" i="1"/>
  <c r="C7019" i="1"/>
  <c r="A12682" i="1"/>
  <c r="B12682" i="1"/>
  <c r="C12682" i="1"/>
  <c r="A5757" i="1"/>
  <c r="B5757" i="1"/>
  <c r="C5757" i="1"/>
  <c r="A9017" i="1"/>
  <c r="B9017" i="1"/>
  <c r="C9017" i="1"/>
  <c r="A12681" i="1"/>
  <c r="B12681" i="1"/>
  <c r="C12681" i="1"/>
  <c r="A4467" i="1"/>
  <c r="B4467" i="1"/>
  <c r="C4467" i="1"/>
  <c r="A9784" i="1"/>
  <c r="B9784" i="1"/>
  <c r="C9784" i="1"/>
  <c r="A9765" i="1"/>
  <c r="B9765" i="1"/>
  <c r="C9765" i="1"/>
  <c r="A4700" i="1"/>
  <c r="B4700" i="1"/>
  <c r="C4700" i="1"/>
  <c r="A13221" i="1"/>
  <c r="B13221" i="1"/>
  <c r="C13221" i="1"/>
  <c r="A11144" i="1"/>
  <c r="B11144" i="1"/>
  <c r="C11144" i="1"/>
  <c r="A13399" i="1"/>
  <c r="B13399" i="1"/>
  <c r="C13399" i="1"/>
  <c r="A1999" i="1"/>
  <c r="B1999" i="1"/>
  <c r="C1999" i="1"/>
  <c r="A1180" i="1"/>
  <c r="B1180" i="1"/>
  <c r="C1180" i="1"/>
  <c r="A10669" i="1"/>
  <c r="B10669" i="1"/>
  <c r="C10669" i="1"/>
  <c r="A6312" i="1"/>
  <c r="B6312" i="1"/>
  <c r="C6312" i="1"/>
  <c r="A12430" i="1"/>
  <c r="B12430" i="1"/>
  <c r="C12430" i="1"/>
  <c r="A8006" i="1"/>
  <c r="B8006" i="1"/>
  <c r="C8006" i="1"/>
  <c r="A9010" i="1"/>
  <c r="B9010" i="1"/>
  <c r="C9010" i="1"/>
  <c r="A5541" i="1"/>
  <c r="B5541" i="1"/>
  <c r="C5541" i="1"/>
  <c r="A1217" i="1"/>
  <c r="B1217" i="1"/>
  <c r="C1217" i="1"/>
  <c r="A9803" i="1"/>
  <c r="B9803" i="1"/>
  <c r="C9803" i="1"/>
  <c r="A10285" i="1"/>
  <c r="B10285" i="1"/>
  <c r="C10285" i="1"/>
  <c r="A8719" i="1"/>
  <c r="B8719" i="1"/>
  <c r="C8719" i="1"/>
  <c r="A3214" i="1"/>
  <c r="B3214" i="1"/>
  <c r="C3214" i="1"/>
  <c r="A4723" i="1"/>
  <c r="B4723" i="1"/>
  <c r="C4723" i="1"/>
  <c r="A4707" i="1"/>
  <c r="B4707" i="1"/>
  <c r="C4707" i="1"/>
  <c r="A13098" i="1"/>
  <c r="B13098" i="1"/>
  <c r="C13098" i="1"/>
  <c r="A3184" i="1"/>
  <c r="B3184" i="1"/>
  <c r="C3184" i="1"/>
  <c r="A13001" i="1"/>
  <c r="B13001" i="1"/>
  <c r="C13001" i="1"/>
  <c r="A13017" i="1"/>
  <c r="B13017" i="1"/>
  <c r="C13017" i="1"/>
  <c r="A1094" i="1"/>
  <c r="B1094" i="1"/>
  <c r="C1094" i="1"/>
  <c r="A11603" i="1"/>
  <c r="B11603" i="1"/>
  <c r="C11603" i="1"/>
  <c r="A6271" i="1"/>
  <c r="B6271" i="1"/>
  <c r="C6271" i="1"/>
  <c r="A3773" i="1"/>
  <c r="B3773" i="1"/>
  <c r="C3773" i="1"/>
  <c r="A12404" i="1"/>
  <c r="B12404" i="1"/>
  <c r="C12404" i="1"/>
  <c r="A2789" i="1"/>
  <c r="B2789" i="1"/>
  <c r="C2789" i="1"/>
  <c r="A299" i="1"/>
  <c r="B299" i="1"/>
  <c r="C299" i="1"/>
  <c r="A13210" i="1"/>
  <c r="B13210" i="1"/>
  <c r="C13210" i="1"/>
  <c r="A8230" i="1"/>
  <c r="B8230" i="1"/>
  <c r="C8230" i="1"/>
  <c r="A12066" i="1"/>
  <c r="B12066" i="1"/>
  <c r="C12066" i="1"/>
  <c r="A3066" i="1"/>
  <c r="B3066" i="1"/>
  <c r="C3066" i="1"/>
  <c r="A7317" i="1"/>
  <c r="B7317" i="1"/>
  <c r="C7317" i="1"/>
  <c r="A2757" i="1"/>
  <c r="B2757" i="1"/>
  <c r="C2757" i="1"/>
  <c r="A10675" i="1"/>
  <c r="B10675" i="1"/>
  <c r="C10675" i="1"/>
  <c r="A5152" i="1"/>
  <c r="B5152" i="1"/>
  <c r="C5152" i="1"/>
  <c r="A11723" i="1"/>
  <c r="B11723" i="1"/>
  <c r="C11723" i="1"/>
  <c r="A10294" i="1"/>
  <c r="B10294" i="1"/>
  <c r="C10294" i="1"/>
  <c r="A8578" i="1"/>
  <c r="B8578" i="1"/>
  <c r="C8578" i="1"/>
  <c r="A5425" i="1"/>
  <c r="B5425" i="1"/>
  <c r="C5425" i="1"/>
  <c r="A13724" i="1"/>
  <c r="B13724" i="1"/>
  <c r="C13724" i="1"/>
  <c r="A3606" i="1"/>
  <c r="B3606" i="1"/>
  <c r="C3606" i="1"/>
  <c r="A5792" i="1"/>
  <c r="B5792" i="1"/>
  <c r="C5792" i="1"/>
  <c r="A12812" i="1"/>
  <c r="B12812" i="1"/>
  <c r="C12812" i="1"/>
  <c r="A3403" i="1"/>
  <c r="B3403" i="1"/>
  <c r="C3403" i="1"/>
  <c r="A5584" i="1"/>
  <c r="B5584" i="1"/>
  <c r="C5584" i="1"/>
  <c r="A9246" i="1"/>
  <c r="B9246" i="1"/>
  <c r="C9246" i="1"/>
  <c r="A3672" i="1"/>
  <c r="B3672" i="1"/>
  <c r="C3672" i="1"/>
  <c r="A1303" i="1"/>
  <c r="B1303" i="1"/>
  <c r="C1303" i="1"/>
  <c r="A10296" i="1"/>
  <c r="B10296" i="1"/>
  <c r="C10296" i="1"/>
  <c r="A5238" i="1"/>
  <c r="B5238" i="1"/>
  <c r="C5238" i="1"/>
  <c r="A12320" i="1"/>
  <c r="B12320" i="1"/>
  <c r="C12320" i="1"/>
  <c r="A144" i="1"/>
  <c r="B144" i="1"/>
  <c r="C144" i="1"/>
  <c r="A923" i="1"/>
  <c r="B923" i="1"/>
  <c r="C923" i="1"/>
  <c r="A9731" i="1"/>
  <c r="B9731" i="1"/>
  <c r="C9731" i="1"/>
  <c r="A7052" i="1"/>
  <c r="B7052" i="1"/>
  <c r="C7052" i="1"/>
  <c r="A7791" i="1"/>
  <c r="B7791" i="1"/>
  <c r="C7791" i="1"/>
  <c r="A7326" i="1"/>
  <c r="B7326" i="1"/>
  <c r="C7326" i="1"/>
  <c r="A3822" i="1"/>
  <c r="B3822" i="1"/>
  <c r="C3822" i="1"/>
  <c r="A6461" i="1"/>
  <c r="B6461" i="1"/>
  <c r="C6461" i="1"/>
  <c r="A7133" i="1"/>
  <c r="B7133" i="1"/>
  <c r="C7133" i="1"/>
  <c r="A13747" i="1"/>
  <c r="B13747" i="1"/>
  <c r="C13747" i="1"/>
  <c r="A851" i="1"/>
  <c r="B851" i="1"/>
  <c r="C851" i="1"/>
  <c r="A7081" i="1"/>
  <c r="B7081" i="1"/>
  <c r="C7081" i="1"/>
  <c r="A510" i="1"/>
  <c r="B510" i="1"/>
  <c r="C510" i="1"/>
  <c r="A6149" i="1"/>
  <c r="B6149" i="1"/>
  <c r="C6149" i="1"/>
  <c r="A8538" i="1"/>
  <c r="B8538" i="1"/>
  <c r="C8538" i="1"/>
  <c r="A2403" i="1"/>
  <c r="B2403" i="1"/>
  <c r="C2403" i="1"/>
  <c r="A571" i="1"/>
  <c r="B571" i="1"/>
  <c r="C571" i="1"/>
  <c r="A11985" i="1"/>
  <c r="B11985" i="1"/>
  <c r="C11985" i="1"/>
  <c r="A6917" i="1"/>
  <c r="B6917" i="1"/>
  <c r="C6917" i="1"/>
  <c r="A3520" i="1"/>
  <c r="B3520" i="1"/>
  <c r="C3520" i="1"/>
  <c r="A1958" i="1"/>
  <c r="B1958" i="1"/>
  <c r="C1958" i="1"/>
  <c r="A12848" i="1"/>
  <c r="B12848" i="1"/>
  <c r="C12848" i="1"/>
  <c r="A3189" i="1"/>
  <c r="B3189" i="1"/>
  <c r="C3189" i="1"/>
  <c r="A8139" i="1"/>
  <c r="B8139" i="1"/>
  <c r="C8139" i="1"/>
  <c r="A11267" i="1"/>
  <c r="B11267" i="1"/>
  <c r="C11267" i="1"/>
  <c r="A1418" i="1"/>
  <c r="B1418" i="1"/>
  <c r="C1418" i="1"/>
  <c r="A570" i="1"/>
  <c r="B570" i="1"/>
  <c r="C570" i="1"/>
  <c r="A5990" i="1"/>
  <c r="B5990" i="1"/>
  <c r="C5990" i="1"/>
  <c r="A9810" i="1"/>
  <c r="B9810" i="1"/>
  <c r="C9810" i="1"/>
  <c r="A2526" i="1"/>
  <c r="B2526" i="1"/>
  <c r="C2526" i="1"/>
  <c r="A12943" i="1"/>
  <c r="B12943" i="1"/>
  <c r="C12943" i="1"/>
  <c r="A799" i="1"/>
  <c r="B799" i="1"/>
  <c r="C799" i="1"/>
  <c r="A13287" i="1"/>
  <c r="B13287" i="1"/>
  <c r="C13287" i="1"/>
  <c r="A11401" i="1"/>
  <c r="B11401" i="1"/>
  <c r="C11401" i="1"/>
  <c r="A10494" i="1"/>
  <c r="B10494" i="1"/>
  <c r="C10494" i="1"/>
  <c r="A803" i="1"/>
  <c r="B803" i="1"/>
  <c r="C803" i="1"/>
  <c r="A7726" i="1"/>
  <c r="B7726" i="1"/>
  <c r="C7726" i="1"/>
  <c r="A13679" i="1"/>
  <c r="B13679" i="1"/>
  <c r="C13679" i="1"/>
  <c r="A13013" i="1"/>
  <c r="B13013" i="1"/>
  <c r="C13013" i="1"/>
  <c r="A9725" i="1"/>
  <c r="B9725" i="1"/>
  <c r="C9725" i="1"/>
  <c r="A1663" i="1"/>
  <c r="B1663" i="1"/>
  <c r="C1663" i="1"/>
  <c r="A10278" i="1"/>
  <c r="B10278" i="1"/>
  <c r="C10278" i="1"/>
  <c r="A1290" i="1"/>
  <c r="B1290" i="1"/>
  <c r="C1290" i="1"/>
  <c r="A8073" i="1"/>
  <c r="B8073" i="1"/>
  <c r="C8073" i="1"/>
  <c r="A1471" i="1"/>
  <c r="B1471" i="1"/>
  <c r="C1471" i="1"/>
  <c r="A8324" i="1"/>
  <c r="B8324" i="1"/>
  <c r="C8324" i="1"/>
  <c r="A1727" i="1"/>
  <c r="B1727" i="1"/>
  <c r="C1727" i="1"/>
  <c r="A10644" i="1"/>
  <c r="B10644" i="1"/>
  <c r="C10644" i="1"/>
  <c r="A3450" i="1"/>
  <c r="B3450" i="1"/>
  <c r="C3450" i="1"/>
  <c r="A5335" i="1"/>
  <c r="B5335" i="1"/>
  <c r="C5335" i="1"/>
  <c r="A9647" i="1"/>
  <c r="B9647" i="1"/>
  <c r="C9647" i="1"/>
  <c r="A12526" i="1"/>
  <c r="B12526" i="1"/>
  <c r="C12526" i="1"/>
  <c r="A2565" i="1"/>
  <c r="B2565" i="1"/>
  <c r="C2565" i="1"/>
  <c r="A821" i="1"/>
  <c r="B821" i="1"/>
  <c r="C821" i="1"/>
  <c r="A10659" i="1"/>
  <c r="B10659" i="1"/>
  <c r="C10659" i="1"/>
  <c r="A13153" i="1"/>
  <c r="B13153" i="1"/>
  <c r="C13153" i="1"/>
  <c r="A5759" i="1"/>
  <c r="B5759" i="1"/>
  <c r="C5759" i="1"/>
  <c r="A11858" i="1"/>
  <c r="B11858" i="1"/>
  <c r="C11858" i="1"/>
  <c r="A5190" i="1"/>
  <c r="B5190" i="1"/>
  <c r="C5190" i="1"/>
  <c r="A7571" i="1"/>
  <c r="B7571" i="1"/>
  <c r="C7571" i="1"/>
  <c r="A3823" i="1"/>
  <c r="B3823" i="1"/>
  <c r="C3823" i="1"/>
  <c r="A7570" i="1"/>
  <c r="B7570" i="1"/>
  <c r="C7570" i="1"/>
  <c r="A5561" i="1"/>
  <c r="B5561" i="1"/>
  <c r="C5561" i="1"/>
  <c r="A5649" i="1"/>
  <c r="B5649" i="1"/>
  <c r="C5649" i="1"/>
  <c r="A7305" i="1"/>
  <c r="B7305" i="1"/>
  <c r="C7305" i="1"/>
  <c r="A10694" i="1"/>
  <c r="B10694" i="1"/>
  <c r="C10694" i="1"/>
  <c r="A4972" i="1"/>
  <c r="B4972" i="1"/>
  <c r="C4972" i="1"/>
  <c r="A1434" i="1"/>
  <c r="B1434" i="1"/>
  <c r="C1434" i="1"/>
  <c r="A4033" i="1"/>
  <c r="B4033" i="1"/>
  <c r="C4033" i="1"/>
  <c r="A8236" i="1"/>
  <c r="B8236" i="1"/>
  <c r="C8236" i="1"/>
  <c r="A505" i="1"/>
  <c r="B505" i="1"/>
  <c r="C505" i="1"/>
  <c r="A8999" i="1"/>
  <c r="B8999" i="1"/>
  <c r="C8999" i="1"/>
  <c r="A11519" i="1"/>
  <c r="B11519" i="1"/>
  <c r="C11519" i="1"/>
  <c r="A7939" i="1"/>
  <c r="B7939" i="1"/>
  <c r="C7939" i="1"/>
  <c r="A2775" i="1"/>
  <c r="B2775" i="1"/>
  <c r="C2775" i="1"/>
  <c r="A11768" i="1"/>
  <c r="B11768" i="1"/>
  <c r="C11768" i="1"/>
  <c r="A1027" i="1"/>
  <c r="B1027" i="1"/>
  <c r="C1027" i="1"/>
  <c r="A4902" i="1"/>
  <c r="B4902" i="1"/>
  <c r="C4902" i="1"/>
  <c r="A13653" i="1"/>
  <c r="B13653" i="1"/>
  <c r="C13653" i="1"/>
  <c r="A10266" i="1"/>
  <c r="B10266" i="1"/>
  <c r="C10266" i="1"/>
  <c r="A3196" i="1"/>
  <c r="B3196" i="1"/>
  <c r="C3196" i="1"/>
  <c r="A9023" i="1"/>
  <c r="B9023" i="1"/>
  <c r="C9023" i="1"/>
  <c r="A5210" i="1"/>
  <c r="B5210" i="1"/>
  <c r="C5210" i="1"/>
  <c r="A2928" i="1"/>
  <c r="B2928" i="1"/>
  <c r="C2928" i="1"/>
  <c r="A7651" i="1"/>
  <c r="B7651" i="1"/>
  <c r="C7651" i="1"/>
  <c r="A2614" i="1"/>
  <c r="B2614" i="1"/>
  <c r="C2614" i="1"/>
  <c r="A7652" i="1"/>
  <c r="B7652" i="1"/>
  <c r="C7652" i="1"/>
  <c r="A6992" i="1"/>
  <c r="B6992" i="1"/>
  <c r="C6992" i="1"/>
  <c r="A13412" i="1"/>
  <c r="B13412" i="1"/>
  <c r="C13412" i="1"/>
  <c r="A10697" i="1"/>
  <c r="B10697" i="1"/>
  <c r="C10697" i="1"/>
  <c r="A161" i="1"/>
  <c r="B161" i="1"/>
  <c r="C161" i="1"/>
  <c r="A7678" i="1"/>
  <c r="B7678" i="1"/>
  <c r="C7678" i="1"/>
  <c r="A7653" i="1"/>
  <c r="B7653" i="1"/>
  <c r="C7653" i="1"/>
  <c r="A1632" i="1"/>
  <c r="B1632" i="1"/>
  <c r="C1632" i="1"/>
  <c r="A11354" i="1"/>
  <c r="B11354" i="1"/>
  <c r="C11354" i="1"/>
  <c r="A1444" i="1"/>
  <c r="B1444" i="1"/>
  <c r="C1444" i="1"/>
  <c r="A11389" i="1"/>
  <c r="B11389" i="1"/>
  <c r="C11389" i="1"/>
  <c r="A12824" i="1"/>
  <c r="B12824" i="1"/>
  <c r="C12824" i="1"/>
  <c r="A2253" i="1"/>
  <c r="B2253" i="1"/>
  <c r="C2253" i="1"/>
  <c r="A701" i="1"/>
  <c r="B701" i="1"/>
  <c r="C701" i="1"/>
  <c r="A10331" i="1"/>
  <c r="B10331" i="1"/>
  <c r="C10331" i="1"/>
  <c r="A3092" i="1"/>
  <c r="B3092" i="1"/>
  <c r="C3092" i="1"/>
  <c r="A12470" i="1"/>
  <c r="B12470" i="1"/>
  <c r="C12470" i="1"/>
  <c r="A11578" i="1"/>
  <c r="B11578" i="1"/>
  <c r="C11578" i="1"/>
  <c r="A8843" i="1"/>
  <c r="B8843" i="1"/>
  <c r="C8843" i="1"/>
  <c r="A10599" i="1"/>
  <c r="B10599" i="1"/>
  <c r="C10599" i="1"/>
  <c r="A13501" i="1"/>
  <c r="B13501" i="1"/>
  <c r="C13501" i="1"/>
  <c r="A8956" i="1"/>
  <c r="B8956" i="1"/>
  <c r="C8956" i="1"/>
  <c r="A10256" i="1"/>
  <c r="B10256" i="1"/>
  <c r="C10256" i="1"/>
  <c r="A3548" i="1"/>
  <c r="B3548" i="1"/>
  <c r="C3548" i="1"/>
  <c r="A3192" i="1"/>
  <c r="B3192" i="1"/>
  <c r="C3192" i="1"/>
  <c r="A8670" i="1"/>
  <c r="B8670" i="1"/>
  <c r="C8670" i="1"/>
  <c r="A6417" i="1"/>
  <c r="B6417" i="1"/>
  <c r="C6417" i="1"/>
  <c r="A4645" i="1"/>
  <c r="B4645" i="1"/>
  <c r="C4645" i="1"/>
  <c r="A4153" i="1"/>
  <c r="B4153" i="1"/>
  <c r="C4153" i="1"/>
  <c r="A7955" i="1"/>
  <c r="B7955" i="1"/>
  <c r="C7955" i="1"/>
  <c r="A12767" i="1"/>
  <c r="B12767" i="1"/>
  <c r="C12767" i="1"/>
  <c r="A9986" i="1"/>
  <c r="B9986" i="1"/>
  <c r="C9986" i="1"/>
  <c r="A2149" i="1"/>
  <c r="B2149" i="1"/>
  <c r="C2149" i="1"/>
  <c r="A4625" i="1"/>
  <c r="B4625" i="1"/>
  <c r="C4625" i="1"/>
  <c r="A3233" i="1"/>
  <c r="B3233" i="1"/>
  <c r="C3233" i="1"/>
  <c r="A9814" i="1"/>
  <c r="B9814" i="1"/>
  <c r="C9814" i="1"/>
  <c r="A1402" i="1"/>
  <c r="B1402" i="1"/>
  <c r="C1402" i="1"/>
  <c r="A10012" i="1"/>
  <c r="B10012" i="1"/>
  <c r="C10012" i="1"/>
  <c r="A13364" i="1"/>
  <c r="B13364" i="1"/>
  <c r="C13364" i="1"/>
  <c r="A12828" i="1"/>
  <c r="B12828" i="1"/>
  <c r="C12828" i="1"/>
  <c r="A6095" i="1"/>
  <c r="B6095" i="1"/>
  <c r="C6095" i="1"/>
  <c r="A3958" i="1"/>
  <c r="B3958" i="1"/>
  <c r="C3958" i="1"/>
  <c r="A104" i="1"/>
  <c r="B104" i="1"/>
  <c r="C104" i="1"/>
  <c r="A7824" i="1"/>
  <c r="B7824" i="1"/>
  <c r="C7824" i="1"/>
  <c r="A8785" i="1"/>
  <c r="B8785" i="1"/>
  <c r="C8785" i="1"/>
  <c r="A11133" i="1"/>
  <c r="B11133" i="1"/>
  <c r="C11133" i="1"/>
  <c r="A12552" i="1"/>
  <c r="B12552" i="1"/>
  <c r="C12552" i="1"/>
  <c r="A13424" i="1"/>
  <c r="B13424" i="1"/>
  <c r="C13424" i="1"/>
  <c r="A7911" i="1"/>
  <c r="B7911" i="1"/>
  <c r="C7911" i="1"/>
  <c r="A8135" i="1"/>
  <c r="B8135" i="1"/>
  <c r="C8135" i="1"/>
  <c r="A7134" i="1"/>
  <c r="B7134" i="1"/>
  <c r="C7134" i="1"/>
  <c r="A7251" i="1"/>
  <c r="B7251" i="1"/>
  <c r="C7251" i="1"/>
  <c r="A8624" i="1"/>
  <c r="B8624" i="1"/>
  <c r="C8624" i="1"/>
  <c r="A946" i="1"/>
  <c r="B946" i="1"/>
  <c r="C946" i="1"/>
  <c r="A11396" i="1"/>
  <c r="B11396" i="1"/>
  <c r="C11396" i="1"/>
  <c r="A12889" i="1"/>
  <c r="B12889" i="1"/>
  <c r="C12889" i="1"/>
  <c r="A4852" i="1"/>
  <c r="B4852" i="1"/>
  <c r="C4852" i="1"/>
  <c r="A6147" i="1"/>
  <c r="B6147" i="1"/>
  <c r="C6147" i="1"/>
  <c r="A10476" i="1"/>
  <c r="B10476" i="1"/>
  <c r="C10476" i="1"/>
  <c r="A3628" i="1"/>
  <c r="B3628" i="1"/>
  <c r="C3628" i="1"/>
  <c r="A7227" i="1"/>
  <c r="B7227" i="1"/>
  <c r="C7227" i="1"/>
  <c r="A2898" i="1"/>
  <c r="B2898" i="1"/>
  <c r="C2898" i="1"/>
  <c r="A5713" i="1"/>
  <c r="B5713" i="1"/>
  <c r="C5713" i="1"/>
  <c r="A4303" i="1"/>
  <c r="B4303" i="1"/>
  <c r="C4303" i="1"/>
  <c r="A8877" i="1"/>
  <c r="B8877" i="1"/>
  <c r="C8877" i="1"/>
  <c r="A7018" i="1"/>
  <c r="B7018" i="1"/>
  <c r="C7018" i="1"/>
  <c r="A5923" i="1"/>
  <c r="B5923" i="1"/>
  <c r="C5923" i="1"/>
  <c r="A2000" i="1"/>
  <c r="B2000" i="1"/>
  <c r="C2000" i="1"/>
  <c r="A9235" i="1"/>
  <c r="B9235" i="1"/>
  <c r="C9235" i="1"/>
  <c r="A5042" i="1"/>
  <c r="B5042" i="1"/>
  <c r="C5042" i="1"/>
  <c r="A2921" i="1"/>
  <c r="B2921" i="1"/>
  <c r="C2921" i="1"/>
  <c r="A8671" i="1"/>
  <c r="B8671" i="1"/>
  <c r="C8671" i="1"/>
  <c r="A3100" i="1"/>
  <c r="B3100" i="1"/>
  <c r="C3100" i="1"/>
  <c r="A11912" i="1"/>
  <c r="B11912" i="1"/>
  <c r="C11912" i="1"/>
  <c r="A12155" i="1"/>
  <c r="B12155" i="1"/>
  <c r="C12155" i="1"/>
  <c r="A8510" i="1"/>
  <c r="B8510" i="1"/>
  <c r="C8510" i="1"/>
  <c r="A13559" i="1"/>
  <c r="B13559" i="1"/>
  <c r="C13559" i="1"/>
  <c r="A4240" i="1"/>
  <c r="B4240" i="1"/>
  <c r="C4240" i="1"/>
  <c r="A10332" i="1"/>
  <c r="B10332" i="1"/>
  <c r="C10332" i="1"/>
  <c r="A10842" i="1"/>
  <c r="B10842" i="1"/>
  <c r="C10842" i="1"/>
  <c r="A1482" i="1"/>
  <c r="B1482" i="1"/>
  <c r="C1482" i="1"/>
  <c r="A12978" i="1"/>
  <c r="B12978" i="1"/>
  <c r="C12978" i="1"/>
  <c r="A13085" i="1"/>
  <c r="B13085" i="1"/>
  <c r="C13085" i="1"/>
  <c r="A2420" i="1"/>
  <c r="B2420" i="1"/>
  <c r="C2420" i="1"/>
  <c r="A6119" i="1"/>
  <c r="B6119" i="1"/>
  <c r="C6119" i="1"/>
  <c r="A429" i="1"/>
  <c r="B429" i="1"/>
  <c r="C429" i="1"/>
  <c r="A430" i="1"/>
  <c r="B430" i="1"/>
  <c r="C430" i="1"/>
  <c r="A11385" i="1"/>
  <c r="B11385" i="1"/>
  <c r="C11385" i="1"/>
  <c r="A7200" i="1"/>
  <c r="B7200" i="1"/>
  <c r="C7200" i="1"/>
  <c r="A12915" i="1"/>
  <c r="B12915" i="1"/>
  <c r="C12915" i="1"/>
  <c r="A13820" i="1"/>
  <c r="B13820" i="1"/>
  <c r="C13820" i="1"/>
  <c r="A1348" i="1"/>
  <c r="B1348" i="1"/>
  <c r="C1348" i="1"/>
  <c r="A8356" i="1"/>
  <c r="B8356" i="1"/>
  <c r="C8356" i="1"/>
  <c r="A1922" i="1"/>
  <c r="B1922" i="1"/>
  <c r="C1922" i="1"/>
  <c r="A2194" i="1"/>
  <c r="B2194" i="1"/>
  <c r="C2194" i="1"/>
  <c r="A5099" i="1"/>
  <c r="B5099" i="1"/>
  <c r="C5099" i="1"/>
  <c r="A2670" i="1"/>
  <c r="B2670" i="1"/>
  <c r="C2670" i="1"/>
  <c r="A6279" i="1"/>
  <c r="B6279" i="1"/>
  <c r="C6279" i="1"/>
  <c r="A1255" i="1"/>
  <c r="B1255" i="1"/>
  <c r="C1255" i="1"/>
  <c r="A6908" i="1"/>
  <c r="B6908" i="1"/>
  <c r="C6908" i="1"/>
  <c r="A3922" i="1"/>
  <c r="B3922" i="1"/>
  <c r="C3922" i="1"/>
  <c r="A4917" i="1"/>
  <c r="B4917" i="1"/>
  <c r="C4917" i="1"/>
  <c r="A12471" i="1"/>
  <c r="B12471" i="1"/>
  <c r="C12471" i="1"/>
  <c r="A7556" i="1"/>
  <c r="B7556" i="1"/>
  <c r="C7556" i="1"/>
  <c r="A6128" i="1"/>
  <c r="B6128" i="1"/>
  <c r="C6128" i="1"/>
  <c r="A12750" i="1"/>
  <c r="B12750" i="1"/>
  <c r="C12750" i="1"/>
  <c r="A9193" i="1"/>
  <c r="B9193" i="1"/>
  <c r="C9193" i="1"/>
  <c r="A7247" i="1"/>
  <c r="B7247" i="1"/>
  <c r="C7247" i="1"/>
  <c r="A13649" i="1"/>
  <c r="B13649" i="1"/>
  <c r="C13649" i="1"/>
  <c r="A4746" i="1"/>
  <c r="B4746" i="1"/>
  <c r="C4746" i="1"/>
  <c r="A5898" i="1"/>
  <c r="B5898" i="1"/>
  <c r="C5898" i="1"/>
  <c r="A8498" i="1"/>
  <c r="B8498" i="1"/>
  <c r="C8498" i="1"/>
  <c r="A7288" i="1"/>
  <c r="B7288" i="1"/>
  <c r="C7288" i="1"/>
  <c r="A2933" i="1"/>
  <c r="B2933" i="1"/>
  <c r="C2933" i="1"/>
  <c r="A2411" i="1"/>
  <c r="B2411" i="1"/>
  <c r="C2411" i="1"/>
  <c r="A10592" i="1"/>
  <c r="B10592" i="1"/>
  <c r="C10592" i="1"/>
  <c r="A3398" i="1"/>
  <c r="B3398" i="1"/>
  <c r="C3398" i="1"/>
  <c r="A8706" i="1"/>
  <c r="B8706" i="1"/>
  <c r="C8706" i="1"/>
  <c r="A4644" i="1"/>
  <c r="B4644" i="1"/>
  <c r="C4644" i="1"/>
  <c r="A8258" i="1"/>
  <c r="B8258" i="1"/>
  <c r="C8258" i="1"/>
  <c r="A11563" i="1"/>
  <c r="B11563" i="1"/>
  <c r="C11563" i="1"/>
  <c r="A2183" i="1"/>
  <c r="B2183" i="1"/>
  <c r="C2183" i="1"/>
  <c r="A3774" i="1"/>
  <c r="B3774" i="1"/>
  <c r="C3774" i="1"/>
  <c r="A8474" i="1"/>
  <c r="B8474" i="1"/>
  <c r="C8474" i="1"/>
  <c r="A13439" i="1"/>
  <c r="B13439" i="1"/>
  <c r="C13439" i="1"/>
  <c r="A856" i="1"/>
  <c r="B856" i="1"/>
  <c r="C856" i="1"/>
  <c r="A6571" i="1"/>
  <c r="B6571" i="1"/>
  <c r="C6571" i="1"/>
  <c r="A12753" i="1"/>
  <c r="B12753" i="1"/>
  <c r="C12753" i="1"/>
  <c r="A4290" i="1"/>
  <c r="B4290" i="1"/>
  <c r="C4290" i="1"/>
  <c r="A4502" i="1"/>
  <c r="B4502" i="1"/>
  <c r="C4502" i="1"/>
  <c r="A5970" i="1"/>
  <c r="B5970" i="1"/>
  <c r="C5970" i="1"/>
  <c r="A2193" i="1"/>
  <c r="B2193" i="1"/>
  <c r="C2193" i="1"/>
  <c r="A1764" i="1"/>
  <c r="B1764" i="1"/>
  <c r="C1764" i="1"/>
  <c r="A2959" i="1"/>
  <c r="B2959" i="1"/>
  <c r="C2959" i="1"/>
  <c r="A11426" i="1"/>
  <c r="B11426" i="1"/>
  <c r="C11426" i="1"/>
  <c r="A7583" i="1"/>
  <c r="B7583" i="1"/>
  <c r="C7583" i="1"/>
  <c r="A11557" i="1"/>
  <c r="B11557" i="1"/>
  <c r="C11557" i="1"/>
  <c r="A4247" i="1"/>
  <c r="B4247" i="1"/>
  <c r="C4247" i="1"/>
  <c r="A8878" i="1"/>
  <c r="B8878" i="1"/>
  <c r="C8878" i="1"/>
  <c r="A11406" i="1"/>
  <c r="B11406" i="1"/>
  <c r="C11406" i="1"/>
  <c r="A9859" i="1"/>
  <c r="B9859" i="1"/>
  <c r="C9859" i="1"/>
  <c r="A8539" i="1"/>
  <c r="B8539" i="1"/>
  <c r="C8539" i="1"/>
  <c r="A8540" i="1"/>
  <c r="B8540" i="1"/>
  <c r="C8540" i="1"/>
  <c r="A12774" i="1"/>
  <c r="B12774" i="1"/>
  <c r="C12774" i="1"/>
  <c r="A12887" i="1"/>
  <c r="B12887" i="1"/>
  <c r="C12887" i="1"/>
  <c r="A11452" i="1"/>
  <c r="B11452" i="1"/>
  <c r="C11452" i="1"/>
  <c r="A12466" i="1"/>
  <c r="B12466" i="1"/>
  <c r="C12466" i="1"/>
  <c r="A6076" i="1"/>
  <c r="B6076" i="1"/>
  <c r="C6076" i="1"/>
  <c r="A527" i="1"/>
  <c r="B527" i="1"/>
  <c r="C527" i="1"/>
  <c r="A6184" i="1"/>
  <c r="B6184" i="1"/>
  <c r="C6184" i="1"/>
  <c r="A6628" i="1"/>
  <c r="B6628" i="1"/>
  <c r="C6628" i="1"/>
  <c r="A6817" i="1"/>
  <c r="B6817" i="1"/>
  <c r="C6817" i="1"/>
  <c r="A12308" i="1"/>
  <c r="B12308" i="1"/>
  <c r="C12308" i="1"/>
  <c r="A9791" i="1"/>
  <c r="B9791" i="1"/>
  <c r="C9791" i="1"/>
  <c r="A790" i="1"/>
  <c r="B790" i="1"/>
  <c r="C790" i="1"/>
  <c r="A11600" i="1"/>
  <c r="B11600" i="1"/>
  <c r="C11600" i="1"/>
  <c r="A13745" i="1"/>
  <c r="B13745" i="1"/>
  <c r="C13745" i="1"/>
  <c r="A8572" i="1"/>
  <c r="B8572" i="1"/>
  <c r="C8572" i="1"/>
  <c r="A3060" i="1"/>
  <c r="B3060" i="1"/>
  <c r="C3060" i="1"/>
  <c r="A12969" i="1"/>
  <c r="B12969" i="1"/>
  <c r="C12969" i="1"/>
  <c r="A9508" i="1"/>
  <c r="B9508" i="1"/>
  <c r="C9508" i="1"/>
  <c r="A12627" i="1"/>
  <c r="B12627" i="1"/>
  <c r="C12627" i="1"/>
  <c r="A10547" i="1"/>
  <c r="B10547" i="1"/>
  <c r="C10547" i="1"/>
  <c r="A11897" i="1"/>
  <c r="B11897" i="1"/>
  <c r="C11897" i="1"/>
  <c r="A5734" i="1"/>
  <c r="B5734" i="1"/>
  <c r="C5734" i="1"/>
  <c r="A5008" i="1"/>
  <c r="B5008" i="1"/>
  <c r="C5008" i="1"/>
  <c r="A9418" i="1"/>
  <c r="B9418" i="1"/>
  <c r="C9418" i="1"/>
  <c r="A4627" i="1"/>
  <c r="B4627" i="1"/>
  <c r="C4627" i="1"/>
  <c r="A1932" i="1"/>
  <c r="B1932" i="1"/>
  <c r="C1932" i="1"/>
  <c r="A852" i="1"/>
  <c r="B852" i="1"/>
  <c r="C852" i="1"/>
  <c r="A5769" i="1"/>
  <c r="B5769" i="1"/>
  <c r="C5769" i="1"/>
  <c r="A1457" i="1"/>
  <c r="B1457" i="1"/>
  <c r="C1457" i="1"/>
  <c r="A9886" i="1"/>
  <c r="B9886" i="1"/>
  <c r="C9886" i="1"/>
  <c r="A2038" i="1"/>
  <c r="B2038" i="1"/>
  <c r="C2038" i="1"/>
  <c r="A12140" i="1"/>
  <c r="B12140" i="1"/>
  <c r="C12140" i="1"/>
  <c r="A13006" i="1"/>
  <c r="B13006" i="1"/>
  <c r="C13006" i="1"/>
  <c r="A10564" i="1"/>
  <c r="B10564" i="1"/>
  <c r="C10564" i="1"/>
  <c r="A3715" i="1"/>
  <c r="B3715" i="1"/>
  <c r="C3715" i="1"/>
  <c r="A6425" i="1"/>
  <c r="B6425" i="1"/>
  <c r="C6425" i="1"/>
  <c r="A7776" i="1"/>
  <c r="B7776" i="1"/>
  <c r="C7776" i="1"/>
  <c r="A12109" i="1"/>
  <c r="B12109" i="1"/>
  <c r="C12109" i="1"/>
  <c r="A6933" i="1"/>
  <c r="B6933" i="1"/>
  <c r="C6933" i="1"/>
  <c r="A3775" i="1"/>
  <c r="B3775" i="1"/>
  <c r="C3775" i="1"/>
  <c r="A4047" i="1"/>
  <c r="B4047" i="1"/>
  <c r="C4047" i="1"/>
  <c r="A8231" i="1"/>
  <c r="B8231" i="1"/>
  <c r="C8231" i="1"/>
  <c r="A13739" i="1"/>
  <c r="B13739" i="1"/>
  <c r="C13739" i="1"/>
  <c r="A12836" i="1"/>
  <c r="B12836" i="1"/>
  <c r="C12836" i="1"/>
  <c r="A6252" i="1"/>
  <c r="B6252" i="1"/>
  <c r="C6252" i="1"/>
  <c r="A10688" i="1"/>
  <c r="B10688" i="1"/>
  <c r="C10688" i="1"/>
  <c r="A4541" i="1"/>
  <c r="B4541" i="1"/>
  <c r="C4541" i="1"/>
  <c r="A3093" i="1"/>
  <c r="B3093" i="1"/>
  <c r="C3093" i="1"/>
  <c r="A1488" i="1"/>
  <c r="B1488" i="1"/>
  <c r="C1488" i="1"/>
  <c r="A4525" i="1"/>
  <c r="B4525" i="1"/>
  <c r="C4525" i="1"/>
  <c r="A3728" i="1"/>
  <c r="B3728" i="1"/>
  <c r="C3728" i="1"/>
  <c r="A1229" i="1"/>
  <c r="B1229" i="1"/>
  <c r="C1229" i="1"/>
  <c r="A6248" i="1"/>
  <c r="B6248" i="1"/>
  <c r="C6248" i="1"/>
  <c r="A4032" i="1"/>
  <c r="B4032" i="1"/>
  <c r="C4032" i="1"/>
  <c r="A1144" i="1"/>
  <c r="B1144" i="1"/>
  <c r="C1144" i="1"/>
  <c r="A13786" i="1"/>
  <c r="B13786" i="1"/>
  <c r="C13786" i="1"/>
  <c r="A11340" i="1"/>
  <c r="B11340" i="1"/>
  <c r="C11340" i="1"/>
  <c r="A4395" i="1"/>
  <c r="B4395" i="1"/>
  <c r="C4395" i="1"/>
  <c r="A8147" i="1"/>
  <c r="B8147" i="1"/>
  <c r="C8147" i="1"/>
  <c r="A1092" i="1"/>
  <c r="B1092" i="1"/>
  <c r="C1092" i="1"/>
  <c r="A4586" i="1"/>
  <c r="B4586" i="1"/>
  <c r="C4586" i="1"/>
  <c r="A3776" i="1"/>
  <c r="B3776" i="1"/>
  <c r="C3776" i="1"/>
  <c r="A1353" i="1"/>
  <c r="B1353" i="1"/>
  <c r="C1353" i="1"/>
  <c r="A1575" i="1"/>
  <c r="B1575" i="1"/>
  <c r="C1575" i="1"/>
  <c r="A8541" i="1"/>
  <c r="B8541" i="1"/>
  <c r="C8541" i="1"/>
  <c r="A1458" i="1"/>
  <c r="B1458" i="1"/>
  <c r="C1458" i="1"/>
  <c r="A2505" i="1"/>
  <c r="B2505" i="1"/>
  <c r="C2505" i="1"/>
  <c r="A12775" i="1"/>
  <c r="B12775" i="1"/>
  <c r="C12775" i="1"/>
  <c r="A7036" i="1"/>
  <c r="B7036" i="1"/>
  <c r="C7036" i="1"/>
  <c r="A11136" i="1"/>
  <c r="B11136" i="1"/>
  <c r="C11136" i="1"/>
  <c r="A990" i="1"/>
  <c r="B990" i="1"/>
  <c r="C990" i="1"/>
  <c r="A2184" i="1"/>
  <c r="B2184" i="1"/>
  <c r="C2184" i="1"/>
  <c r="A8655" i="1"/>
  <c r="B8655" i="1"/>
  <c r="C8655" i="1"/>
  <c r="A12804" i="1"/>
  <c r="B12804" i="1"/>
  <c r="C12804" i="1"/>
  <c r="A1022" i="1"/>
  <c r="B1022" i="1"/>
  <c r="C1022" i="1"/>
  <c r="A11346" i="1"/>
  <c r="B11346" i="1"/>
  <c r="C11346" i="1"/>
  <c r="A10927" i="1"/>
  <c r="B10927" i="1"/>
  <c r="C10927" i="1"/>
  <c r="A3684" i="1"/>
  <c r="B3684" i="1"/>
  <c r="C3684" i="1"/>
  <c r="A614" i="1"/>
  <c r="B614" i="1"/>
  <c r="C614" i="1"/>
  <c r="A225" i="1"/>
  <c r="B225" i="1"/>
  <c r="C225" i="1"/>
  <c r="A1232" i="1"/>
  <c r="B1232" i="1"/>
  <c r="C1232" i="1"/>
  <c r="A10020" i="1"/>
  <c r="B10020" i="1"/>
  <c r="C10020" i="1"/>
  <c r="A12985" i="1"/>
  <c r="B12985" i="1"/>
  <c r="C12985" i="1"/>
  <c r="A2823" i="1"/>
  <c r="B2823" i="1"/>
  <c r="C2823" i="1"/>
  <c r="A6732" i="1"/>
  <c r="B6732" i="1"/>
  <c r="C6732" i="1"/>
  <c r="A5360" i="1"/>
  <c r="B5360" i="1"/>
  <c r="C5360" i="1"/>
  <c r="A13007" i="1"/>
  <c r="B13007" i="1"/>
  <c r="C13007" i="1"/>
  <c r="A13732" i="1"/>
  <c r="B13732" i="1"/>
  <c r="C13732" i="1"/>
  <c r="A8771" i="1"/>
  <c r="B8771" i="1"/>
  <c r="C8771" i="1"/>
  <c r="A13519" i="1"/>
  <c r="B13519" i="1"/>
  <c r="C13519" i="1"/>
  <c r="A9875" i="1"/>
  <c r="B9875" i="1"/>
  <c r="C9875" i="1"/>
  <c r="A6000" i="1"/>
  <c r="B6000" i="1"/>
  <c r="C6000" i="1"/>
  <c r="A2486" i="1"/>
  <c r="B2486" i="1"/>
  <c r="C2486" i="1"/>
  <c r="A2502" i="1"/>
  <c r="B2502" i="1"/>
  <c r="C2502" i="1"/>
  <c r="A5892" i="1"/>
  <c r="B5892" i="1"/>
  <c r="C5892" i="1"/>
  <c r="A8817" i="1"/>
  <c r="B8817" i="1"/>
  <c r="C8817" i="1"/>
  <c r="A2831" i="1"/>
  <c r="B2831" i="1"/>
  <c r="C2831" i="1"/>
  <c r="A2103" i="1"/>
  <c r="B2103" i="1"/>
  <c r="C2103" i="1"/>
  <c r="A9661" i="1"/>
  <c r="B9661" i="1"/>
  <c r="C9661" i="1"/>
  <c r="A6687" i="1"/>
  <c r="B6687" i="1"/>
  <c r="C6687" i="1"/>
  <c r="A3777" i="1"/>
  <c r="B3777" i="1"/>
  <c r="C3777" i="1"/>
  <c r="A546" i="1"/>
  <c r="B546" i="1"/>
  <c r="C546" i="1"/>
  <c r="A5143" i="1"/>
  <c r="B5143" i="1"/>
  <c r="C5143" i="1"/>
  <c r="A5006" i="1"/>
  <c r="B5006" i="1"/>
  <c r="C5006" i="1"/>
  <c r="A5272" i="1"/>
  <c r="B5272" i="1"/>
  <c r="C5272" i="1"/>
  <c r="A2707" i="1"/>
  <c r="B2707" i="1"/>
  <c r="C2707" i="1"/>
  <c r="A4704" i="1"/>
  <c r="B4704" i="1"/>
  <c r="C4704" i="1"/>
  <c r="A10477" i="1"/>
  <c r="B10477" i="1"/>
  <c r="C10477" i="1"/>
  <c r="A6272" i="1"/>
  <c r="B6272" i="1"/>
  <c r="C6272" i="1"/>
  <c r="A1472" i="1"/>
  <c r="B1472" i="1"/>
  <c r="C1472" i="1"/>
  <c r="A5361" i="1"/>
  <c r="B5361" i="1"/>
  <c r="C5361" i="1"/>
  <c r="A12118" i="1"/>
  <c r="B12118" i="1"/>
  <c r="C12118" i="1"/>
  <c r="A8389" i="1"/>
  <c r="B8389" i="1"/>
  <c r="C8389" i="1"/>
  <c r="A10072" i="1"/>
  <c r="B10072" i="1"/>
  <c r="C10072" i="1"/>
  <c r="A13023" i="1"/>
  <c r="B13023" i="1"/>
  <c r="C13023" i="1"/>
  <c r="A13539" i="1"/>
  <c r="B13539" i="1"/>
  <c r="C13539" i="1"/>
  <c r="A10903" i="1"/>
  <c r="B10903" i="1"/>
  <c r="C10903" i="1"/>
  <c r="A12398" i="1"/>
  <c r="B12398" i="1"/>
  <c r="C12398" i="1"/>
  <c r="A6512" i="1"/>
  <c r="B6512" i="1"/>
  <c r="C6512" i="1"/>
  <c r="A4667" i="1"/>
  <c r="B4667" i="1"/>
  <c r="C4667" i="1"/>
  <c r="A5393" i="1"/>
  <c r="B5393" i="1"/>
  <c r="C5393" i="1"/>
  <c r="A9708" i="1"/>
  <c r="B9708" i="1"/>
  <c r="C9708" i="1"/>
  <c r="A8473" i="1"/>
  <c r="B8473" i="1"/>
  <c r="C8473" i="1"/>
  <c r="A13812" i="1"/>
  <c r="B13812" i="1"/>
  <c r="C13812" i="1"/>
  <c r="A13052" i="1"/>
  <c r="B13052" i="1"/>
  <c r="C13052" i="1"/>
  <c r="A10951" i="1"/>
  <c r="B10951" i="1"/>
  <c r="C10951" i="1"/>
  <c r="A4279" i="1"/>
  <c r="B4279" i="1"/>
  <c r="C4279" i="1"/>
  <c r="A12068" i="1"/>
  <c r="B12068" i="1"/>
  <c r="C12068" i="1"/>
  <c r="A1526" i="1"/>
  <c r="B1526" i="1"/>
  <c r="C1526" i="1"/>
  <c r="A2510" i="1"/>
  <c r="B2510" i="1"/>
  <c r="C2510" i="1"/>
  <c r="A348" i="1"/>
  <c r="B348" i="1"/>
  <c r="C348" i="1"/>
  <c r="A12301" i="1"/>
  <c r="B12301" i="1"/>
  <c r="C12301" i="1"/>
  <c r="A12545" i="1"/>
  <c r="B12545" i="1"/>
  <c r="C12545" i="1"/>
  <c r="A4368" i="1"/>
  <c r="B4368" i="1"/>
  <c r="C4368" i="1"/>
  <c r="A1403" i="1"/>
  <c r="B1403" i="1"/>
  <c r="C1403" i="1"/>
  <c r="A12339" i="1"/>
  <c r="B12339" i="1"/>
  <c r="C12339" i="1"/>
  <c r="A11513" i="1"/>
  <c r="B11513" i="1"/>
  <c r="C11513" i="1"/>
  <c r="A11911" i="1"/>
  <c r="B11911" i="1"/>
  <c r="C11911" i="1"/>
  <c r="A4918" i="1"/>
  <c r="B4918" i="1"/>
  <c r="C4918" i="1"/>
  <c r="A11124" i="1"/>
  <c r="B11124" i="1"/>
  <c r="C11124" i="1"/>
  <c r="A7238" i="1"/>
  <c r="B7238" i="1"/>
  <c r="C7238" i="1"/>
  <c r="A7294" i="1"/>
  <c r="B7294" i="1"/>
  <c r="C7294" i="1"/>
  <c r="A10712" i="1"/>
  <c r="B10712" i="1"/>
  <c r="C10712" i="1"/>
  <c r="A3673" i="1"/>
  <c r="B3673" i="1"/>
  <c r="C3673" i="1"/>
  <c r="A10104" i="1"/>
  <c r="B10104" i="1"/>
  <c r="C10104" i="1"/>
  <c r="A7832" i="1"/>
  <c r="B7832" i="1"/>
  <c r="C7832" i="1"/>
  <c r="A13488" i="1"/>
  <c r="B13488" i="1"/>
  <c r="C13488" i="1"/>
  <c r="A10576" i="1"/>
  <c r="B10576" i="1"/>
  <c r="C10576" i="1"/>
  <c r="A11364" i="1"/>
  <c r="B11364" i="1"/>
  <c r="C11364" i="1"/>
  <c r="A13471" i="1"/>
  <c r="B13471" i="1"/>
  <c r="C13471" i="1"/>
  <c r="A13946" i="1"/>
  <c r="B13946" i="1"/>
  <c r="C13946" i="1"/>
  <c r="A3644" i="1"/>
  <c r="B3644" i="1"/>
  <c r="C3644" i="1"/>
  <c r="A6187" i="1"/>
  <c r="B6187" i="1"/>
  <c r="C6187" i="1"/>
  <c r="A1263" i="1"/>
  <c r="B1263" i="1"/>
  <c r="C1263" i="1"/>
  <c r="A4422" i="1"/>
  <c r="B4422" i="1"/>
  <c r="C4422" i="1"/>
  <c r="A506" i="1"/>
  <c r="B506" i="1"/>
  <c r="C506" i="1"/>
  <c r="A3419" i="1"/>
  <c r="B3419" i="1"/>
  <c r="C3419" i="1"/>
  <c r="A8947" i="1"/>
  <c r="B8947" i="1"/>
  <c r="C8947" i="1"/>
  <c r="A876" i="1"/>
  <c r="B876" i="1"/>
  <c r="C876" i="1"/>
  <c r="A3674" i="1"/>
  <c r="B3674" i="1"/>
  <c r="C3674" i="1"/>
  <c r="A9208" i="1"/>
  <c r="B9208" i="1"/>
  <c r="C9208" i="1"/>
  <c r="A5824" i="1"/>
  <c r="B5824" i="1"/>
  <c r="C5824" i="1"/>
  <c r="A5163" i="1"/>
  <c r="B5163" i="1"/>
  <c r="C5163" i="1"/>
  <c r="A10938" i="1"/>
  <c r="B10938" i="1"/>
  <c r="C10938" i="1"/>
  <c r="A7589" i="1"/>
  <c r="B7589" i="1"/>
  <c r="C7589" i="1"/>
  <c r="A5784" i="1"/>
  <c r="B5784" i="1"/>
  <c r="C5784" i="1"/>
  <c r="A5604" i="1"/>
  <c r="B5604" i="1"/>
  <c r="C5604" i="1"/>
  <c r="A7950" i="1"/>
  <c r="B7950" i="1"/>
  <c r="C7950" i="1"/>
  <c r="A13136" i="1"/>
  <c r="B13136" i="1"/>
  <c r="C13136" i="1"/>
  <c r="A12995" i="1"/>
  <c r="B12995" i="1"/>
  <c r="C12995" i="1"/>
  <c r="A5206" i="1"/>
  <c r="B5206" i="1"/>
  <c r="C5206" i="1"/>
  <c r="A6810" i="1"/>
  <c r="B6810" i="1"/>
  <c r="C6810" i="1"/>
  <c r="A9964" i="1"/>
  <c r="B9964" i="1"/>
  <c r="C9964" i="1"/>
  <c r="A9582" i="1"/>
  <c r="B9582" i="1"/>
  <c r="C9582" i="1"/>
  <c r="A1791" i="1"/>
  <c r="B1791" i="1"/>
  <c r="C1791" i="1"/>
  <c r="A8929" i="1"/>
  <c r="B8929" i="1"/>
  <c r="C8929" i="1"/>
  <c r="A4362" i="1"/>
  <c r="B4362" i="1"/>
  <c r="C4362" i="1"/>
  <c r="A3491" i="1"/>
  <c r="B3491" i="1"/>
  <c r="C3491" i="1"/>
  <c r="A12364" i="1"/>
  <c r="B12364" i="1"/>
  <c r="C12364" i="1"/>
  <c r="A5654" i="1"/>
  <c r="B5654" i="1"/>
  <c r="C5654" i="1"/>
  <c r="A7266" i="1"/>
  <c r="B7266" i="1"/>
  <c r="C7266" i="1"/>
  <c r="A1112" i="1"/>
  <c r="B1112" i="1"/>
  <c r="C1112" i="1"/>
  <c r="A12894" i="1"/>
  <c r="B12894" i="1"/>
  <c r="C12894" i="1"/>
  <c r="A301" i="1"/>
  <c r="B301" i="1"/>
  <c r="C301" i="1"/>
  <c r="A7883" i="1"/>
  <c r="B7883" i="1"/>
  <c r="C7883" i="1"/>
  <c r="A10143" i="1"/>
  <c r="B10143" i="1"/>
  <c r="C10143" i="1"/>
  <c r="A2629" i="1"/>
  <c r="B2629" i="1"/>
  <c r="C2629" i="1"/>
  <c r="A12579" i="1"/>
  <c r="B12579" i="1"/>
  <c r="C12579" i="1"/>
  <c r="A10692" i="1"/>
  <c r="B10692" i="1"/>
  <c r="C10692" i="1"/>
  <c r="A11689" i="1"/>
  <c r="B11689" i="1"/>
  <c r="C11689" i="1"/>
  <c r="A76" i="1"/>
  <c r="B76" i="1"/>
  <c r="C76" i="1"/>
  <c r="A9247" i="1"/>
  <c r="B9247" i="1"/>
  <c r="C9247" i="1"/>
  <c r="A4114" i="1"/>
  <c r="B4114" i="1"/>
  <c r="C4114" i="1"/>
  <c r="A1680" i="1"/>
  <c r="B1680" i="1"/>
  <c r="C1680" i="1"/>
  <c r="A6736" i="1"/>
  <c r="B6736" i="1"/>
  <c r="C6736" i="1"/>
  <c r="A889" i="1"/>
  <c r="B889" i="1"/>
  <c r="C889" i="1"/>
  <c r="A1793" i="1"/>
  <c r="B1793" i="1"/>
  <c r="C1793" i="1"/>
  <c r="A5519" i="1"/>
  <c r="B5519" i="1"/>
  <c r="C5519" i="1"/>
  <c r="A13787" i="1"/>
  <c r="B13787" i="1"/>
  <c r="C13787" i="1"/>
  <c r="A3142" i="1"/>
  <c r="B3142" i="1"/>
  <c r="C3142" i="1"/>
  <c r="A881" i="1"/>
  <c r="B881" i="1"/>
  <c r="C881" i="1"/>
  <c r="A2758" i="1"/>
  <c r="B2758" i="1"/>
  <c r="C2758" i="1"/>
  <c r="A7792" i="1"/>
  <c r="B7792" i="1"/>
  <c r="C7792" i="1"/>
  <c r="A7951" i="1"/>
  <c r="B7951" i="1"/>
  <c r="C7951" i="1"/>
  <c r="A3869" i="1"/>
  <c r="B3869" i="1"/>
  <c r="C3869" i="1"/>
  <c r="A5836" i="1"/>
  <c r="B5836" i="1"/>
  <c r="C5836" i="1"/>
  <c r="A828" i="1"/>
  <c r="B828" i="1"/>
  <c r="C828" i="1"/>
  <c r="A8723" i="1"/>
  <c r="B8723" i="1"/>
  <c r="C8723" i="1"/>
  <c r="A10198" i="1"/>
  <c r="B10198" i="1"/>
  <c r="C10198" i="1"/>
  <c r="A12776" i="1"/>
  <c r="B12776" i="1"/>
  <c r="C12776" i="1"/>
  <c r="A12777" i="1"/>
  <c r="B12777" i="1"/>
  <c r="C12777" i="1"/>
  <c r="A884" i="1"/>
  <c r="B884" i="1"/>
  <c r="C884" i="1"/>
  <c r="A3154" i="1"/>
  <c r="B3154" i="1"/>
  <c r="C3154" i="1"/>
  <c r="A11373" i="1"/>
  <c r="B11373" i="1"/>
  <c r="C11373" i="1"/>
  <c r="A10242" i="1"/>
  <c r="B10242" i="1"/>
  <c r="C10242" i="1"/>
  <c r="A9605" i="1"/>
  <c r="B9605" i="1"/>
  <c r="C9605" i="1"/>
  <c r="A1484" i="1"/>
  <c r="B1484" i="1"/>
  <c r="C1484" i="1"/>
  <c r="A12080" i="1"/>
  <c r="B12080" i="1"/>
  <c r="C12080" i="1"/>
  <c r="A9290" i="1"/>
  <c r="B9290" i="1"/>
  <c r="C9290" i="1"/>
  <c r="A9241" i="1"/>
  <c r="B9241" i="1"/>
  <c r="C9241" i="1"/>
  <c r="A12929" i="1"/>
  <c r="B12929" i="1"/>
  <c r="C12929" i="1"/>
  <c r="A3824" i="1"/>
  <c r="B3824" i="1"/>
  <c r="C3824" i="1"/>
  <c r="A5647" i="1"/>
  <c r="B5647" i="1"/>
  <c r="C5647" i="1"/>
  <c r="A3825" i="1"/>
  <c r="B3825" i="1"/>
  <c r="C3825" i="1"/>
  <c r="A6368" i="1"/>
  <c r="B6368" i="1"/>
  <c r="C6368" i="1"/>
  <c r="A9506" i="1"/>
  <c r="B9506" i="1"/>
  <c r="C9506" i="1"/>
  <c r="A51" i="1"/>
  <c r="B51" i="1"/>
  <c r="C51" i="1"/>
  <c r="A3067" i="1"/>
  <c r="B3067" i="1"/>
  <c r="C3067" i="1"/>
  <c r="A9675" i="1"/>
  <c r="B9675" i="1"/>
  <c r="C9675" i="1"/>
  <c r="A1697" i="1"/>
  <c r="B1697" i="1"/>
  <c r="C1697" i="1"/>
  <c r="A1831" i="1"/>
  <c r="B1831" i="1"/>
  <c r="C1831" i="1"/>
  <c r="A4864" i="1"/>
  <c r="B4864" i="1"/>
  <c r="C4864" i="1"/>
  <c r="A13388" i="1"/>
  <c r="B13388" i="1"/>
  <c r="C13388" i="1"/>
  <c r="A2215" i="1"/>
  <c r="B2215" i="1"/>
  <c r="C2215" i="1"/>
  <c r="A7793" i="1"/>
  <c r="B7793" i="1"/>
  <c r="C7793" i="1"/>
  <c r="A9375" i="1"/>
  <c r="B9375" i="1"/>
  <c r="C9375" i="1"/>
  <c r="A7005" i="1"/>
  <c r="B7005" i="1"/>
  <c r="C7005" i="1"/>
  <c r="A13133" i="1"/>
  <c r="B13133" i="1"/>
  <c r="C13133" i="1"/>
  <c r="A11118" i="1"/>
  <c r="B11118" i="1"/>
  <c r="C11118" i="1"/>
  <c r="A10179" i="1"/>
  <c r="B10179" i="1"/>
  <c r="C10179" i="1"/>
  <c r="A5826" i="1"/>
  <c r="B5826" i="1"/>
  <c r="C5826" i="1"/>
  <c r="A11873" i="1"/>
  <c r="B11873" i="1"/>
  <c r="C11873" i="1"/>
  <c r="A7385" i="1"/>
  <c r="B7385" i="1"/>
  <c r="C7385" i="1"/>
  <c r="A7679" i="1"/>
  <c r="B7679" i="1"/>
  <c r="C7679" i="1"/>
  <c r="A1959" i="1"/>
  <c r="B1959" i="1"/>
  <c r="C1959" i="1"/>
  <c r="A7212" i="1"/>
  <c r="B7212" i="1"/>
  <c r="C7212" i="1"/>
  <c r="A12956" i="1"/>
  <c r="B12956" i="1"/>
  <c r="C12956" i="1"/>
  <c r="A8387" i="1"/>
  <c r="B8387" i="1"/>
  <c r="C8387" i="1"/>
  <c r="A2966" i="1"/>
  <c r="B2966" i="1"/>
  <c r="C2966" i="1"/>
  <c r="A991" i="1"/>
  <c r="B991" i="1"/>
  <c r="C991" i="1"/>
  <c r="A13078" i="1"/>
  <c r="B13078" i="1"/>
  <c r="C13078" i="1"/>
  <c r="A5952" i="1"/>
  <c r="B5952" i="1"/>
  <c r="C5952" i="1"/>
  <c r="A6141" i="1"/>
  <c r="B6141" i="1"/>
  <c r="C6141" i="1"/>
  <c r="A13281" i="1"/>
  <c r="B13281" i="1"/>
  <c r="C13281" i="1"/>
  <c r="A8107" i="1"/>
  <c r="B8107" i="1"/>
  <c r="C8107" i="1"/>
  <c r="A8521" i="1"/>
  <c r="B8521" i="1"/>
  <c r="C8521" i="1"/>
  <c r="A3580" i="1"/>
  <c r="B3580" i="1"/>
  <c r="C3580" i="1"/>
  <c r="A3210" i="1"/>
  <c r="B3210" i="1"/>
  <c r="C3210" i="1"/>
  <c r="A11007" i="1"/>
  <c r="B11007" i="1"/>
  <c r="C11007" i="1"/>
  <c r="A2498" i="1"/>
  <c r="B2498" i="1"/>
  <c r="C2498" i="1"/>
  <c r="A2167" i="1"/>
  <c r="B2167" i="1"/>
  <c r="C2167" i="1"/>
  <c r="A13740" i="1"/>
  <c r="B13740" i="1"/>
  <c r="C13740" i="1"/>
  <c r="A5705" i="1"/>
  <c r="B5705" i="1"/>
  <c r="C5705" i="1"/>
  <c r="A952" i="1"/>
  <c r="B952" i="1"/>
  <c r="C952" i="1"/>
  <c r="A349" i="1"/>
  <c r="B349" i="1"/>
  <c r="C349" i="1"/>
  <c r="A7664" i="1"/>
  <c r="B7664" i="1"/>
  <c r="C7664" i="1"/>
  <c r="A9614" i="1"/>
  <c r="B9614" i="1"/>
  <c r="C9614" i="1"/>
  <c r="A11332" i="1"/>
  <c r="B11332" i="1"/>
  <c r="C11332" i="1"/>
  <c r="A9043" i="1"/>
  <c r="B9043" i="1"/>
  <c r="C9043" i="1"/>
  <c r="A12509" i="1"/>
  <c r="B12509" i="1"/>
  <c r="C12509" i="1"/>
  <c r="A857" i="1"/>
  <c r="B857" i="1"/>
  <c r="C857" i="1"/>
  <c r="A2493" i="1"/>
  <c r="B2493" i="1"/>
  <c r="C2493" i="1"/>
  <c r="A1318" i="1"/>
  <c r="B1318" i="1"/>
  <c r="C1318" i="1"/>
  <c r="A9726" i="1"/>
  <c r="B9726" i="1"/>
  <c r="C9726" i="1"/>
  <c r="A7187" i="1"/>
  <c r="B7187" i="1"/>
  <c r="C7187" i="1"/>
  <c r="A2458" i="1"/>
  <c r="B2458" i="1"/>
  <c r="C2458" i="1"/>
  <c r="A8914" i="1"/>
  <c r="B8914" i="1"/>
  <c r="C8914" i="1"/>
  <c r="A5659" i="1"/>
  <c r="B5659" i="1"/>
  <c r="C5659" i="1"/>
  <c r="A3566" i="1"/>
  <c r="B3566" i="1"/>
  <c r="C3566" i="1"/>
  <c r="A258" i="1"/>
  <c r="B258" i="1"/>
  <c r="C258" i="1"/>
  <c r="A1855" i="1"/>
  <c r="B1855" i="1"/>
  <c r="C1855" i="1"/>
  <c r="A2442" i="1"/>
  <c r="B2442" i="1"/>
  <c r="C2442" i="1"/>
  <c r="A11256" i="1"/>
  <c r="B11256" i="1"/>
  <c r="C11256" i="1"/>
  <c r="A1412" i="1"/>
  <c r="B1412" i="1"/>
  <c r="C1412" i="1"/>
  <c r="A8171" i="1"/>
  <c r="B8171" i="1"/>
  <c r="C8171" i="1"/>
  <c r="A13566" i="1"/>
  <c r="B13566" i="1"/>
  <c r="C13566" i="1"/>
  <c r="A472" i="1"/>
  <c r="B472" i="1"/>
  <c r="C472" i="1"/>
  <c r="A3675" i="1"/>
  <c r="B3675" i="1"/>
  <c r="C3675" i="1"/>
  <c r="A8096" i="1"/>
  <c r="B8096" i="1"/>
  <c r="C8096" i="1"/>
  <c r="A6661" i="1"/>
  <c r="B6661" i="1"/>
  <c r="C6661" i="1"/>
  <c r="A4198" i="1"/>
  <c r="B4198" i="1"/>
  <c r="C4198" i="1"/>
  <c r="A8790" i="1"/>
  <c r="B8790" i="1"/>
  <c r="C8790" i="1"/>
  <c r="A2270" i="1"/>
  <c r="B2270" i="1"/>
  <c r="C2270" i="1"/>
  <c r="A5104" i="1"/>
  <c r="B5104" i="1"/>
  <c r="C5104" i="1"/>
  <c r="A6429" i="1"/>
  <c r="B6429" i="1"/>
  <c r="C6429" i="1"/>
  <c r="A13602" i="1"/>
  <c r="B13602" i="1"/>
  <c r="C13602" i="1"/>
  <c r="A5931" i="1"/>
  <c r="B5931" i="1"/>
  <c r="C5931" i="1"/>
  <c r="A9416" i="1"/>
  <c r="B9416" i="1"/>
  <c r="C9416" i="1"/>
  <c r="A11947" i="1"/>
  <c r="B11947" i="1"/>
  <c r="C11947" i="1"/>
  <c r="A7352" i="1"/>
  <c r="B7352" i="1"/>
  <c r="C7352" i="1"/>
  <c r="A8747" i="1"/>
  <c r="B8747" i="1"/>
  <c r="C8747" i="1"/>
  <c r="A4592" i="1"/>
  <c r="B4592" i="1"/>
  <c r="C4592" i="1"/>
  <c r="A13670" i="1"/>
  <c r="B13670" i="1"/>
  <c r="C13670" i="1"/>
  <c r="A7903" i="1"/>
  <c r="B7903" i="1"/>
  <c r="C7903" i="1"/>
  <c r="A5857" i="1"/>
  <c r="B5857" i="1"/>
  <c r="C5857" i="1"/>
  <c r="A8011" i="1"/>
  <c r="B8011" i="1"/>
  <c r="C8011" i="1"/>
  <c r="A5907" i="1"/>
  <c r="B5907" i="1"/>
  <c r="C5907" i="1"/>
  <c r="A806" i="1"/>
  <c r="B806" i="1"/>
  <c r="C806" i="1"/>
  <c r="A1795" i="1"/>
  <c r="B1795" i="1"/>
  <c r="C1795" i="1"/>
  <c r="A6397" i="1"/>
  <c r="B6397" i="1"/>
  <c r="C6397" i="1"/>
  <c r="A7092" i="1"/>
  <c r="B7092" i="1"/>
  <c r="C7092" i="1"/>
  <c r="A9578" i="1"/>
  <c r="B9578" i="1"/>
  <c r="C9578" i="1"/>
  <c r="A791" i="1"/>
  <c r="B791" i="1"/>
  <c r="C791" i="1"/>
  <c r="A4434" i="1"/>
  <c r="B4434" i="1"/>
  <c r="C4434" i="1"/>
  <c r="A9391" i="1"/>
  <c r="B9391" i="1"/>
  <c r="C9391" i="1"/>
  <c r="A6895" i="1"/>
  <c r="B6895" i="1"/>
  <c r="C6895" i="1"/>
  <c r="A6965" i="1"/>
  <c r="B6965" i="1"/>
  <c r="C6965" i="1"/>
  <c r="A10035" i="1"/>
  <c r="B10035" i="1"/>
  <c r="C10035" i="1"/>
  <c r="A8359" i="1"/>
  <c r="B8359" i="1"/>
  <c r="C8359" i="1"/>
  <c r="A12390" i="1"/>
  <c r="B12390" i="1"/>
  <c r="C12390" i="1"/>
  <c r="A10582" i="1"/>
  <c r="B10582" i="1"/>
  <c r="C10582" i="1"/>
  <c r="A10089" i="1"/>
  <c r="B10089" i="1"/>
  <c r="C10089" i="1"/>
  <c r="A12052" i="1"/>
  <c r="B12052" i="1"/>
  <c r="C12052" i="1"/>
  <c r="A10798" i="1"/>
  <c r="B10798" i="1"/>
  <c r="C10798" i="1"/>
  <c r="A263" i="1"/>
  <c r="B263" i="1"/>
  <c r="C263" i="1"/>
  <c r="A6430" i="1"/>
  <c r="B6430" i="1"/>
  <c r="C6430" i="1"/>
  <c r="A11676" i="1"/>
  <c r="B11676" i="1"/>
  <c r="C11676" i="1"/>
  <c r="A264" i="1"/>
  <c r="B264" i="1"/>
  <c r="C264" i="1"/>
  <c r="A1498" i="1"/>
  <c r="B1498" i="1"/>
  <c r="C1498" i="1"/>
  <c r="A12347" i="1"/>
  <c r="B12347" i="1"/>
  <c r="C12347" i="1"/>
  <c r="A9864" i="1"/>
  <c r="B9864" i="1"/>
  <c r="C9864" i="1"/>
  <c r="A12348" i="1"/>
  <c r="B12348" i="1"/>
  <c r="C12348" i="1"/>
  <c r="A5159" i="1"/>
  <c r="B5159" i="1"/>
  <c r="C5159" i="1"/>
  <c r="A7100" i="1"/>
  <c r="B7100" i="1"/>
  <c r="A12349" i="1"/>
  <c r="B12349" i="1"/>
  <c r="C12349" i="1"/>
  <c r="A396" i="1"/>
  <c r="B396" i="1"/>
  <c r="C396" i="1"/>
  <c r="A5058" i="1"/>
  <c r="B5058" i="1"/>
  <c r="C5058" i="1"/>
  <c r="A5924" i="1"/>
  <c r="B5924" i="1"/>
  <c r="C5924" i="1"/>
  <c r="A13233" i="1"/>
  <c r="B13233" i="1"/>
  <c r="C13233" i="1"/>
  <c r="A4304" i="1"/>
  <c r="B4304" i="1"/>
  <c r="C4304" i="1"/>
  <c r="A4358" i="1"/>
  <c r="B4358" i="1"/>
  <c r="C4358" i="1"/>
  <c r="A1759" i="1"/>
  <c r="B1759" i="1"/>
  <c r="C1759" i="1"/>
  <c r="A8653" i="1"/>
  <c r="B8653" i="1"/>
  <c r="C8653" i="1"/>
  <c r="A20" i="1"/>
  <c r="B20" i="1"/>
  <c r="C20" i="1"/>
  <c r="A5134" i="1"/>
  <c r="B5134" i="1"/>
  <c r="C5134" i="1"/>
  <c r="A12898" i="1"/>
  <c r="B12898" i="1"/>
  <c r="C12898" i="1"/>
  <c r="A5253" i="1"/>
  <c r="B5253" i="1"/>
  <c r="C5253" i="1"/>
  <c r="A3365" i="1"/>
  <c r="B3365" i="1"/>
  <c r="C3365" i="1"/>
  <c r="A1416" i="1"/>
  <c r="B1416" i="1"/>
  <c r="C1416" i="1"/>
  <c r="A708" i="1"/>
  <c r="B708" i="1"/>
  <c r="C708" i="1"/>
  <c r="A10615" i="1"/>
  <c r="B10615" i="1"/>
  <c r="C10615" i="1"/>
  <c r="A534" i="1"/>
  <c r="B534" i="1"/>
  <c r="C534" i="1"/>
  <c r="A7217" i="1"/>
  <c r="B7217" i="1"/>
  <c r="C7217" i="1"/>
  <c r="A3826" i="1"/>
  <c r="B3826" i="1"/>
  <c r="C3826" i="1"/>
  <c r="A10082" i="1"/>
  <c r="B10082" i="1"/>
  <c r="C10082" i="1"/>
  <c r="A479" i="1"/>
  <c r="B479" i="1"/>
  <c r="C479" i="1"/>
  <c r="A2833" i="1"/>
  <c r="B2833" i="1"/>
  <c r="C2833" i="1"/>
  <c r="A12608" i="1"/>
  <c r="B12608" i="1"/>
  <c r="C12608" i="1"/>
  <c r="A12223" i="1"/>
  <c r="B12223" i="1"/>
  <c r="C12223" i="1"/>
  <c r="A1447" i="1"/>
  <c r="B1447" i="1"/>
  <c r="C1447" i="1"/>
  <c r="A2198" i="1"/>
  <c r="B2198" i="1"/>
  <c r="C2198" i="1"/>
  <c r="A6263" i="1"/>
  <c r="B6263" i="1"/>
  <c r="C6263" i="1"/>
  <c r="A2199" i="1"/>
  <c r="B2199" i="1"/>
  <c r="C2199" i="1"/>
  <c r="A7952" i="1"/>
  <c r="B7952" i="1"/>
  <c r="C7952" i="1"/>
  <c r="A657" i="1"/>
  <c r="B657" i="1"/>
  <c r="C657" i="1"/>
  <c r="A2221" i="1"/>
  <c r="B2221" i="1"/>
  <c r="C2221" i="1"/>
  <c r="A5005" i="1"/>
  <c r="B5005" i="1"/>
  <c r="C5005" i="1"/>
  <c r="A13304" i="1"/>
  <c r="B13304" i="1"/>
  <c r="C13304" i="1"/>
  <c r="A13642" i="1"/>
  <c r="B13642" i="1"/>
  <c r="C13642" i="1"/>
  <c r="A9669" i="1"/>
  <c r="B9669" i="1"/>
  <c r="C9669" i="1"/>
  <c r="A13714" i="1"/>
  <c r="B13714" i="1"/>
  <c r="C13714" i="1"/>
  <c r="A4381" i="1"/>
  <c r="B4381" i="1"/>
  <c r="C4381" i="1"/>
  <c r="A7306" i="1"/>
  <c r="B7306" i="1"/>
  <c r="C7306" i="1"/>
  <c r="A11804" i="1"/>
  <c r="B11804" i="1"/>
  <c r="C11804" i="1"/>
  <c r="A2345" i="1"/>
  <c r="B2345" i="1"/>
  <c r="C2345" i="1"/>
  <c r="A2543" i="1"/>
  <c r="B2543" i="1"/>
  <c r="C2543" i="1"/>
  <c r="A1610" i="1"/>
  <c r="B1610" i="1"/>
  <c r="C1610" i="1"/>
  <c r="A551" i="1"/>
  <c r="B551" i="1"/>
  <c r="C551" i="1"/>
  <c r="A6716" i="1"/>
  <c r="B6716" i="1"/>
  <c r="C6716" i="1"/>
  <c r="A11374" i="1"/>
  <c r="B11374" i="1"/>
  <c r="C11374" i="1"/>
  <c r="A3167" i="1"/>
  <c r="B3167" i="1"/>
  <c r="C3167" i="1"/>
  <c r="A2085" i="1"/>
  <c r="B2085" i="1"/>
  <c r="C2085" i="1"/>
  <c r="A6531" i="1"/>
  <c r="B6531" i="1"/>
  <c r="C6531" i="1"/>
  <c r="A6191" i="1"/>
  <c r="B6191" i="1"/>
  <c r="C6191" i="1"/>
  <c r="A12401" i="1"/>
  <c r="B12401" i="1"/>
  <c r="C12401" i="1"/>
  <c r="A12499" i="1"/>
  <c r="B12499" i="1"/>
  <c r="C12499" i="1"/>
  <c r="A10080" i="1"/>
  <c r="B10080" i="1"/>
  <c r="C10080" i="1"/>
  <c r="A12839" i="1"/>
  <c r="B12839" i="1"/>
  <c r="C12839" i="1"/>
  <c r="A7978" i="1"/>
  <c r="B7978" i="1"/>
  <c r="C7978" i="1"/>
  <c r="A3592" i="1"/>
  <c r="B3592" i="1"/>
  <c r="C3592" i="1"/>
  <c r="A6672" i="1"/>
  <c r="B6672" i="1"/>
  <c r="C6672" i="1"/>
  <c r="A6105" i="1"/>
  <c r="B6105" i="1"/>
  <c r="C6105" i="1"/>
  <c r="A9940" i="1"/>
  <c r="B9940" i="1"/>
  <c r="C9940" i="1"/>
  <c r="A13266" i="1"/>
  <c r="B13266" i="1"/>
  <c r="C13266" i="1"/>
  <c r="A9707" i="1"/>
  <c r="B9707" i="1"/>
  <c r="C9707" i="1"/>
  <c r="A8700" i="1"/>
  <c r="B8700" i="1"/>
  <c r="C8700" i="1"/>
  <c r="A6838" i="1"/>
  <c r="B6838" i="1"/>
  <c r="C6838" i="1"/>
  <c r="A13456" i="1"/>
  <c r="B13456" i="1"/>
  <c r="C13456" i="1"/>
  <c r="A8463" i="1"/>
  <c r="B8463" i="1"/>
  <c r="C8463" i="1"/>
  <c r="A10157" i="1"/>
  <c r="B10157" i="1"/>
  <c r="C10157" i="1"/>
  <c r="A3878" i="1"/>
  <c r="B3878" i="1"/>
  <c r="C3878" i="1"/>
  <c r="A10361" i="1"/>
  <c r="B10361" i="1"/>
  <c r="C10361" i="1"/>
  <c r="A4868" i="1"/>
  <c r="B4868" i="1"/>
  <c r="C4868" i="1"/>
  <c r="A3097" i="1"/>
  <c r="B3097" i="1"/>
  <c r="C3097" i="1"/>
  <c r="A1238" i="1"/>
  <c r="B1238" i="1"/>
  <c r="C1238" i="1"/>
  <c r="A959" i="1"/>
  <c r="B959" i="1"/>
  <c r="C959" i="1"/>
  <c r="A6077" i="1"/>
  <c r="B6077" i="1"/>
  <c r="C6077" i="1"/>
  <c r="A11648" i="1"/>
  <c r="B11648" i="1"/>
  <c r="C11648" i="1"/>
  <c r="A11515" i="1"/>
  <c r="B11515" i="1"/>
  <c r="C11515" i="1"/>
  <c r="A13511" i="1"/>
  <c r="B13511" i="1"/>
  <c r="C13511" i="1"/>
  <c r="A11887" i="1"/>
  <c r="B11887" i="1"/>
  <c r="C11887" i="1"/>
  <c r="A8625" i="1"/>
  <c r="B8625" i="1"/>
  <c r="C8625" i="1"/>
  <c r="A8110" i="1"/>
  <c r="B8110" i="1"/>
  <c r="C8110" i="1"/>
  <c r="A12797" i="1"/>
  <c r="B12797" i="1"/>
  <c r="C12797" i="1"/>
  <c r="A12866" i="1"/>
  <c r="B12866" i="1"/>
  <c r="C12866" i="1"/>
  <c r="A5165" i="1"/>
  <c r="B5165" i="1"/>
  <c r="C5165" i="1"/>
  <c r="A7206" i="1"/>
  <c r="B7206" i="1"/>
  <c r="C7206" i="1"/>
  <c r="A6722" i="1"/>
  <c r="B6722" i="1"/>
  <c r="C6722" i="1"/>
  <c r="A4174" i="1"/>
  <c r="B4174" i="1"/>
  <c r="C4174" i="1"/>
  <c r="A3870" i="1"/>
  <c r="B3870" i="1"/>
  <c r="C3870" i="1"/>
  <c r="A6379" i="1"/>
  <c r="B6379" i="1"/>
  <c r="C6379" i="1"/>
  <c r="A83" i="1"/>
  <c r="B83" i="1"/>
  <c r="C83" i="1"/>
  <c r="A7929" i="1"/>
  <c r="B7929" i="1"/>
  <c r="C7929" i="1"/>
  <c r="A5900" i="1"/>
  <c r="B5900" i="1"/>
  <c r="C5900" i="1"/>
  <c r="A13267" i="1"/>
  <c r="B13267" i="1"/>
  <c r="C13267" i="1"/>
  <c r="A5009" i="1"/>
  <c r="B5009" i="1"/>
  <c r="C5009" i="1"/>
  <c r="A6491" i="1"/>
  <c r="B6491" i="1"/>
  <c r="C6491" i="1"/>
  <c r="A3147" i="1"/>
  <c r="B3147" i="1"/>
  <c r="C3147" i="1"/>
  <c r="A8651" i="1"/>
  <c r="B8651" i="1"/>
  <c r="C8651" i="1"/>
  <c r="A9607" i="1"/>
  <c r="B9607" i="1"/>
  <c r="C9607" i="1"/>
  <c r="A12375" i="1"/>
  <c r="B12375" i="1"/>
  <c r="C12375" i="1"/>
  <c r="A1507" i="1"/>
  <c r="B1507" i="1"/>
  <c r="C1507" i="1"/>
  <c r="A1293" i="1"/>
  <c r="B1293" i="1"/>
  <c r="C1293" i="1"/>
  <c r="A4257" i="1"/>
  <c r="B4257" i="1"/>
  <c r="C4257" i="1"/>
  <c r="A10690" i="1"/>
  <c r="B10690" i="1"/>
  <c r="C10690" i="1"/>
  <c r="A4715" i="1"/>
  <c r="B4715" i="1"/>
  <c r="C4715" i="1"/>
  <c r="A2716" i="1"/>
  <c r="B2716" i="1"/>
  <c r="C2716" i="1"/>
  <c r="A1448" i="1"/>
  <c r="B1448" i="1"/>
  <c r="C1448" i="1"/>
  <c r="A1757" i="1"/>
  <c r="B1757" i="1"/>
  <c r="C1757" i="1"/>
  <c r="A2426" i="1"/>
  <c r="B2426" i="1"/>
  <c r="C2426" i="1"/>
  <c r="A6776" i="1"/>
  <c r="B6776" i="1"/>
  <c r="C6776" i="1"/>
  <c r="A13162" i="1"/>
  <c r="B13162" i="1"/>
  <c r="C13162" i="1"/>
  <c r="A255" i="1"/>
  <c r="B255" i="1"/>
  <c r="C255" i="1"/>
  <c r="A6860" i="1"/>
  <c r="B6860" i="1"/>
  <c r="C6860" i="1"/>
  <c r="A13715" i="1"/>
  <c r="B13715" i="1"/>
  <c r="C13715" i="1"/>
  <c r="A6336" i="1"/>
  <c r="B6336" i="1"/>
  <c r="C6336" i="1"/>
  <c r="A11884" i="1"/>
  <c r="B11884" i="1"/>
  <c r="C11884" i="1"/>
  <c r="A3541" i="1"/>
  <c r="B3541" i="1"/>
  <c r="C3541" i="1"/>
  <c r="A11667" i="1"/>
  <c r="B11667" i="1"/>
  <c r="C11667" i="1"/>
  <c r="A9381" i="1"/>
  <c r="B9381" i="1"/>
  <c r="C9381" i="1"/>
  <c r="A3953" i="1"/>
  <c r="B3953" i="1"/>
  <c r="C3953" i="1"/>
  <c r="A1237" i="1"/>
  <c r="B1237" i="1"/>
  <c r="C1237" i="1"/>
  <c r="A13629" i="1"/>
  <c r="B13629" i="1"/>
  <c r="C13629" i="1"/>
  <c r="A10559" i="1"/>
  <c r="B10559" i="1"/>
  <c r="C10559" i="1"/>
  <c r="A208" i="1"/>
  <c r="B208" i="1"/>
  <c r="C208" i="1"/>
  <c r="A13314" i="1"/>
  <c r="B13314" i="1"/>
  <c r="C13314" i="1"/>
  <c r="A5602" i="1"/>
  <c r="B5602" i="1"/>
  <c r="C5602" i="1"/>
  <c r="A12184" i="1"/>
  <c r="B12184" i="1"/>
  <c r="C12184" i="1"/>
  <c r="A536" i="1"/>
  <c r="B536" i="1"/>
  <c r="C536" i="1"/>
  <c r="A12350" i="1"/>
  <c r="B12350" i="1"/>
  <c r="C12350" i="1"/>
  <c r="A2931" i="1"/>
  <c r="B2931" i="1"/>
  <c r="C2931" i="1"/>
  <c r="A12351" i="1"/>
  <c r="B12351" i="1"/>
  <c r="C12351" i="1"/>
  <c r="A71" i="1"/>
  <c r="B71" i="1"/>
  <c r="C71" i="1"/>
  <c r="A12399" i="1"/>
  <c r="B12399" i="1"/>
  <c r="C12399" i="1"/>
  <c r="A1056" i="1"/>
  <c r="B1056" i="1"/>
  <c r="C1056" i="1"/>
  <c r="A12321" i="1"/>
  <c r="B12321" i="1"/>
  <c r="C12321" i="1"/>
  <c r="A13703" i="1"/>
  <c r="B13703" i="1"/>
  <c r="C13703" i="1"/>
  <c r="A4819" i="1"/>
  <c r="B4819" i="1"/>
  <c r="C4819" i="1"/>
  <c r="A11881" i="1"/>
  <c r="B11881" i="1"/>
  <c r="C11881" i="1"/>
  <c r="A6215" i="1"/>
  <c r="B6215" i="1"/>
  <c r="C6215" i="1"/>
  <c r="A4889" i="1"/>
  <c r="B4889" i="1"/>
  <c r="C4889" i="1"/>
  <c r="A6987" i="1"/>
  <c r="B6987" i="1"/>
  <c r="C6987" i="1"/>
  <c r="A12981" i="1"/>
  <c r="B12981" i="1"/>
  <c r="C12981" i="1"/>
  <c r="A5035" i="1"/>
  <c r="B5035" i="1"/>
  <c r="C5035" i="1"/>
  <c r="A673" i="1"/>
  <c r="B673" i="1"/>
  <c r="C673" i="1"/>
  <c r="A5592" i="1"/>
  <c r="B5592" i="1"/>
  <c r="C5592" i="1"/>
  <c r="A5188" i="1"/>
  <c r="B5188" i="1"/>
  <c r="C5188" i="1"/>
  <c r="A6662" i="1"/>
  <c r="B6662" i="1"/>
  <c r="C6662" i="1"/>
  <c r="A2417" i="1"/>
  <c r="B2417" i="1"/>
  <c r="C2417" i="1"/>
  <c r="A918" i="1"/>
  <c r="B918" i="1"/>
  <c r="C918" i="1"/>
  <c r="A4155" i="1"/>
  <c r="B4155" i="1"/>
  <c r="C4155" i="1"/>
  <c r="A13186" i="1"/>
  <c r="B13186" i="1"/>
  <c r="C13186" i="1"/>
  <c r="A8637" i="1"/>
  <c r="B8637" i="1"/>
  <c r="C8637" i="1"/>
  <c r="A3422" i="1"/>
  <c r="B3422" i="1"/>
  <c r="C3422" i="1"/>
  <c r="A4332" i="1"/>
  <c r="B4332" i="1"/>
  <c r="C4332" i="1"/>
  <c r="A4149" i="1"/>
  <c r="B4149" i="1"/>
  <c r="C4149" i="1"/>
  <c r="A7912" i="1"/>
  <c r="B7912" i="1"/>
  <c r="C7912" i="1"/>
  <c r="A7129" i="1"/>
  <c r="B7129" i="1"/>
  <c r="C7129" i="1"/>
  <c r="A10030" i="1"/>
  <c r="B10030" i="1"/>
  <c r="C10030" i="1"/>
  <c r="A7441" i="1"/>
  <c r="B7441" i="1"/>
  <c r="C7441" i="1"/>
  <c r="A167" i="1"/>
  <c r="B167" i="1"/>
  <c r="C167" i="1"/>
  <c r="A12680" i="1"/>
  <c r="B12680" i="1"/>
  <c r="C12680" i="1"/>
  <c r="A13373" i="1"/>
  <c r="B13373" i="1"/>
  <c r="C13373" i="1"/>
  <c r="A6907" i="1"/>
  <c r="B6907" i="1"/>
  <c r="C6907" i="1"/>
  <c r="A11121" i="1"/>
  <c r="B11121" i="1"/>
  <c r="C11121" i="1"/>
  <c r="A6107" i="1"/>
  <c r="B6107" i="1"/>
  <c r="C6107" i="1"/>
  <c r="A1782" i="1"/>
  <c r="B1782" i="1"/>
  <c r="C1782" i="1"/>
  <c r="A10389" i="1"/>
  <c r="B10389" i="1"/>
  <c r="C10389" i="1"/>
  <c r="A4207" i="1"/>
  <c r="B4207" i="1"/>
  <c r="C4207" i="1"/>
  <c r="A8178" i="1"/>
  <c r="B8178" i="1"/>
  <c r="C8178" i="1"/>
  <c r="A7593" i="1"/>
  <c r="B7593" i="1"/>
  <c r="C7593" i="1"/>
  <c r="A6207" i="1"/>
  <c r="B6207" i="1"/>
  <c r="C6207" i="1"/>
  <c r="A11188" i="1"/>
  <c r="B11188" i="1"/>
  <c r="C11188" i="1"/>
  <c r="A9358" i="1"/>
  <c r="B9358" i="1"/>
  <c r="C9358" i="1"/>
  <c r="A6812" i="1"/>
  <c r="B6812" i="1"/>
  <c r="C6812" i="1"/>
  <c r="A1142" i="1"/>
  <c r="B1142" i="1"/>
  <c r="C1142" i="1"/>
  <c r="A11234" i="1"/>
  <c r="B11234" i="1"/>
  <c r="C11234" i="1"/>
  <c r="A5834" i="1"/>
  <c r="B5834" i="1"/>
  <c r="C5834" i="1"/>
  <c r="A1595" i="1"/>
  <c r="B1595" i="1"/>
  <c r="C1595" i="1"/>
  <c r="A13788" i="1"/>
  <c r="B13788" i="1"/>
  <c r="C13788" i="1"/>
  <c r="A6067" i="1"/>
  <c r="B6067" i="1"/>
  <c r="C6067" i="1"/>
  <c r="A2585" i="1"/>
  <c r="B2585" i="1"/>
  <c r="C2585" i="1"/>
  <c r="A3827" i="1"/>
  <c r="B3827" i="1"/>
  <c r="C3827" i="1"/>
  <c r="A8967" i="1"/>
  <c r="B8967" i="1"/>
  <c r="C8967" i="1"/>
  <c r="A13474" i="1"/>
  <c r="B13474" i="1"/>
  <c r="C13474" i="1"/>
  <c r="A7430" i="1"/>
  <c r="B7430" i="1"/>
  <c r="C7430" i="1"/>
  <c r="A2143" i="1"/>
  <c r="B2143" i="1"/>
  <c r="C2143" i="1"/>
  <c r="A9501" i="1"/>
  <c r="B9501" i="1"/>
  <c r="C9501" i="1"/>
  <c r="A13025" i="1"/>
  <c r="B13025" i="1"/>
  <c r="C13025" i="1"/>
  <c r="A5565" i="1"/>
  <c r="B5565" i="1"/>
  <c r="C5565" i="1"/>
  <c r="A9718" i="1"/>
  <c r="B9718" i="1"/>
  <c r="C9718" i="1"/>
  <c r="A5726" i="1"/>
  <c r="B5726" i="1"/>
  <c r="C5726" i="1"/>
  <c r="A2932" i="1"/>
  <c r="B2932" i="1"/>
  <c r="C2932" i="1"/>
  <c r="A5268" i="1"/>
  <c r="B5268" i="1"/>
  <c r="C5268" i="1"/>
  <c r="A6424" i="1"/>
  <c r="B6424" i="1"/>
  <c r="C6424" i="1"/>
  <c r="A8903" i="1"/>
  <c r="B8903" i="1"/>
  <c r="C8903" i="1"/>
  <c r="A3357" i="1"/>
  <c r="B3357" i="1"/>
  <c r="C3357" i="1"/>
  <c r="A4739" i="1"/>
  <c r="B4739" i="1"/>
  <c r="C4739" i="1"/>
  <c r="A6671" i="1"/>
  <c r="B6671" i="1"/>
  <c r="C6671" i="1"/>
  <c r="A874" i="1"/>
  <c r="B874" i="1"/>
  <c r="C874" i="1"/>
  <c r="A5882" i="1"/>
  <c r="B5882" i="1"/>
  <c r="C5882" i="1"/>
  <c r="A6935" i="1"/>
  <c r="B6935" i="1"/>
  <c r="C6935" i="1"/>
  <c r="A11722" i="1"/>
  <c r="B11722" i="1"/>
  <c r="C11722" i="1"/>
  <c r="A115" i="1"/>
  <c r="B115" i="1"/>
  <c r="C115" i="1"/>
  <c r="A9376" i="1"/>
  <c r="B9376" i="1"/>
  <c r="C9376" i="1"/>
  <c r="A10776" i="1"/>
  <c r="B10776" i="1"/>
  <c r="C10776" i="1"/>
  <c r="A10363" i="1"/>
  <c r="B10363" i="1"/>
  <c r="C10363" i="1"/>
  <c r="A5700" i="1"/>
  <c r="B5700" i="1"/>
  <c r="C5700" i="1"/>
  <c r="A2506" i="1"/>
  <c r="B2506" i="1"/>
  <c r="C2506" i="1"/>
  <c r="A9529" i="1"/>
  <c r="B9529" i="1"/>
  <c r="C9529" i="1"/>
  <c r="A9471" i="1"/>
  <c r="B9471" i="1"/>
  <c r="C9471" i="1"/>
  <c r="A1952" i="1"/>
  <c r="B1952" i="1"/>
  <c r="C1952" i="1"/>
  <c r="A3200" i="1"/>
  <c r="B3200" i="1"/>
  <c r="C3200" i="1"/>
  <c r="A552" i="1"/>
  <c r="B552" i="1"/>
  <c r="C552" i="1"/>
  <c r="A1692" i="1"/>
  <c r="B1692" i="1"/>
  <c r="C1692" i="1"/>
  <c r="A1536" i="1"/>
  <c r="B1536" i="1"/>
  <c r="C1536" i="1"/>
  <c r="A10106" i="1"/>
  <c r="B10106" i="1"/>
  <c r="C10106" i="1"/>
  <c r="A7341" i="1"/>
  <c r="B7341" i="1"/>
  <c r="C7341" i="1"/>
  <c r="A2087" i="1"/>
  <c r="B2087" i="1"/>
  <c r="C2087" i="1"/>
  <c r="A3068" i="1"/>
  <c r="B3068" i="1"/>
  <c r="C3068" i="1"/>
  <c r="A5593" i="1"/>
  <c r="B5593" i="1"/>
  <c r="C5593" i="1"/>
  <c r="A3676" i="1"/>
  <c r="B3676" i="1"/>
  <c r="C3676" i="1"/>
  <c r="A4133" i="1"/>
  <c r="B4133" i="1"/>
  <c r="C4133" i="1"/>
  <c r="A12411" i="1"/>
  <c r="B12411" i="1"/>
  <c r="C12411" i="1"/>
  <c r="A14" i="1"/>
  <c r="B14" i="1"/>
  <c r="C14" i="1"/>
  <c r="A2342" i="1"/>
  <c r="B2342" i="1"/>
  <c r="C2342" i="1"/>
  <c r="A8649" i="1"/>
  <c r="B8649" i="1"/>
  <c r="C8649" i="1"/>
  <c r="A12141" i="1"/>
  <c r="B12141" i="1"/>
  <c r="C12141" i="1"/>
  <c r="A12288" i="1"/>
  <c r="B12288" i="1"/>
  <c r="C12288" i="1"/>
  <c r="A2683" i="1"/>
  <c r="B2683" i="1"/>
  <c r="C2683" i="1"/>
  <c r="A3472" i="1"/>
  <c r="B3472" i="1"/>
  <c r="C3472" i="1"/>
  <c r="A11489" i="1"/>
  <c r="B11489" i="1"/>
  <c r="C11489" i="1"/>
  <c r="A3050" i="1"/>
  <c r="B3050" i="1"/>
  <c r="C3050" i="1"/>
  <c r="A12568" i="1"/>
  <c r="B12568" i="1"/>
  <c r="C12568" i="1"/>
  <c r="A1938" i="1"/>
  <c r="B1938" i="1"/>
  <c r="C1938" i="1"/>
  <c r="A10299" i="1"/>
  <c r="B10299" i="1"/>
  <c r="C10299" i="1"/>
  <c r="A13142" i="1"/>
  <c r="B13142" i="1"/>
  <c r="C13142" i="1"/>
  <c r="A10803" i="1"/>
  <c r="B10803" i="1"/>
  <c r="C10803" i="1"/>
  <c r="A1049" i="1"/>
  <c r="B1049" i="1"/>
  <c r="C1049" i="1"/>
  <c r="A10537" i="1"/>
  <c r="B10537" i="1"/>
  <c r="C10537" i="1"/>
  <c r="A7690" i="1"/>
  <c r="B7690" i="1"/>
  <c r="C7690" i="1"/>
  <c r="A1696" i="1"/>
  <c r="B1696" i="1"/>
  <c r="C1696" i="1"/>
  <c r="A10916" i="1"/>
  <c r="B10916" i="1"/>
  <c r="C10916" i="1"/>
  <c r="A7936" i="1"/>
  <c r="B7936" i="1"/>
  <c r="C7936" i="1"/>
  <c r="A1210" i="1"/>
  <c r="B1210" i="1"/>
  <c r="C1210" i="1"/>
  <c r="A1858" i="1"/>
  <c r="B1858" i="1"/>
  <c r="C1858" i="1"/>
  <c r="A12569" i="1"/>
  <c r="B12569" i="1"/>
  <c r="C12569" i="1"/>
  <c r="A4673" i="1"/>
  <c r="B4673" i="1"/>
  <c r="C4673" i="1"/>
  <c r="A8748" i="1"/>
  <c r="B8748" i="1"/>
  <c r="C8748" i="1"/>
  <c r="A6597" i="1"/>
  <c r="B6597" i="1"/>
  <c r="C6597" i="1"/>
  <c r="A13406" i="1"/>
  <c r="B13406" i="1"/>
  <c r="C13406" i="1"/>
  <c r="A1449" i="1"/>
  <c r="B1449" i="1"/>
  <c r="C1449" i="1"/>
  <c r="A41" i="1"/>
  <c r="B41" i="1"/>
  <c r="C41" i="1"/>
  <c r="A12082" i="1"/>
  <c r="B12082" i="1"/>
  <c r="C12082" i="1"/>
  <c r="A13377" i="1"/>
  <c r="B13377" i="1"/>
  <c r="C13377" i="1"/>
  <c r="A4724" i="1"/>
  <c r="B4724" i="1"/>
  <c r="C4724" i="1"/>
  <c r="A4921" i="1"/>
  <c r="B4921" i="1"/>
  <c r="C4921" i="1"/>
  <c r="A12438" i="1"/>
  <c r="B12438" i="1"/>
  <c r="C12438" i="1"/>
  <c r="A13821" i="1"/>
  <c r="B13821" i="1"/>
  <c r="C13821" i="1"/>
  <c r="A10324" i="1"/>
  <c r="B10324" i="1"/>
  <c r="C10324" i="1"/>
  <c r="A13633" i="1"/>
  <c r="B13633" i="1"/>
  <c r="C13633" i="1"/>
  <c r="A2396" i="1"/>
  <c r="B2396" i="1"/>
  <c r="C2396" i="1"/>
  <c r="A722" i="1"/>
  <c r="B722" i="1"/>
  <c r="C722" i="1"/>
  <c r="A7422" i="1"/>
  <c r="B7422" i="1"/>
  <c r="C7422" i="1"/>
  <c r="A10941" i="1"/>
  <c r="B10941" i="1"/>
  <c r="C10941" i="1"/>
  <c r="A9766" i="1"/>
  <c r="B9766" i="1"/>
  <c r="C9766" i="1"/>
  <c r="A2712" i="1"/>
  <c r="B2712" i="1"/>
  <c r="C2712" i="1"/>
  <c r="A6844" i="1"/>
  <c r="B6844" i="1"/>
  <c r="C6844" i="1"/>
  <c r="A6122" i="1"/>
  <c r="B6122" i="1"/>
  <c r="C6122" i="1"/>
  <c r="A7219" i="1"/>
  <c r="B7219" i="1"/>
  <c r="C7219" i="1"/>
  <c r="A10618" i="1"/>
  <c r="B10618" i="1"/>
  <c r="C10618" i="1"/>
  <c r="A8886" i="1"/>
  <c r="B8886" i="1"/>
  <c r="C8886" i="1"/>
  <c r="A522" i="1"/>
  <c r="B522" i="1"/>
  <c r="C522" i="1"/>
  <c r="A7707" i="1"/>
  <c r="B7707" i="1"/>
  <c r="C7707" i="1"/>
  <c r="A576" i="1"/>
  <c r="B576" i="1"/>
  <c r="C576" i="1"/>
  <c r="A637" i="1"/>
  <c r="B637" i="1"/>
  <c r="C637" i="1"/>
  <c r="A13953" i="1"/>
  <c r="B13953" i="1"/>
  <c r="C13953" i="1"/>
  <c r="A7113" i="1"/>
  <c r="B7113" i="1"/>
  <c r="C7113" i="1"/>
  <c r="A9970" i="1"/>
  <c r="B9970" i="1"/>
  <c r="C9970" i="1"/>
  <c r="A10858" i="1"/>
  <c r="B10858" i="1"/>
  <c r="C10858" i="1"/>
  <c r="A11698" i="1"/>
  <c r="B11698" i="1"/>
  <c r="C11698" i="1"/>
  <c r="A6788" i="1"/>
  <c r="B6788" i="1"/>
  <c r="C6788" i="1"/>
  <c r="A10485" i="1"/>
  <c r="B10485" i="1"/>
  <c r="C10485" i="1"/>
  <c r="A7366" i="1"/>
  <c r="B7366" i="1"/>
  <c r="C7366" i="1"/>
  <c r="A12427" i="1"/>
  <c r="B12427" i="1"/>
  <c r="C12427" i="1"/>
  <c r="A1332" i="1"/>
  <c r="B1332" i="1"/>
  <c r="C1332" i="1"/>
  <c r="A10985" i="1"/>
  <c r="B10985" i="1"/>
  <c r="C10985" i="1"/>
  <c r="A5655" i="1"/>
  <c r="B5655" i="1"/>
  <c r="C5655" i="1"/>
  <c r="A4684" i="1"/>
  <c r="B4684" i="1"/>
  <c r="C4684" i="1"/>
  <c r="A8715" i="1"/>
  <c r="B8715" i="1"/>
  <c r="C8715" i="1"/>
  <c r="A3652" i="1"/>
  <c r="B3652" i="1"/>
  <c r="C3652" i="1"/>
  <c r="A3315" i="1"/>
  <c r="B3315" i="1"/>
  <c r="C3315" i="1"/>
  <c r="A7038" i="1"/>
  <c r="B7038" i="1"/>
  <c r="C7038" i="1"/>
  <c r="A666" i="1"/>
  <c r="B666" i="1"/>
  <c r="C666" i="1"/>
  <c r="A664" i="1"/>
  <c r="B664" i="1"/>
  <c r="C664" i="1"/>
  <c r="A9600" i="1"/>
  <c r="B9600" i="1"/>
  <c r="C9600" i="1"/>
  <c r="A9086" i="1"/>
  <c r="B9086" i="1"/>
  <c r="C9086" i="1"/>
  <c r="A464" i="1"/>
  <c r="B464" i="1"/>
  <c r="C464" i="1"/>
  <c r="A11212" i="1"/>
  <c r="B11212" i="1"/>
  <c r="C11212" i="1"/>
  <c r="A308" i="1"/>
  <c r="B308" i="1"/>
  <c r="C308" i="1"/>
  <c r="A11286" i="1"/>
  <c r="B11286" i="1"/>
  <c r="C11286" i="1"/>
  <c r="A9062" i="1"/>
  <c r="B9062" i="1"/>
  <c r="C9062" i="1"/>
  <c r="A5632" i="1"/>
  <c r="B5632" i="1"/>
  <c r="C5632" i="1"/>
  <c r="A9377" i="1"/>
  <c r="B9377" i="1"/>
  <c r="C9377" i="1"/>
  <c r="A10006" i="1"/>
  <c r="B10006" i="1"/>
  <c r="C10006" i="1"/>
  <c r="A6685" i="1"/>
  <c r="B6685" i="1"/>
  <c r="C6685" i="1"/>
  <c r="A1868" i="1"/>
  <c r="B1868" i="1"/>
  <c r="C1868" i="1"/>
  <c r="A8542" i="1"/>
  <c r="B8542" i="1"/>
  <c r="C8542" i="1"/>
  <c r="A7654" i="1"/>
  <c r="B7654" i="1"/>
  <c r="C7654" i="1"/>
  <c r="A8543" i="1"/>
  <c r="B8543" i="1"/>
  <c r="C8543" i="1"/>
  <c r="A10195" i="1"/>
  <c r="B10195" i="1"/>
  <c r="C10195" i="1"/>
  <c r="A8544" i="1"/>
  <c r="B8544" i="1"/>
  <c r="C8544" i="1"/>
  <c r="A7680" i="1"/>
  <c r="B7680" i="1"/>
  <c r="C7680" i="1"/>
  <c r="A9436" i="1"/>
  <c r="B9436" i="1"/>
  <c r="C9436" i="1"/>
  <c r="A9750" i="1"/>
  <c r="B9750" i="1"/>
  <c r="C9750" i="1"/>
  <c r="A3585" i="1"/>
  <c r="B3585" i="1"/>
  <c r="C3585" i="1"/>
  <c r="A1888" i="1"/>
  <c r="B1888" i="1"/>
  <c r="C1888" i="1"/>
  <c r="A6114" i="1"/>
  <c r="B6114" i="1"/>
  <c r="C6114" i="1"/>
  <c r="A8175" i="1"/>
  <c r="B8175" i="1"/>
  <c r="C8175" i="1"/>
  <c r="A9158" i="1"/>
  <c r="B9158" i="1"/>
  <c r="C9158" i="1"/>
  <c r="A8970" i="1"/>
  <c r="B8970" i="1"/>
  <c r="C8970" i="1"/>
  <c r="A6712" i="1"/>
  <c r="B6712" i="1"/>
  <c r="C6712" i="1"/>
  <c r="A11266" i="1"/>
  <c r="B11266" i="1"/>
  <c r="C11266" i="1"/>
  <c r="A9070" i="1"/>
  <c r="B9070" i="1"/>
  <c r="C9070" i="1"/>
  <c r="A6159" i="1"/>
  <c r="B6159" i="1"/>
  <c r="C6159" i="1"/>
  <c r="A9935" i="1"/>
  <c r="B9935" i="1"/>
  <c r="C9935" i="1"/>
  <c r="A1248" i="1"/>
  <c r="B1248" i="1"/>
  <c r="C1248" i="1"/>
  <c r="A13552" i="1"/>
  <c r="B13552" i="1"/>
  <c r="C13552" i="1"/>
  <c r="A439" i="1"/>
  <c r="B439" i="1"/>
  <c r="C439" i="1"/>
  <c r="A709" i="1"/>
  <c r="B709" i="1"/>
  <c r="C709" i="1"/>
  <c r="A2072" i="1"/>
  <c r="B2072" i="1"/>
  <c r="C2072" i="1"/>
  <c r="A3724" i="1"/>
  <c r="B3724" i="1"/>
  <c r="C3724" i="1"/>
  <c r="A11276" i="1"/>
  <c r="B11276" i="1"/>
  <c r="C11276" i="1"/>
  <c r="A3932" i="1"/>
  <c r="B3932" i="1"/>
  <c r="C3932" i="1"/>
  <c r="A3366" i="1"/>
  <c r="B3366" i="1"/>
  <c r="C3366" i="1"/>
  <c r="A6521" i="1"/>
  <c r="B6521" i="1"/>
  <c r="C6521" i="1"/>
  <c r="A577" i="1"/>
  <c r="B577" i="1"/>
  <c r="C577" i="1"/>
  <c r="A2224" i="1"/>
  <c r="B2224" i="1"/>
  <c r="C2224" i="1"/>
  <c r="A8934" i="1"/>
  <c r="B8934" i="1"/>
  <c r="C8934" i="1"/>
  <c r="A1203" i="1"/>
  <c r="B1203" i="1"/>
  <c r="C1203" i="1"/>
  <c r="A5749" i="1"/>
  <c r="B5749" i="1"/>
  <c r="C5749" i="1"/>
  <c r="A465" i="1"/>
  <c r="B465" i="1"/>
  <c r="C465" i="1"/>
  <c r="A7307" i="1"/>
  <c r="B7307" i="1"/>
  <c r="C7307" i="1"/>
  <c r="A9979" i="1"/>
  <c r="B9979" i="1"/>
  <c r="C9979" i="1"/>
  <c r="A2521" i="1"/>
  <c r="B2521" i="1"/>
  <c r="C2521" i="1"/>
  <c r="A1025" i="1"/>
  <c r="B1025" i="1"/>
  <c r="C1025" i="1"/>
  <c r="A1459" i="1"/>
  <c r="B1459" i="1"/>
  <c r="C1459" i="1"/>
  <c r="A1961" i="1"/>
  <c r="B1961" i="1"/>
  <c r="C1961" i="1"/>
  <c r="A3230" i="1"/>
  <c r="B3230" i="1"/>
  <c r="C3230" i="1"/>
  <c r="A992" i="1"/>
  <c r="B992" i="1"/>
  <c r="C992" i="1"/>
  <c r="A4703" i="1"/>
  <c r="B4703" i="1"/>
  <c r="C4703" i="1"/>
  <c r="A8955" i="1"/>
  <c r="B8955" i="1"/>
  <c r="C8955" i="1"/>
  <c r="A7869" i="1"/>
  <c r="B7869" i="1"/>
  <c r="C7869" i="1"/>
  <c r="A11875" i="1"/>
  <c r="B11875" i="1"/>
  <c r="C11875" i="1"/>
  <c r="A11876" i="1"/>
  <c r="B11876" i="1"/>
  <c r="C11876" i="1"/>
  <c r="A9821" i="1"/>
  <c r="B9821" i="1"/>
  <c r="C9821" i="1"/>
  <c r="A5304" i="1"/>
  <c r="B5304" i="1"/>
  <c r="C5304" i="1"/>
  <c r="A2703" i="1"/>
  <c r="B2703" i="1"/>
  <c r="C2703" i="1"/>
  <c r="A12896" i="1"/>
  <c r="B12896" i="1"/>
  <c r="C12896" i="1"/>
  <c r="A7777" i="1"/>
  <c r="B7777" i="1"/>
  <c r="C7777" i="1"/>
  <c r="A2851" i="1"/>
  <c r="B2851" i="1"/>
  <c r="C2851" i="1"/>
  <c r="A9131" i="1"/>
  <c r="B9131" i="1"/>
  <c r="C9131" i="1"/>
  <c r="A7999" i="1"/>
  <c r="B7999" i="1"/>
  <c r="C7999" i="1"/>
  <c r="A9291" i="1"/>
  <c r="B9291" i="1"/>
  <c r="C9291" i="1"/>
  <c r="A2279" i="1"/>
  <c r="B2279" i="1"/>
  <c r="C2279" i="1"/>
  <c r="A10598" i="1"/>
  <c r="B10598" i="1"/>
  <c r="C10598" i="1"/>
  <c r="A7758" i="1"/>
  <c r="B7758" i="1"/>
  <c r="C7758" i="1"/>
  <c r="A13543" i="1"/>
  <c r="B13543" i="1"/>
  <c r="C13543" i="1"/>
  <c r="A9547" i="1"/>
  <c r="B9547" i="1"/>
  <c r="C9547" i="1"/>
  <c r="A3440" i="1"/>
  <c r="B3440" i="1"/>
  <c r="C3440" i="1"/>
  <c r="A7256" i="1"/>
  <c r="B7256" i="1"/>
  <c r="C7256" i="1"/>
  <c r="A5554" i="1"/>
  <c r="B5554" i="1"/>
  <c r="C5554" i="1"/>
  <c r="A13792" i="1"/>
  <c r="B13792" i="1"/>
  <c r="C13792" i="1"/>
  <c r="A1591" i="1"/>
  <c r="B1591" i="1"/>
  <c r="C1591" i="1"/>
  <c r="A1945" i="1"/>
  <c r="B1945" i="1"/>
  <c r="C1945" i="1"/>
  <c r="A11623" i="1"/>
  <c r="B11623" i="1"/>
  <c r="C11623" i="1"/>
  <c r="A3500" i="1"/>
  <c r="B3500" i="1"/>
  <c r="C3500" i="1"/>
  <c r="A4882" i="1"/>
  <c r="B4882" i="1"/>
  <c r="C4882" i="1"/>
  <c r="A2952" i="1"/>
  <c r="B2952" i="1"/>
  <c r="C2952" i="1"/>
  <c r="A2934" i="1"/>
  <c r="B2934" i="1"/>
  <c r="C2934" i="1"/>
  <c r="A7250" i="1"/>
  <c r="B7250" i="1"/>
  <c r="C7250" i="1"/>
  <c r="A1276" i="1"/>
  <c r="B1276" i="1"/>
  <c r="C1276" i="1"/>
  <c r="A4716" i="1"/>
  <c r="B4716" i="1"/>
  <c r="C4716" i="1"/>
  <c r="A7035" i="1"/>
  <c r="B7035" i="1"/>
  <c r="C7035" i="1"/>
  <c r="A1450" i="1"/>
  <c r="B1450" i="1"/>
  <c r="C1450" i="1"/>
  <c r="A9989" i="1"/>
  <c r="B9989" i="1"/>
  <c r="C9989" i="1"/>
  <c r="A11491" i="1"/>
  <c r="B11491" i="1"/>
  <c r="C11491" i="1"/>
  <c r="A9793" i="1"/>
  <c r="B9793" i="1"/>
  <c r="C9793" i="1"/>
  <c r="A13261" i="1"/>
  <c r="B13261" i="1"/>
  <c r="C13261" i="1"/>
  <c r="A7833" i="1"/>
  <c r="B7833" i="1"/>
  <c r="C7833" i="1"/>
  <c r="A10330" i="1"/>
  <c r="B10330" i="1"/>
  <c r="C10330" i="1"/>
  <c r="A438" i="1"/>
  <c r="B438" i="1"/>
  <c r="C438" i="1"/>
  <c r="A2068" i="1"/>
  <c r="B2068" i="1"/>
  <c r="C2068" i="1"/>
  <c r="A2488" i="1"/>
  <c r="B2488" i="1"/>
  <c r="C2488" i="1"/>
  <c r="A5056" i="1"/>
  <c r="B5056" i="1"/>
  <c r="C5056" i="1"/>
  <c r="A9392" i="1"/>
  <c r="B9392" i="1"/>
  <c r="C9392" i="1"/>
  <c r="A10409" i="1"/>
  <c r="B10409" i="1"/>
  <c r="C10409" i="1"/>
  <c r="A2665" i="1"/>
  <c r="B2665" i="1"/>
  <c r="C2665" i="1"/>
  <c r="A4076" i="1"/>
  <c r="B4076" i="1"/>
  <c r="C4076" i="1"/>
  <c r="A1279" i="1"/>
  <c r="B1279" i="1"/>
  <c r="C1279" i="1"/>
  <c r="A8805" i="1"/>
  <c r="B8805" i="1"/>
  <c r="C8805" i="1"/>
  <c r="A3091" i="1"/>
  <c r="B3091" i="1"/>
  <c r="C3091" i="1"/>
  <c r="A3046" i="1"/>
  <c r="B3046" i="1"/>
  <c r="C3046" i="1"/>
  <c r="A6369" i="1"/>
  <c r="B6369" i="1"/>
  <c r="C6369" i="1"/>
  <c r="A3139" i="1"/>
  <c r="B3139" i="1"/>
  <c r="C3139" i="1"/>
  <c r="A1152" i="1"/>
  <c r="B1152" i="1"/>
  <c r="C1152" i="1"/>
  <c r="A8021" i="1"/>
  <c r="B8021" i="1"/>
  <c r="C8021" i="1"/>
  <c r="A5052" i="1"/>
  <c r="B5052" i="1"/>
  <c r="C5052" i="1"/>
  <c r="A7101" i="1"/>
  <c r="B7101" i="1"/>
  <c r="A6116" i="1"/>
  <c r="B6116" i="1"/>
  <c r="C6116" i="1"/>
  <c r="A1827" i="1"/>
  <c r="B1827" i="1"/>
  <c r="C1827" i="1"/>
  <c r="A9764" i="1"/>
  <c r="B9764" i="1"/>
  <c r="C9764" i="1"/>
  <c r="A5667" i="1"/>
  <c r="B5667" i="1"/>
  <c r="C5667" i="1"/>
  <c r="A2097" i="1"/>
  <c r="B2097" i="1"/>
  <c r="C2097" i="1"/>
  <c r="A899" i="1"/>
  <c r="B899" i="1"/>
  <c r="C899" i="1"/>
  <c r="A1614" i="1"/>
  <c r="B1614" i="1"/>
  <c r="C1614" i="1"/>
  <c r="A2913" i="1"/>
  <c r="B2913" i="1"/>
  <c r="C2913" i="1"/>
  <c r="A11295" i="1"/>
  <c r="B11295" i="1"/>
  <c r="C11295" i="1"/>
  <c r="A9260" i="1"/>
  <c r="B9260" i="1"/>
  <c r="C9260" i="1"/>
  <c r="A6334" i="1"/>
  <c r="B6334" i="1"/>
  <c r="C6334" i="1"/>
  <c r="A1033" i="1"/>
  <c r="B1033" i="1"/>
  <c r="C1033" i="1"/>
  <c r="A6335" i="1"/>
  <c r="B6335" i="1"/>
  <c r="C6335" i="1"/>
  <c r="A6481" i="1"/>
  <c r="B6481" i="1"/>
  <c r="C6481" i="1"/>
  <c r="A5984" i="1"/>
  <c r="B5984" i="1"/>
  <c r="C5984" i="1"/>
  <c r="A2691" i="1"/>
  <c r="B2691" i="1"/>
  <c r="C2691" i="1"/>
  <c r="A11421" i="1"/>
  <c r="B11421" i="1"/>
  <c r="C11421" i="1"/>
  <c r="A10666" i="1"/>
  <c r="B10666" i="1"/>
  <c r="C10666" i="1"/>
  <c r="A5839" i="1"/>
  <c r="B5839" i="1"/>
  <c r="C5839" i="1"/>
  <c r="A13800" i="1"/>
  <c r="B13800" i="1"/>
  <c r="C13800" i="1"/>
  <c r="A2372" i="1"/>
  <c r="B2372" i="1"/>
  <c r="C2372" i="1"/>
  <c r="A3254" i="1"/>
  <c r="B3254" i="1"/>
  <c r="C3254" i="1"/>
  <c r="A6577" i="1"/>
  <c r="B6577" i="1"/>
  <c r="C6577" i="1"/>
  <c r="A6218" i="1"/>
  <c r="B6218" i="1"/>
  <c r="C6218" i="1"/>
  <c r="A1947" i="1"/>
  <c r="B1947" i="1"/>
  <c r="C1947" i="1"/>
  <c r="A7444" i="1"/>
  <c r="B7444" i="1"/>
  <c r="C7444" i="1"/>
  <c r="A7948" i="1"/>
  <c r="B7948" i="1"/>
  <c r="C7948" i="1"/>
  <c r="A11841" i="1"/>
  <c r="B11841" i="1"/>
  <c r="C11841" i="1"/>
  <c r="A6256" i="1"/>
  <c r="B6256" i="1"/>
  <c r="C6256" i="1"/>
  <c r="A13020" i="1"/>
  <c r="B13020" i="1"/>
  <c r="C13020" i="1"/>
  <c r="A8704" i="1"/>
  <c r="B8704" i="1"/>
  <c r="C8704" i="1"/>
  <c r="A5822" i="1"/>
  <c r="B5822" i="1"/>
  <c r="C5822" i="1"/>
  <c r="A10722" i="1"/>
  <c r="B10722" i="1"/>
  <c r="C10722" i="1"/>
  <c r="A358" i="1"/>
  <c r="B358" i="1"/>
  <c r="C358" i="1"/>
  <c r="A12397" i="1"/>
  <c r="B12397" i="1"/>
  <c r="C12397" i="1"/>
  <c r="A9946" i="1"/>
  <c r="B9946" i="1"/>
  <c r="C9946" i="1"/>
  <c r="A10159" i="1"/>
  <c r="B10159" i="1"/>
  <c r="C10159" i="1"/>
  <c r="A13" i="1"/>
  <c r="B13" i="1"/>
  <c r="C13" i="1"/>
  <c r="A3721" i="1"/>
  <c r="B3721" i="1"/>
  <c r="C3721" i="1"/>
  <c r="A12028" i="1"/>
  <c r="B12028" i="1"/>
  <c r="C12028" i="1"/>
  <c r="A6717" i="1"/>
  <c r="B6717" i="1"/>
  <c r="C6717" i="1"/>
  <c r="A2978" i="1"/>
  <c r="B2978" i="1"/>
  <c r="C2978" i="1"/>
  <c r="A9148" i="1"/>
  <c r="B9148" i="1"/>
  <c r="C9148" i="1"/>
  <c r="A12679" i="1"/>
  <c r="B12679" i="1"/>
  <c r="C12679" i="1"/>
  <c r="A9192" i="1"/>
  <c r="B9192" i="1"/>
  <c r="C9192" i="1"/>
  <c r="A10356" i="1"/>
  <c r="B10356" i="1"/>
  <c r="C10356" i="1"/>
  <c r="A3305" i="1"/>
  <c r="B3305" i="1"/>
  <c r="C3305" i="1"/>
  <c r="A9280" i="1"/>
  <c r="B9280" i="1"/>
  <c r="C9280" i="1"/>
  <c r="A7928" i="1"/>
  <c r="B7928" i="1"/>
  <c r="C7928" i="1"/>
  <c r="A4775" i="1"/>
  <c r="B4775" i="1"/>
  <c r="C4775" i="1"/>
  <c r="A8257" i="1"/>
  <c r="B8257" i="1"/>
  <c r="C8257" i="1"/>
  <c r="A2734" i="1"/>
  <c r="B2734" i="1"/>
  <c r="C2734" i="1"/>
  <c r="A437" i="1"/>
  <c r="B437" i="1"/>
  <c r="C437" i="1"/>
  <c r="A7403" i="1"/>
  <c r="B7403" i="1"/>
  <c r="C7403" i="1"/>
  <c r="A9170" i="1"/>
  <c r="B9170" i="1"/>
  <c r="C9170" i="1"/>
  <c r="A8652" i="1"/>
  <c r="B8652" i="1"/>
  <c r="C8652" i="1"/>
  <c r="A10107" i="1"/>
  <c r="B10107" i="1"/>
  <c r="C10107" i="1"/>
  <c r="A9550" i="1"/>
  <c r="B9550" i="1"/>
  <c r="C9550" i="1"/>
  <c r="A13947" i="1"/>
  <c r="B13947" i="1"/>
  <c r="C13947" i="1"/>
  <c r="A6178" i="1"/>
  <c r="B6178" i="1"/>
  <c r="C6178" i="1"/>
  <c r="A8807" i="1"/>
  <c r="B8807" i="1"/>
  <c r="C8807" i="1"/>
  <c r="A9234" i="1"/>
  <c r="B9234" i="1"/>
  <c r="C9234" i="1"/>
  <c r="A6649" i="1"/>
  <c r="B6649" i="1"/>
  <c r="C6649" i="1"/>
  <c r="A10240" i="1"/>
  <c r="B10240" i="1"/>
  <c r="C10240" i="1"/>
  <c r="A7379" i="1"/>
  <c r="B7379" i="1"/>
  <c r="C7379" i="1"/>
  <c r="A12342" i="1"/>
  <c r="B12342" i="1"/>
  <c r="C12342" i="1"/>
  <c r="A7351" i="1"/>
  <c r="B7351" i="1"/>
  <c r="C7351" i="1"/>
  <c r="A6060" i="1"/>
  <c r="B6060" i="1"/>
  <c r="C6060" i="1"/>
  <c r="A2223" i="1"/>
  <c r="B2223" i="1"/>
  <c r="C2223" i="1"/>
  <c r="A6463" i="1"/>
  <c r="B6463" i="1"/>
  <c r="C6463" i="1"/>
  <c r="A8569" i="1"/>
  <c r="B8569" i="1"/>
  <c r="C8569" i="1"/>
  <c r="A3326" i="1"/>
  <c r="B3326" i="1"/>
  <c r="C3326" i="1"/>
  <c r="A2029" i="1"/>
  <c r="B2029" i="1"/>
  <c r="C2029" i="1"/>
  <c r="A9084" i="1"/>
  <c r="B9084" i="1"/>
  <c r="C9084" i="1"/>
  <c r="A5154" i="1"/>
  <c r="B5154" i="1"/>
  <c r="C5154" i="1"/>
  <c r="A3489" i="1"/>
  <c r="B3489" i="1"/>
  <c r="C3489" i="1"/>
  <c r="A11338" i="1"/>
  <c r="B11338" i="1"/>
  <c r="C11338" i="1"/>
  <c r="A10306" i="1"/>
  <c r="B10306" i="1"/>
  <c r="C10306" i="1"/>
  <c r="A13163" i="1"/>
  <c r="B13163" i="1"/>
  <c r="C13163" i="1"/>
  <c r="A5362" i="1"/>
  <c r="B5362" i="1"/>
  <c r="C5362" i="1"/>
  <c r="A2052" i="1"/>
  <c r="B2052" i="1"/>
  <c r="C2052" i="1"/>
  <c r="A8974" i="1"/>
  <c r="B8974" i="1"/>
  <c r="C8974" i="1"/>
  <c r="A10430" i="1"/>
  <c r="B10430" i="1"/>
  <c r="C10430" i="1"/>
  <c r="A12999" i="1"/>
  <c r="B12999" i="1"/>
  <c r="C12999" i="1"/>
  <c r="A10191" i="1"/>
  <c r="B10191" i="1"/>
  <c r="C10191" i="1"/>
  <c r="A922" i="1"/>
  <c r="B922" i="1"/>
  <c r="C922" i="1"/>
  <c r="A713" i="1"/>
  <c r="B713" i="1"/>
  <c r="C713" i="1"/>
  <c r="A667" i="1"/>
  <c r="B667" i="1"/>
  <c r="C667" i="1"/>
  <c r="A4242" i="1"/>
  <c r="B4242" i="1"/>
  <c r="C4242" i="1"/>
  <c r="A12778" i="1"/>
  <c r="B12778" i="1"/>
  <c r="C12778" i="1"/>
  <c r="A12854" i="1"/>
  <c r="B12854" i="1"/>
  <c r="C12854" i="1"/>
  <c r="A4869" i="1"/>
  <c r="B4869" i="1"/>
  <c r="C4869" i="1"/>
  <c r="A57" i="1"/>
  <c r="B57" i="1"/>
  <c r="C57" i="1"/>
  <c r="A6565" i="1"/>
  <c r="B6565" i="1"/>
  <c r="C6565" i="1"/>
  <c r="A11424" i="1"/>
  <c r="B11424" i="1"/>
  <c r="C11424" i="1"/>
  <c r="A3980" i="1"/>
  <c r="B3980" i="1"/>
  <c r="C3980" i="1"/>
  <c r="A12832" i="1"/>
  <c r="B12832" i="1"/>
  <c r="C12832" i="1"/>
  <c r="A7112" i="1"/>
  <c r="B7112" i="1"/>
  <c r="C7112" i="1"/>
  <c r="A8371" i="1"/>
  <c r="B8371" i="1"/>
  <c r="C8371" i="1"/>
  <c r="A8650" i="1"/>
  <c r="B8650" i="1"/>
  <c r="C8650" i="1"/>
  <c r="A5224" i="1"/>
  <c r="B5224" i="1"/>
  <c r="C5224" i="1"/>
  <c r="A9365" i="1"/>
  <c r="B9365" i="1"/>
  <c r="C9365" i="1"/>
  <c r="A5390" i="1"/>
  <c r="B5390" i="1"/>
  <c r="C5390" i="1"/>
  <c r="A18" i="1"/>
  <c r="B18" i="1"/>
  <c r="C18" i="1"/>
  <c r="A8031" i="1"/>
  <c r="B8031" i="1"/>
  <c r="C8031" i="1"/>
  <c r="A12638" i="1"/>
  <c r="B12638" i="1"/>
  <c r="C12638" i="1"/>
  <c r="A13510" i="1"/>
  <c r="B13510" i="1"/>
  <c r="C13510" i="1"/>
  <c r="A12970" i="1"/>
  <c r="B12970" i="1"/>
  <c r="C12970" i="1"/>
  <c r="A2100" i="1"/>
  <c r="B2100" i="1"/>
  <c r="C2100" i="1"/>
  <c r="A11896" i="1"/>
  <c r="B11896" i="1"/>
  <c r="C11896" i="1"/>
  <c r="A1251" i="1"/>
  <c r="B1251" i="1"/>
  <c r="C1251" i="1"/>
  <c r="A3828" i="1"/>
  <c r="B3828" i="1"/>
  <c r="C3828" i="1"/>
  <c r="A11556" i="1"/>
  <c r="B11556" i="1"/>
  <c r="C11556" i="1"/>
  <c r="A2729" i="1"/>
  <c r="B2729" i="1"/>
  <c r="C2729" i="1"/>
  <c r="A9057" i="1"/>
  <c r="B9057" i="1"/>
  <c r="C9057" i="1"/>
  <c r="A7771" i="1"/>
  <c r="B7771" i="1"/>
  <c r="C7771" i="1"/>
  <c r="A11755" i="1"/>
  <c r="B11755" i="1"/>
  <c r="C11755" i="1"/>
  <c r="A12683" i="1"/>
  <c r="B12683" i="1"/>
  <c r="C12683" i="1"/>
  <c r="A4519" i="1"/>
  <c r="B4519" i="1"/>
  <c r="C4519" i="1"/>
  <c r="A4260" i="1"/>
  <c r="B4260" i="1"/>
  <c r="C4260" i="1"/>
  <c r="A2672" i="1"/>
  <c r="B2672" i="1"/>
  <c r="C2672" i="1"/>
  <c r="A9316" i="1"/>
  <c r="B9316" i="1"/>
  <c r="C9316" i="1"/>
  <c r="A4271" i="1"/>
  <c r="B4271" i="1"/>
  <c r="C4271" i="1"/>
  <c r="A10775" i="1"/>
  <c r="B10775" i="1"/>
  <c r="C10775" i="1"/>
  <c r="A5942" i="1"/>
  <c r="B5942" i="1"/>
  <c r="C5942" i="1"/>
  <c r="A1805" i="1"/>
  <c r="B1805" i="1"/>
  <c r="C1805" i="1"/>
  <c r="A6224" i="1"/>
  <c r="B6224" i="1"/>
  <c r="C6224" i="1"/>
  <c r="A1389" i="1"/>
  <c r="B1389" i="1"/>
  <c r="C1389" i="1"/>
  <c r="A2473" i="1"/>
  <c r="B2473" i="1"/>
  <c r="C2473" i="1"/>
  <c r="A11636" i="1"/>
  <c r="B11636" i="1"/>
  <c r="C11636" i="1"/>
  <c r="A5363" i="1"/>
  <c r="B5363" i="1"/>
  <c r="C5363" i="1"/>
  <c r="A5987" i="1"/>
  <c r="B5987" i="1"/>
  <c r="C5987" i="1"/>
  <c r="A523" i="1"/>
  <c r="B523" i="1"/>
  <c r="C523" i="1"/>
  <c r="A5885" i="1"/>
  <c r="B5885" i="1"/>
  <c r="C5885" i="1"/>
  <c r="A5936" i="1"/>
  <c r="B5936" i="1"/>
  <c r="C5936" i="1"/>
  <c r="A9805" i="1"/>
  <c r="B9805" i="1"/>
  <c r="C9805" i="1"/>
  <c r="A12267" i="1"/>
  <c r="B12267" i="1"/>
  <c r="C12267" i="1"/>
  <c r="A1037" i="1"/>
  <c r="B1037" i="1"/>
  <c r="C1037" i="1"/>
  <c r="A7130" i="1"/>
  <c r="B7130" i="1"/>
  <c r="C7130" i="1"/>
  <c r="A5789" i="1"/>
  <c r="B5789" i="1"/>
  <c r="C5789" i="1"/>
  <c r="A1713" i="1"/>
  <c r="B1713" i="1"/>
  <c r="C1713" i="1"/>
  <c r="A5605" i="1"/>
  <c r="B5605" i="1"/>
  <c r="C5605" i="1"/>
  <c r="A2562" i="1"/>
  <c r="B2562" i="1"/>
  <c r="C2562" i="1"/>
  <c r="A1159" i="1"/>
  <c r="B1159" i="1"/>
  <c r="C1159" i="1"/>
  <c r="A10455" i="1"/>
  <c r="B10455" i="1"/>
  <c r="C10455" i="1"/>
  <c r="A3064" i="1"/>
  <c r="B3064" i="1"/>
  <c r="C3064" i="1"/>
  <c r="A6831" i="1"/>
  <c r="B6831" i="1"/>
  <c r="C6831" i="1"/>
  <c r="A1796" i="1"/>
  <c r="B1796" i="1"/>
  <c r="C1796" i="1"/>
  <c r="A5001" i="1"/>
  <c r="B5001" i="1"/>
  <c r="C5001" i="1"/>
  <c r="A2283" i="1"/>
  <c r="B2283" i="1"/>
  <c r="C2283" i="1"/>
  <c r="A13041" i="1"/>
  <c r="B13041" i="1"/>
  <c r="C13041" i="1"/>
  <c r="A3677" i="1"/>
  <c r="B3677" i="1"/>
  <c r="C3677" i="1"/>
  <c r="A4920" i="1"/>
  <c r="B4920" i="1"/>
  <c r="C4920" i="1"/>
  <c r="A7159" i="1"/>
  <c r="B7159" i="1"/>
  <c r="C7159" i="1"/>
  <c r="A5409" i="1"/>
  <c r="B5409" i="1"/>
  <c r="C5409" i="1"/>
  <c r="A13421" i="1"/>
  <c r="B13421" i="1"/>
  <c r="C13421" i="1"/>
  <c r="A4690" i="1"/>
  <c r="B4690" i="1"/>
  <c r="C4690" i="1"/>
  <c r="A5359" i="1"/>
  <c r="B5359" i="1"/>
  <c r="C5359" i="1"/>
  <c r="A13199" i="1"/>
  <c r="B13199" i="1"/>
  <c r="C13199" i="1"/>
  <c r="A5413" i="1"/>
  <c r="B5413" i="1"/>
  <c r="C5413" i="1"/>
  <c r="A4186" i="1"/>
  <c r="B4186" i="1"/>
  <c r="C4186" i="1"/>
  <c r="A6665" i="1"/>
  <c r="B6665" i="1"/>
  <c r="C6665" i="1"/>
  <c r="A12971" i="1"/>
  <c r="B12971" i="1"/>
  <c r="C12971" i="1"/>
  <c r="A4762" i="1"/>
  <c r="B4762" i="1"/>
  <c r="C4762" i="1"/>
  <c r="A10962" i="1"/>
  <c r="B10962" i="1"/>
  <c r="C10962" i="1"/>
  <c r="A12919" i="1"/>
  <c r="B12919" i="1"/>
  <c r="C12919" i="1"/>
  <c r="A9399" i="1"/>
  <c r="B9399" i="1"/>
  <c r="C9399" i="1"/>
  <c r="A8579" i="1"/>
  <c r="B8579" i="1"/>
  <c r="C8579" i="1"/>
  <c r="A8660" i="1"/>
  <c r="B8660" i="1"/>
  <c r="C8660" i="1"/>
  <c r="A2171" i="1"/>
  <c r="B2171" i="1"/>
  <c r="C2171" i="1"/>
  <c r="A8380" i="1"/>
  <c r="B8380" i="1"/>
  <c r="C8380" i="1"/>
  <c r="A6439" i="1"/>
  <c r="B6439" i="1"/>
  <c r="C6439" i="1"/>
  <c r="A84" i="1"/>
  <c r="B84" i="1"/>
  <c r="C84" i="1"/>
  <c r="A4526" i="1"/>
  <c r="B4526" i="1"/>
  <c r="C4526" i="1"/>
  <c r="A3829" i="1"/>
  <c r="B3829" i="1"/>
  <c r="C3829" i="1"/>
  <c r="A2637" i="1"/>
  <c r="B2637" i="1"/>
  <c r="C2637" i="1"/>
  <c r="A6315" i="1"/>
  <c r="B6315" i="1"/>
  <c r="C6315" i="1"/>
  <c r="A9686" i="1"/>
  <c r="B9686" i="1"/>
  <c r="C9686" i="1"/>
  <c r="A8350" i="1"/>
  <c r="B8350" i="1"/>
  <c r="C8350" i="1"/>
  <c r="A8935" i="1"/>
  <c r="B8935" i="1"/>
  <c r="C8935" i="1"/>
  <c r="A10751" i="1"/>
  <c r="B10751" i="1"/>
  <c r="C10751" i="1"/>
  <c r="A1615" i="1"/>
  <c r="B1615" i="1"/>
  <c r="C1615" i="1"/>
  <c r="A696" i="1"/>
  <c r="B696" i="1"/>
  <c r="C696" i="1"/>
  <c r="A11649" i="1"/>
  <c r="B11649" i="1"/>
  <c r="C11649" i="1"/>
  <c r="A822" i="1"/>
  <c r="B822" i="1"/>
  <c r="C822" i="1"/>
  <c r="A8381" i="1"/>
  <c r="B8381" i="1"/>
  <c r="C8381" i="1"/>
  <c r="A412" i="1"/>
  <c r="B412" i="1"/>
  <c r="C412" i="1"/>
  <c r="A6032" i="1"/>
  <c r="B6032" i="1"/>
  <c r="C6032" i="1"/>
  <c r="A6556" i="1"/>
  <c r="B6556" i="1"/>
  <c r="C6556" i="1"/>
  <c r="A3359" i="1"/>
  <c r="B3359" i="1"/>
  <c r="C3359" i="1"/>
  <c r="A3056" i="1"/>
  <c r="B3056" i="1"/>
  <c r="C3056" i="1"/>
  <c r="A10021" i="1"/>
  <c r="B10021" i="1"/>
  <c r="C10021" i="1"/>
  <c r="A11206" i="1"/>
  <c r="B11206" i="1"/>
  <c r="C11206" i="1"/>
  <c r="A9127" i="1"/>
  <c r="B9127" i="1"/>
  <c r="C9127" i="1"/>
  <c r="A2382" i="1"/>
  <c r="B2382" i="1"/>
  <c r="C2382" i="1"/>
  <c r="A792" i="1"/>
  <c r="B792" i="1"/>
  <c r="C792" i="1"/>
  <c r="A8431" i="1"/>
  <c r="B8431" i="1"/>
  <c r="C8431" i="1"/>
  <c r="A6916" i="1"/>
  <c r="B6916" i="1"/>
  <c r="C6916" i="1"/>
  <c r="A2478" i="1"/>
  <c r="B2478" i="1"/>
  <c r="C2478" i="1"/>
  <c r="A2479" i="1"/>
  <c r="B2479" i="1"/>
  <c r="C2479" i="1"/>
  <c r="A2209" i="1"/>
  <c r="B2209" i="1"/>
  <c r="C2209" i="1"/>
  <c r="A1061" i="1"/>
  <c r="B1061" i="1"/>
  <c r="C1061" i="1"/>
  <c r="A6532" i="1"/>
  <c r="B6532" i="1"/>
  <c r="C6532" i="1"/>
  <c r="A244" i="1"/>
  <c r="B244" i="1"/>
  <c r="C244" i="1"/>
  <c r="A2440" i="1"/>
  <c r="B2440" i="1"/>
  <c r="C2440" i="1"/>
  <c r="A8720" i="1"/>
  <c r="B8720" i="1"/>
  <c r="C8720" i="1"/>
  <c r="A13522" i="1"/>
  <c r="B13522" i="1"/>
  <c r="C13522" i="1"/>
  <c r="A697" i="1"/>
  <c r="B697" i="1"/>
  <c r="C697" i="1"/>
  <c r="A480" i="1"/>
  <c r="B480" i="1"/>
  <c r="C480" i="1"/>
  <c r="A5772" i="1"/>
  <c r="B5772" i="1"/>
  <c r="C5772" i="1"/>
  <c r="A4433" i="1"/>
  <c r="B4433" i="1"/>
  <c r="C4433" i="1"/>
  <c r="A13556" i="1"/>
  <c r="B13556" i="1"/>
  <c r="C13556" i="1"/>
  <c r="A3023" i="1"/>
  <c r="B3023" i="1"/>
  <c r="C3023" i="1"/>
  <c r="A6189" i="1"/>
  <c r="B6189" i="1"/>
  <c r="C6189" i="1"/>
  <c r="A1191" i="1"/>
  <c r="B1191" i="1"/>
  <c r="C1191" i="1"/>
  <c r="A6834" i="1"/>
  <c r="B6834" i="1"/>
  <c r="C6834" i="1"/>
  <c r="A9347" i="1"/>
  <c r="B9347" i="1"/>
  <c r="C9347" i="1"/>
  <c r="A10492" i="1"/>
  <c r="B10492" i="1"/>
  <c r="C10492" i="1"/>
  <c r="A4256" i="1"/>
  <c r="B4256" i="1"/>
  <c r="C4256" i="1"/>
  <c r="A5091" i="1"/>
  <c r="B5091" i="1"/>
  <c r="C5091" i="1"/>
  <c r="A9106" i="1"/>
  <c r="B9106" i="1"/>
  <c r="C9106" i="1"/>
  <c r="A1794" i="1"/>
  <c r="B1794" i="1"/>
  <c r="C1794" i="1"/>
  <c r="A6714" i="1"/>
  <c r="B6714" i="1"/>
  <c r="C6714" i="1"/>
  <c r="A6019" i="1"/>
  <c r="B6019" i="1"/>
  <c r="C6019" i="1"/>
  <c r="A12795" i="1"/>
  <c r="B12795" i="1"/>
  <c r="C12795" i="1"/>
  <c r="A10967" i="1"/>
  <c r="B10967" i="1"/>
  <c r="C10967" i="1"/>
  <c r="A4080" i="1"/>
  <c r="B4080" i="1"/>
  <c r="C4080" i="1"/>
  <c r="A8093" i="1"/>
  <c r="B8093" i="1"/>
  <c r="C8093" i="1"/>
  <c r="A7878" i="1"/>
  <c r="B7878" i="1"/>
  <c r="C7878" i="1"/>
  <c r="A4244" i="1"/>
  <c r="B4244" i="1"/>
  <c r="C4244" i="1"/>
  <c r="A13741" i="1"/>
  <c r="B13741" i="1"/>
  <c r="C13741" i="1"/>
  <c r="A2873" i="1"/>
  <c r="B2873" i="1"/>
  <c r="C2873" i="1"/>
  <c r="A3830" i="1"/>
  <c r="B3830" i="1"/>
  <c r="C3830" i="1"/>
  <c r="A8263" i="1"/>
  <c r="B8263" i="1"/>
  <c r="C8263" i="1"/>
  <c r="A1778" i="1"/>
  <c r="B1778" i="1"/>
  <c r="C1778" i="1"/>
  <c r="A3831" i="1"/>
  <c r="B3831" i="1"/>
  <c r="C3831" i="1"/>
  <c r="A10682" i="1"/>
  <c r="B10682" i="1"/>
  <c r="C10682" i="1"/>
  <c r="A2158" i="1"/>
  <c r="B2158" i="1"/>
  <c r="C2158" i="1"/>
  <c r="A3347" i="1"/>
  <c r="B3347" i="1"/>
  <c r="C3347" i="1"/>
  <c r="A4093" i="1"/>
  <c r="B4093" i="1"/>
  <c r="C4093" i="1"/>
  <c r="A3014" i="1"/>
  <c r="B3014" i="1"/>
  <c r="C3014" i="1"/>
  <c r="A8879" i="1"/>
  <c r="B8879" i="1"/>
  <c r="C8879" i="1"/>
  <c r="A10048" i="1"/>
  <c r="B10048" i="1"/>
  <c r="C10048" i="1"/>
  <c r="A7934" i="1"/>
  <c r="B7934" i="1"/>
  <c r="C7934" i="1"/>
  <c r="A13676" i="1"/>
  <c r="B13676" i="1"/>
  <c r="C13676" i="1"/>
  <c r="A2185" i="1"/>
  <c r="B2185" i="1"/>
  <c r="C2185" i="1"/>
  <c r="A10654" i="1"/>
  <c r="B10654" i="1"/>
  <c r="C10654" i="1"/>
  <c r="A13075" i="1"/>
  <c r="B13075" i="1"/>
  <c r="C13075" i="1"/>
  <c r="A2373" i="1"/>
  <c r="B2373" i="1"/>
  <c r="C2373" i="1"/>
  <c r="A4798" i="1"/>
  <c r="B4798" i="1"/>
  <c r="C4798" i="1"/>
  <c r="A13776" i="1"/>
  <c r="B13776" i="1"/>
  <c r="C13776" i="1"/>
  <c r="A8308" i="1"/>
  <c r="B8308" i="1"/>
  <c r="C8308" i="1"/>
  <c r="A8778" i="1"/>
  <c r="B8778" i="1"/>
  <c r="C8778" i="1"/>
  <c r="A12602" i="1"/>
  <c r="B12602" i="1"/>
  <c r="C12602" i="1"/>
  <c r="A11386" i="1"/>
  <c r="B11386" i="1"/>
  <c r="C11386" i="1"/>
  <c r="A13540" i="1"/>
  <c r="B13540" i="1"/>
  <c r="C13540" i="1"/>
  <c r="A2418" i="1"/>
  <c r="B2418" i="1"/>
  <c r="C2418" i="1"/>
  <c r="A4999" i="1"/>
  <c r="B4999" i="1"/>
  <c r="C4999" i="1"/>
  <c r="A9215" i="1"/>
  <c r="B9215" i="1"/>
  <c r="C9215" i="1"/>
  <c r="A2601" i="1"/>
  <c r="B2601" i="1"/>
  <c r="C2601" i="1"/>
  <c r="A13771" i="1"/>
  <c r="B13771" i="1"/>
  <c r="C13771" i="1"/>
  <c r="A8584" i="1"/>
  <c r="B8584" i="1"/>
  <c r="C8584" i="1"/>
  <c r="A1844" i="1"/>
  <c r="B1844" i="1"/>
  <c r="C1844" i="1"/>
  <c r="A7135" i="1"/>
  <c r="B7135" i="1"/>
  <c r="C7135" i="1"/>
  <c r="A5405" i="1"/>
  <c r="B5405" i="1"/>
  <c r="C5405" i="1"/>
  <c r="A7020" i="1"/>
  <c r="B7020" i="1"/>
  <c r="C7020" i="1"/>
  <c r="A9146" i="1"/>
  <c r="B9146" i="1"/>
  <c r="C9146" i="1"/>
  <c r="A9171" i="1"/>
  <c r="B9171" i="1"/>
  <c r="C9171" i="1"/>
  <c r="A3764" i="1"/>
  <c r="B3764" i="1"/>
  <c r="C3764" i="1"/>
  <c r="A10787" i="1"/>
  <c r="B10787" i="1"/>
  <c r="C10787" i="1"/>
  <c r="A11690" i="1"/>
  <c r="B11690" i="1"/>
  <c r="C11690" i="1"/>
  <c r="A8193" i="1"/>
  <c r="B8193" i="1"/>
  <c r="C8193" i="1"/>
  <c r="A8936" i="1"/>
  <c r="B8936" i="1"/>
  <c r="C8936" i="1"/>
  <c r="A511" i="1"/>
  <c r="B511" i="1"/>
  <c r="C511" i="1"/>
  <c r="A13592" i="1"/>
  <c r="B13592" i="1"/>
  <c r="C13592" i="1"/>
  <c r="A9921" i="1"/>
  <c r="B9921" i="1"/>
  <c r="C9921" i="1"/>
  <c r="A13276" i="1"/>
  <c r="B13276" i="1"/>
  <c r="C13276" i="1"/>
  <c r="A6270" i="1"/>
  <c r="B6270" i="1"/>
  <c r="C6270" i="1"/>
  <c r="A10752" i="1"/>
  <c r="B10752" i="1"/>
  <c r="C10752" i="1"/>
  <c r="A10526" i="1"/>
  <c r="B10526" i="1"/>
  <c r="C10526" i="1"/>
  <c r="A13165" i="1"/>
  <c r="B13165" i="1"/>
  <c r="C13165" i="1"/>
  <c r="A2774" i="1"/>
  <c r="B2774" i="1"/>
  <c r="C2774" i="1"/>
  <c r="A11650" i="1"/>
  <c r="B11650" i="1"/>
  <c r="C11650" i="1"/>
  <c r="A13757" i="1"/>
  <c r="B13757" i="1"/>
  <c r="C13757" i="1"/>
  <c r="A4594" i="1"/>
  <c r="B4594" i="1"/>
  <c r="C4594" i="1"/>
  <c r="A7071" i="1"/>
  <c r="B7071" i="1"/>
  <c r="C7071" i="1"/>
  <c r="A2115" i="1"/>
  <c r="B2115" i="1"/>
  <c r="C2115" i="1"/>
  <c r="A6676" i="1"/>
  <c r="B6676" i="1"/>
  <c r="C6676" i="1"/>
  <c r="A6811" i="1"/>
  <c r="B6811" i="1"/>
  <c r="C6811" i="1"/>
  <c r="A4747" i="1"/>
  <c r="B4747" i="1"/>
  <c r="C4747" i="1"/>
  <c r="A8568" i="1"/>
  <c r="B8568" i="1"/>
  <c r="C8568" i="1"/>
  <c r="A4748" i="1"/>
  <c r="B4748" i="1"/>
  <c r="C4748" i="1"/>
  <c r="A13449" i="1"/>
  <c r="B13449" i="1"/>
  <c r="C13449" i="1"/>
  <c r="A3678" i="1"/>
  <c r="B3678" i="1"/>
  <c r="C3678" i="1"/>
  <c r="A1185" i="1"/>
  <c r="B1185" i="1"/>
  <c r="C1185" i="1"/>
  <c r="A5739" i="1"/>
  <c r="B5739" i="1"/>
  <c r="C5739" i="1"/>
  <c r="A13665" i="1"/>
  <c r="B13665" i="1"/>
  <c r="C13665" i="1"/>
  <c r="A6365" i="1"/>
  <c r="B6365" i="1"/>
  <c r="C6365" i="1"/>
  <c r="A13797" i="1"/>
  <c r="B13797" i="1"/>
  <c r="C13797" i="1"/>
  <c r="A5916" i="1"/>
  <c r="B5916" i="1"/>
  <c r="C5916" i="1"/>
  <c r="A6533" i="1"/>
  <c r="B6533" i="1"/>
  <c r="C6533" i="1"/>
  <c r="A8623" i="1"/>
  <c r="B8623" i="1"/>
  <c r="C8623" i="1"/>
  <c r="A8797" i="1"/>
  <c r="B8797" i="1"/>
  <c r="C8797" i="1"/>
  <c r="A1549" i="1"/>
  <c r="B1549" i="1"/>
  <c r="C1549" i="1"/>
  <c r="A8888" i="1"/>
  <c r="B8888" i="1"/>
  <c r="C8888" i="1"/>
  <c r="A9104" i="1"/>
  <c r="B9104" i="1"/>
  <c r="C9104" i="1"/>
  <c r="A7697" i="1"/>
  <c r="B7697" i="1"/>
  <c r="C7697" i="1"/>
  <c r="A3759" i="1"/>
  <c r="B3759" i="1"/>
  <c r="C3759" i="1"/>
  <c r="A8559" i="1"/>
  <c r="B8559" i="1"/>
  <c r="C8559" i="1"/>
  <c r="A7879" i="1"/>
  <c r="B7879" i="1"/>
  <c r="C7879" i="1"/>
  <c r="A10090" i="1"/>
  <c r="B10090" i="1"/>
  <c r="C10090" i="1"/>
  <c r="A5974" i="1"/>
  <c r="B5974" i="1"/>
  <c r="C5974" i="1"/>
  <c r="A7060" i="1"/>
  <c r="B7060" i="1"/>
  <c r="C7060" i="1"/>
  <c r="A12868" i="1"/>
  <c r="B12868" i="1"/>
  <c r="C12868" i="1"/>
  <c r="A2737" i="1"/>
  <c r="B2737" i="1"/>
  <c r="C2737" i="1"/>
  <c r="A7550" i="1"/>
  <c r="B7550" i="1"/>
  <c r="C7550" i="1"/>
  <c r="A12766" i="1"/>
  <c r="B12766" i="1"/>
  <c r="C12766" i="1"/>
  <c r="A1664" i="1"/>
  <c r="B1664" i="1"/>
  <c r="C1664" i="1"/>
  <c r="A13352" i="1"/>
  <c r="B13352" i="1"/>
  <c r="C13352" i="1"/>
  <c r="A2639" i="1"/>
  <c r="B2639" i="1"/>
  <c r="C2639" i="1"/>
  <c r="A7798" i="1"/>
  <c r="B7798" i="1"/>
  <c r="C7798" i="1"/>
  <c r="A12331" i="1"/>
  <c r="B12331" i="1"/>
  <c r="C12331" i="1"/>
  <c r="A3151" i="1"/>
  <c r="B3151" i="1"/>
  <c r="C3151" i="1"/>
  <c r="A7799" i="1"/>
  <c r="B7799" i="1"/>
  <c r="C7799" i="1"/>
  <c r="A633" i="1"/>
  <c r="B633" i="1"/>
  <c r="C633" i="1"/>
  <c r="A1529" i="1"/>
  <c r="B1529" i="1"/>
  <c r="C1529" i="1"/>
  <c r="A11777" i="1"/>
  <c r="B11777" i="1"/>
  <c r="C11777" i="1"/>
  <c r="A8945" i="1"/>
  <c r="B8945" i="1"/>
  <c r="C8945" i="1"/>
  <c r="A4179" i="1"/>
  <c r="B4179" i="1"/>
  <c r="C4179" i="1"/>
  <c r="A8620" i="1"/>
  <c r="B8620" i="1"/>
  <c r="C8620" i="1"/>
  <c r="A6638" i="1"/>
  <c r="B6638" i="1"/>
  <c r="C6638" i="1"/>
  <c r="A2246" i="1"/>
  <c r="B2246" i="1"/>
  <c r="C2246" i="1"/>
  <c r="A6658" i="1"/>
  <c r="B6658" i="1"/>
  <c r="C6658" i="1"/>
  <c r="A2598" i="1"/>
  <c r="B2598" i="1"/>
  <c r="C2598" i="1"/>
  <c r="A5485" i="1"/>
  <c r="B5485" i="1"/>
  <c r="C5485" i="1"/>
  <c r="A3539" i="1"/>
  <c r="B3539" i="1"/>
  <c r="C3539" i="1"/>
  <c r="A9165" i="1"/>
  <c r="B9165" i="1"/>
  <c r="C9165" i="1"/>
  <c r="A10022" i="1"/>
  <c r="B10022" i="1"/>
  <c r="C10022" i="1"/>
  <c r="A8545" i="1"/>
  <c r="B8545" i="1"/>
  <c r="C8545" i="1"/>
  <c r="A5278" i="1"/>
  <c r="B5278" i="1"/>
  <c r="C5278" i="1"/>
  <c r="A8726" i="1"/>
  <c r="B8726" i="1"/>
  <c r="C8726" i="1"/>
  <c r="A5471" i="1"/>
  <c r="B5471" i="1"/>
  <c r="C5471" i="1"/>
  <c r="A1684" i="1"/>
  <c r="B1684" i="1"/>
  <c r="C1684" i="1"/>
  <c r="A1787" i="1"/>
  <c r="B1787" i="1"/>
  <c r="C1787" i="1"/>
  <c r="A7330" i="1"/>
  <c r="B7330" i="1"/>
  <c r="C7330" i="1"/>
  <c r="A5437" i="1"/>
  <c r="B5437" i="1"/>
  <c r="C5437" i="1"/>
  <c r="A2861" i="1"/>
  <c r="B2861" i="1"/>
  <c r="C2861" i="1"/>
  <c r="A7191" i="1"/>
  <c r="B7191" i="1"/>
  <c r="C7191" i="1"/>
  <c r="A4070" i="1"/>
  <c r="B4070" i="1"/>
  <c r="C4070" i="1"/>
  <c r="A7868" i="1"/>
  <c r="B7868" i="1"/>
  <c r="C7868" i="1"/>
  <c r="A2533" i="1"/>
  <c r="B2533" i="1"/>
  <c r="C2533" i="1"/>
  <c r="A5557" i="1"/>
  <c r="B5557" i="1"/>
  <c r="C5557" i="1"/>
  <c r="A9295" i="1"/>
  <c r="B9295" i="1"/>
  <c r="C9295" i="1"/>
  <c r="A4655" i="1"/>
  <c r="B4655" i="1"/>
  <c r="C4655" i="1"/>
  <c r="A2594" i="1"/>
  <c r="B2594" i="1"/>
  <c r="C2594" i="1"/>
  <c r="A5003" i="1"/>
  <c r="B5003" i="1"/>
  <c r="C5003" i="1"/>
  <c r="A7703" i="1"/>
  <c r="B7703" i="1"/>
  <c r="C7703" i="1"/>
  <c r="A10852" i="1"/>
  <c r="B10852" i="1"/>
  <c r="C10852" i="1"/>
  <c r="A5482" i="1"/>
  <c r="B5482" i="1"/>
  <c r="C5482" i="1"/>
  <c r="A9817" i="1"/>
  <c r="B9817" i="1"/>
  <c r="C9817" i="1"/>
  <c r="A12424" i="1"/>
  <c r="B12424" i="1"/>
  <c r="C12424" i="1"/>
  <c r="A12145" i="1"/>
  <c r="B12145" i="1"/>
  <c r="C12145" i="1"/>
  <c r="A8000" i="1"/>
  <c r="B8000" i="1"/>
  <c r="C8000" i="1"/>
  <c r="A5597" i="1"/>
  <c r="B5597" i="1"/>
  <c r="C5597" i="1"/>
  <c r="A5032" i="1"/>
  <c r="B5032" i="1"/>
  <c r="C5032" i="1"/>
  <c r="A3979" i="1"/>
  <c r="B3979" i="1"/>
  <c r="C3979" i="1"/>
  <c r="A853" i="1"/>
  <c r="B853" i="1"/>
  <c r="C853" i="1"/>
  <c r="A3341" i="1"/>
  <c r="B3341" i="1"/>
  <c r="C3341" i="1"/>
  <c r="A1599" i="1"/>
  <c r="B1599" i="1"/>
  <c r="C1599" i="1"/>
  <c r="A4231" i="1"/>
  <c r="B4231" i="1"/>
  <c r="C4231" i="1"/>
  <c r="A3404" i="1"/>
  <c r="B3404" i="1"/>
  <c r="C3404" i="1"/>
  <c r="A12807" i="1"/>
  <c r="B12807" i="1"/>
  <c r="C12807" i="1"/>
  <c r="A13301" i="1"/>
  <c r="B13301" i="1"/>
  <c r="C13301" i="1"/>
  <c r="A9589" i="1"/>
  <c r="B9589" i="1"/>
  <c r="C9589" i="1"/>
  <c r="A10930" i="1"/>
  <c r="B10930" i="1"/>
  <c r="C10930" i="1"/>
  <c r="A11190" i="1"/>
  <c r="B11190" i="1"/>
  <c r="C11190" i="1"/>
  <c r="A6558" i="1"/>
  <c r="B6558" i="1"/>
  <c r="C6558" i="1"/>
  <c r="A363" i="1"/>
  <c r="B363" i="1"/>
  <c r="C363" i="1"/>
  <c r="A12957" i="1"/>
  <c r="B12957" i="1"/>
  <c r="C12957" i="1"/>
  <c r="A6598" i="1"/>
  <c r="B6598" i="1"/>
  <c r="C6598" i="1"/>
  <c r="A13185" i="1"/>
  <c r="B13185" i="1"/>
  <c r="C13185" i="1"/>
  <c r="A2597" i="1"/>
  <c r="B2597" i="1"/>
  <c r="C2597" i="1"/>
  <c r="A13622" i="1"/>
  <c r="B13622" i="1"/>
  <c r="C13622" i="1"/>
  <c r="A10037" i="1"/>
  <c r="B10037" i="1"/>
  <c r="C10037" i="1"/>
  <c r="A10781" i="1"/>
  <c r="B10781" i="1"/>
  <c r="C10781" i="1"/>
  <c r="A7328" i="1"/>
  <c r="B7328" i="1"/>
  <c r="C7328" i="1"/>
  <c r="A13040" i="1"/>
  <c r="B13040" i="1"/>
  <c r="C13040" i="1"/>
  <c r="A8196" i="1"/>
  <c r="B8196" i="1"/>
  <c r="C8196" i="1"/>
  <c r="A1626" i="1"/>
  <c r="B1626" i="1"/>
  <c r="C1626" i="1"/>
  <c r="A11158" i="1"/>
  <c r="B11158" i="1"/>
  <c r="C11158" i="1"/>
  <c r="A8423" i="1"/>
  <c r="B8423" i="1"/>
  <c r="C8423" i="1"/>
  <c r="A9670" i="1"/>
  <c r="B9670" i="1"/>
  <c r="C9670" i="1"/>
  <c r="A2592" i="1"/>
  <c r="B2592" i="1"/>
  <c r="C2592" i="1"/>
  <c r="A12089" i="1"/>
  <c r="B12089" i="1"/>
  <c r="C12089" i="1"/>
  <c r="A12938" i="1"/>
  <c r="B12938" i="1"/>
  <c r="C12938" i="1"/>
  <c r="A5867" i="1"/>
  <c r="B5867" i="1"/>
  <c r="C5867" i="1"/>
  <c r="A8760" i="1"/>
  <c r="B8760" i="1"/>
  <c r="C8760" i="1"/>
  <c r="A10410" i="1"/>
  <c r="B10410" i="1"/>
  <c r="C10410" i="1"/>
  <c r="A2602" i="1"/>
  <c r="B2602" i="1"/>
  <c r="C2602" i="1"/>
  <c r="A6165" i="1"/>
  <c r="B6165" i="1"/>
  <c r="C6165" i="1"/>
  <c r="A13770" i="1"/>
  <c r="B13770" i="1"/>
  <c r="C13770" i="1"/>
  <c r="A5173" i="1"/>
  <c r="B5173" i="1"/>
  <c r="C5173" i="1"/>
  <c r="A4481" i="1"/>
  <c r="B4481" i="1"/>
  <c r="C4481" i="1"/>
  <c r="A2603" i="1"/>
  <c r="B2603" i="1"/>
  <c r="C2603" i="1"/>
  <c r="A13409" i="1"/>
  <c r="B13409" i="1"/>
  <c r="C13409" i="1"/>
  <c r="A12094" i="1"/>
  <c r="B12094" i="1"/>
  <c r="C12094" i="1"/>
  <c r="A10840" i="1"/>
  <c r="B10840" i="1"/>
  <c r="C10840" i="1"/>
  <c r="A7042" i="1"/>
  <c r="B7042" i="1"/>
  <c r="C7042" i="1"/>
  <c r="A7990" i="1"/>
  <c r="B7990" i="1"/>
  <c r="C7990" i="1"/>
  <c r="A4935" i="1"/>
  <c r="B4935" i="1"/>
  <c r="C4935" i="1"/>
  <c r="A9706" i="1"/>
  <c r="B9706" i="1"/>
  <c r="C9706" i="1"/>
  <c r="A10478" i="1"/>
  <c r="B10478" i="1"/>
  <c r="C10478" i="1"/>
  <c r="A3621" i="1"/>
  <c r="B3621" i="1"/>
  <c r="C3621" i="1"/>
  <c r="A5911" i="1"/>
  <c r="B5911" i="1"/>
  <c r="C5911" i="1"/>
  <c r="A4810" i="1"/>
  <c r="B4810" i="1"/>
  <c r="C4810" i="1"/>
  <c r="A4895" i="1"/>
  <c r="B4895" i="1"/>
  <c r="C4895" i="1"/>
  <c r="A12377" i="1"/>
  <c r="B12377" i="1"/>
  <c r="C12377" i="1"/>
  <c r="A2160" i="1"/>
  <c r="B2160" i="1"/>
  <c r="C2160" i="1"/>
  <c r="A11771" i="1"/>
  <c r="B11771" i="1"/>
  <c r="C11771" i="1"/>
  <c r="A12695" i="1"/>
  <c r="B12695" i="1"/>
  <c r="C12695" i="1"/>
  <c r="A3832" i="1"/>
  <c r="B3832" i="1"/>
  <c r="C3832" i="1"/>
  <c r="A8574" i="1"/>
  <c r="B8574" i="1"/>
  <c r="C8574" i="1"/>
  <c r="A8306" i="1"/>
  <c r="B8306" i="1"/>
  <c r="C8306" i="1"/>
  <c r="A919" i="1"/>
  <c r="B919" i="1"/>
  <c r="C919" i="1"/>
  <c r="A6579" i="1"/>
  <c r="B6579" i="1"/>
  <c r="C6579" i="1"/>
  <c r="A12165" i="1"/>
  <c r="B12165" i="1"/>
  <c r="C12165" i="1"/>
  <c r="A8880" i="1"/>
  <c r="B8880" i="1"/>
  <c r="C8880" i="1"/>
  <c r="A13855" i="1"/>
  <c r="B13855" i="1"/>
  <c r="C13855" i="1"/>
  <c r="A4711" i="1"/>
  <c r="B4711" i="1"/>
  <c r="C4711" i="1"/>
  <c r="A4582" i="1"/>
  <c r="B4582" i="1"/>
  <c r="C4582" i="1"/>
  <c r="A2744" i="1"/>
  <c r="B2744" i="1"/>
  <c r="C2744" i="1"/>
  <c r="A7267" i="1"/>
  <c r="B7267" i="1"/>
  <c r="C7267" i="1"/>
  <c r="A4249" i="1"/>
  <c r="B4249" i="1"/>
  <c r="C4249" i="1"/>
  <c r="A134" i="1"/>
  <c r="B134" i="1"/>
  <c r="C134" i="1"/>
  <c r="A10019" i="1"/>
  <c r="B10019" i="1"/>
  <c r="C10019" i="1"/>
  <c r="A2043" i="1"/>
  <c r="B2043" i="1"/>
  <c r="C2043" i="1"/>
  <c r="A1481" i="1"/>
  <c r="B1481" i="1"/>
  <c r="C1481" i="1"/>
  <c r="A10532" i="1"/>
  <c r="B10532" i="1"/>
  <c r="C10532" i="1"/>
  <c r="A10064" i="1"/>
  <c r="B10064" i="1"/>
  <c r="C10064" i="1"/>
  <c r="A9157" i="1"/>
  <c r="B9157" i="1"/>
  <c r="C9157" i="1"/>
  <c r="A6529" i="1"/>
  <c r="B6529" i="1"/>
  <c r="C6529" i="1"/>
  <c r="A9874" i="1"/>
  <c r="B9874" i="1"/>
  <c r="C9874" i="1"/>
  <c r="A4272" i="1"/>
  <c r="B4272" i="1"/>
  <c r="C4272" i="1"/>
  <c r="A6869" i="1"/>
  <c r="B6869" i="1"/>
  <c r="C6869" i="1"/>
  <c r="A4038" i="1"/>
  <c r="B4038" i="1"/>
  <c r="C4038" i="1"/>
  <c r="A4108" i="1"/>
  <c r="B4108" i="1"/>
  <c r="C4108" i="1"/>
  <c r="A5711" i="1"/>
  <c r="B5711" i="1"/>
  <c r="C5711" i="1"/>
  <c r="A5661" i="1"/>
  <c r="B5661" i="1"/>
  <c r="C5661" i="1"/>
  <c r="A4163" i="1"/>
  <c r="B4163" i="1"/>
  <c r="C4163" i="1"/>
  <c r="A10353" i="1"/>
  <c r="B10353" i="1"/>
  <c r="C10353" i="1"/>
  <c r="A605" i="1"/>
  <c r="B605" i="1"/>
  <c r="C605" i="1"/>
  <c r="A2548" i="1"/>
  <c r="B2548" i="1"/>
  <c r="C2548" i="1"/>
  <c r="A10956" i="1"/>
  <c r="B10956" i="1"/>
  <c r="C10956" i="1"/>
  <c r="A796" i="1"/>
  <c r="B796" i="1"/>
  <c r="C796" i="1"/>
  <c r="A7759" i="1"/>
  <c r="B7759" i="1"/>
  <c r="C7759" i="1"/>
  <c r="A11012" i="1"/>
  <c r="B11012" i="1"/>
  <c r="C11012" i="1"/>
  <c r="A11482" i="1"/>
  <c r="B11482" i="1"/>
  <c r="C11482" i="1"/>
  <c r="A2487" i="1"/>
  <c r="B2487" i="1"/>
  <c r="C2487" i="1"/>
  <c r="A12304" i="1"/>
  <c r="B12304" i="1"/>
  <c r="C12304" i="1"/>
  <c r="A7053" i="1"/>
  <c r="B7053" i="1"/>
  <c r="C7053" i="1"/>
  <c r="A4315" i="1"/>
  <c r="B4315" i="1"/>
  <c r="C4315" i="1"/>
  <c r="A5400" i="1"/>
  <c r="B5400" i="1"/>
  <c r="C5400" i="1"/>
  <c r="A11466" i="1"/>
  <c r="B11466" i="1"/>
  <c r="C11466" i="1"/>
  <c r="A11922" i="1"/>
  <c r="B11922" i="1"/>
  <c r="C11922" i="1"/>
  <c r="A5200" i="1"/>
  <c r="B5200" i="1"/>
  <c r="C5200" i="1"/>
  <c r="A1777" i="1"/>
  <c r="B1777" i="1"/>
  <c r="C1777" i="1"/>
  <c r="A3112" i="1"/>
  <c r="B3112" i="1"/>
  <c r="C3112" i="1"/>
  <c r="A5408" i="1"/>
  <c r="B5408" i="1"/>
  <c r="C5408" i="1"/>
  <c r="A3914" i="1"/>
  <c r="B3914" i="1"/>
  <c r="C3914" i="1"/>
  <c r="A8111" i="1"/>
  <c r="B8111" i="1"/>
  <c r="C8111" i="1"/>
  <c r="A13440" i="1"/>
  <c r="B13440" i="1"/>
  <c r="C13440" i="1"/>
  <c r="A6621" i="1"/>
  <c r="B6621" i="1"/>
  <c r="C6621" i="1"/>
  <c r="A607" i="1"/>
  <c r="B607" i="1"/>
  <c r="C607" i="1"/>
  <c r="A1582" i="1"/>
  <c r="B1582" i="1"/>
  <c r="C1582" i="1"/>
  <c r="A999" i="1"/>
  <c r="B999" i="1"/>
  <c r="C999" i="1"/>
  <c r="A2799" i="1"/>
  <c r="B2799" i="1"/>
  <c r="C2799" i="1"/>
  <c r="A1606" i="1"/>
  <c r="B1606" i="1"/>
  <c r="C1606" i="1"/>
  <c r="A1511" i="1"/>
  <c r="B1511" i="1"/>
  <c r="C1511" i="1"/>
  <c r="A10905" i="1"/>
  <c r="B10905" i="1"/>
  <c r="C10905" i="1"/>
  <c r="A7698" i="1"/>
  <c r="B7698" i="1"/>
  <c r="C7698" i="1"/>
  <c r="A5113" i="1"/>
  <c r="B5113" i="1"/>
  <c r="C5113" i="1"/>
  <c r="A5351" i="1"/>
  <c r="B5351" i="1"/>
  <c r="C5351" i="1"/>
  <c r="A2477" i="1"/>
  <c r="B2477" i="1"/>
  <c r="C2477" i="1"/>
  <c r="A281" i="1"/>
  <c r="B281" i="1"/>
  <c r="C281" i="1"/>
  <c r="A4082" i="1"/>
  <c r="B4082" i="1"/>
  <c r="C4082" i="1"/>
  <c r="A8300" i="1"/>
  <c r="B8300" i="1"/>
  <c r="C8300" i="1"/>
  <c r="A1114" i="1"/>
  <c r="B1114" i="1"/>
  <c r="C1114" i="1"/>
  <c r="A371" i="1"/>
  <c r="B371" i="1"/>
  <c r="C371" i="1"/>
  <c r="A7655" i="1"/>
  <c r="B7655" i="1"/>
  <c r="C7655" i="1"/>
  <c r="A8546" i="1"/>
  <c r="B8546" i="1"/>
  <c r="C8546" i="1"/>
  <c r="A5100" i="1"/>
  <c r="B5100" i="1"/>
  <c r="C5100" i="1"/>
  <c r="A2581" i="1"/>
  <c r="B2581" i="1"/>
  <c r="C2581" i="1"/>
  <c r="A3119" i="1"/>
  <c r="B3119" i="1"/>
  <c r="C3119" i="1"/>
  <c r="A8280" i="1"/>
  <c r="B8280" i="1"/>
  <c r="C8280" i="1"/>
  <c r="A4735" i="1"/>
  <c r="B4735" i="1"/>
  <c r="C4735" i="1"/>
  <c r="A3333" i="1"/>
  <c r="B3333" i="1"/>
  <c r="C3333" i="1"/>
  <c r="A11581" i="1"/>
  <c r="B11581" i="1"/>
  <c r="C11581" i="1"/>
  <c r="A9739" i="1"/>
  <c r="B9739" i="1"/>
  <c r="C9739" i="1"/>
  <c r="A10686" i="1"/>
  <c r="B10686" i="1"/>
  <c r="C10686" i="1"/>
  <c r="A3765" i="1"/>
  <c r="B3765" i="1"/>
  <c r="C3765" i="1"/>
  <c r="A1744" i="1"/>
  <c r="B1744" i="1"/>
  <c r="C1744" i="1"/>
  <c r="A4367" i="1"/>
  <c r="B4367" i="1"/>
  <c r="C4367" i="1"/>
  <c r="A10561" i="1"/>
  <c r="B10561" i="1"/>
  <c r="C10561" i="1"/>
  <c r="A12827" i="1"/>
  <c r="B12827" i="1"/>
  <c r="C12827" i="1"/>
  <c r="A171" i="1"/>
  <c r="B171" i="1"/>
  <c r="C171" i="1"/>
  <c r="A11137" i="1"/>
  <c r="B11137" i="1"/>
  <c r="C11137" i="1"/>
  <c r="A12815" i="1"/>
  <c r="B12815" i="1"/>
  <c r="C12815" i="1"/>
  <c r="A8184" i="1"/>
  <c r="B8184" i="1"/>
  <c r="C8184" i="1"/>
  <c r="A7700" i="1"/>
  <c r="B7700" i="1"/>
  <c r="C7700" i="1"/>
  <c r="A8672" i="1"/>
  <c r="B8672" i="1"/>
  <c r="C8672" i="1"/>
  <c r="A7760" i="1"/>
  <c r="B7760" i="1"/>
  <c r="C7760" i="1"/>
  <c r="A7010" i="1"/>
  <c r="B7010" i="1"/>
  <c r="C7010" i="1"/>
  <c r="A5709" i="1"/>
  <c r="B5709" i="1"/>
  <c r="C5709" i="1"/>
  <c r="A10193" i="1"/>
  <c r="B10193" i="1"/>
  <c r="C10193" i="1"/>
  <c r="A12480" i="1"/>
  <c r="B12480" i="1"/>
  <c r="C12480" i="1"/>
  <c r="A139" i="1"/>
  <c r="B139" i="1"/>
  <c r="C139" i="1"/>
  <c r="A2222" i="1"/>
  <c r="B2222" i="1"/>
  <c r="C2222" i="1"/>
  <c r="A8343" i="1"/>
  <c r="B8343" i="1"/>
  <c r="C8343" i="1"/>
  <c r="A3044" i="1"/>
  <c r="B3044" i="1"/>
  <c r="C3044" i="1"/>
  <c r="A2078" i="1"/>
  <c r="B2078" i="1"/>
  <c r="C2078" i="1"/>
  <c r="A6412" i="1"/>
  <c r="B6412" i="1"/>
  <c r="C6412" i="1"/>
  <c r="A8881" i="1"/>
  <c r="B8881" i="1"/>
  <c r="C8881" i="1"/>
  <c r="A854" i="1"/>
  <c r="B854" i="1"/>
  <c r="C854" i="1"/>
  <c r="A10942" i="1"/>
  <c r="B10942" i="1"/>
  <c r="C10942" i="1"/>
  <c r="A3586" i="1"/>
  <c r="B3586" i="1"/>
  <c r="C3586" i="1"/>
  <c r="A706" i="1"/>
  <c r="B706" i="1"/>
  <c r="C706" i="1"/>
  <c r="A12789" i="1"/>
  <c r="B12789" i="1"/>
  <c r="C12789" i="1"/>
  <c r="A10943" i="1"/>
  <c r="B10943" i="1"/>
  <c r="C10943" i="1"/>
  <c r="A3223" i="1"/>
  <c r="B3223" i="1"/>
  <c r="C3223" i="1"/>
  <c r="A5313" i="1"/>
  <c r="B5313" i="1"/>
  <c r="C5313" i="1"/>
  <c r="A8338" i="1"/>
  <c r="B8338" i="1"/>
  <c r="C8338" i="1"/>
  <c r="A4067" i="1"/>
  <c r="B4067" i="1"/>
  <c r="C4067" i="1"/>
  <c r="A3057" i="1"/>
  <c r="B3057" i="1"/>
  <c r="C3057" i="1"/>
  <c r="A5697" i="1"/>
  <c r="B5697" i="1"/>
  <c r="C5697" i="1"/>
  <c r="A1707" i="1"/>
  <c r="B1707" i="1"/>
  <c r="C1707" i="1"/>
  <c r="A2824" i="1"/>
  <c r="B2824" i="1"/>
  <c r="C2824" i="1"/>
  <c r="A13485" i="1"/>
  <c r="B13485" i="1"/>
  <c r="C13485" i="1"/>
  <c r="A105" i="1"/>
  <c r="B105" i="1"/>
  <c r="C105" i="1"/>
  <c r="A7624" i="1"/>
  <c r="B7624" i="1"/>
  <c r="C7624" i="1"/>
  <c r="A10867" i="1"/>
  <c r="B10867" i="1"/>
  <c r="C10867" i="1"/>
  <c r="A12498" i="1"/>
  <c r="B12498" i="1"/>
  <c r="C12498" i="1"/>
  <c r="A11387" i="1"/>
  <c r="B11387" i="1"/>
  <c r="C11387" i="1"/>
  <c r="A6173" i="1"/>
  <c r="B6173" i="1"/>
  <c r="C6173" i="1"/>
  <c r="A5881" i="1"/>
  <c r="B5881" i="1"/>
  <c r="C5881" i="1"/>
  <c r="A1867" i="1"/>
  <c r="B1867" i="1"/>
  <c r="C1867" i="1"/>
  <c r="A3959" i="1"/>
  <c r="B3959" i="1"/>
  <c r="C3959" i="1"/>
  <c r="A3732" i="1"/>
  <c r="B3732" i="1"/>
  <c r="C3732" i="1"/>
  <c r="A8971" i="1"/>
  <c r="B8971" i="1"/>
  <c r="C8971" i="1"/>
  <c r="A1315" i="1"/>
  <c r="B1315" i="1"/>
  <c r="C1315" i="1"/>
  <c r="A8769" i="1"/>
  <c r="B8769" i="1"/>
  <c r="C8769" i="1"/>
  <c r="A3933" i="1"/>
  <c r="B3933" i="1"/>
  <c r="C3933" i="1"/>
  <c r="A2765" i="1"/>
  <c r="B2765" i="1"/>
  <c r="C2765" i="1"/>
  <c r="A3561" i="1"/>
  <c r="B3561" i="1"/>
  <c r="C3561" i="1"/>
  <c r="A10595" i="1"/>
  <c r="B10595" i="1"/>
  <c r="C10595" i="1"/>
  <c r="A7625" i="1"/>
  <c r="B7625" i="1"/>
  <c r="C7625" i="1"/>
  <c r="A8157" i="1"/>
  <c r="B8157" i="1"/>
  <c r="C8157" i="1"/>
  <c r="A6302" i="1"/>
  <c r="B6302" i="1"/>
  <c r="C6302" i="1"/>
  <c r="A11210" i="1"/>
  <c r="B11210" i="1"/>
  <c r="C11210" i="1"/>
  <c r="A8822" i="1"/>
  <c r="B8822" i="1"/>
  <c r="C8822" i="1"/>
  <c r="A8904" i="1"/>
  <c r="B8904" i="1"/>
  <c r="C8904" i="1"/>
  <c r="A10760" i="1"/>
  <c r="B10760" i="1"/>
  <c r="C10760" i="1"/>
  <c r="A10135" i="1"/>
  <c r="B10135" i="1"/>
  <c r="C10135" i="1"/>
  <c r="A9837" i="1"/>
  <c r="B9837" i="1"/>
  <c r="C9837" i="1"/>
  <c r="A11802" i="1"/>
  <c r="B11802" i="1"/>
  <c r="C11802" i="1"/>
  <c r="A1252" i="1"/>
  <c r="B1252" i="1"/>
  <c r="C1252" i="1"/>
  <c r="A7800" i="1"/>
  <c r="B7800" i="1"/>
  <c r="C7800" i="1"/>
  <c r="A3078" i="1"/>
  <c r="B3078" i="1"/>
  <c r="C3078" i="1"/>
  <c r="A11889" i="1"/>
  <c r="B11889" i="1"/>
  <c r="C11889" i="1"/>
  <c r="A12352" i="1"/>
  <c r="B12352" i="1"/>
  <c r="C12352" i="1"/>
  <c r="A11879" i="1"/>
  <c r="B11879" i="1"/>
  <c r="C11879" i="1"/>
  <c r="A6723" i="1"/>
  <c r="B6723" i="1"/>
  <c r="C6723" i="1"/>
  <c r="A12353" i="1"/>
  <c r="B12353" i="1"/>
  <c r="C12353" i="1"/>
  <c r="A10612" i="1"/>
  <c r="B10612" i="1"/>
  <c r="C10612" i="1"/>
  <c r="A9082" i="1"/>
  <c r="B9082" i="1"/>
  <c r="C9082" i="1"/>
  <c r="A3557" i="1"/>
  <c r="B3557" i="1"/>
  <c r="C3557" i="1"/>
  <c r="A5941" i="1"/>
  <c r="B5941" i="1"/>
  <c r="C5941" i="1"/>
  <c r="A7956" i="1"/>
  <c r="B7956" i="1"/>
  <c r="C7956" i="1"/>
  <c r="A1835" i="1"/>
  <c r="B1835" i="1"/>
  <c r="C1835" i="1"/>
  <c r="A12131" i="1"/>
  <c r="B12131" i="1"/>
  <c r="C12131" i="1"/>
  <c r="A12081" i="1"/>
  <c r="B12081" i="1"/>
  <c r="C12081" i="1"/>
  <c r="A11450" i="1"/>
  <c r="B11450" i="1"/>
  <c r="C11450" i="1"/>
  <c r="A13727" i="1"/>
  <c r="B13727" i="1"/>
  <c r="C13727" i="1"/>
  <c r="A13481" i="1"/>
  <c r="B13481" i="1"/>
  <c r="C13481" i="1"/>
  <c r="A3058" i="1"/>
  <c r="B3058" i="1"/>
  <c r="C3058" i="1"/>
  <c r="A12178" i="1"/>
  <c r="B12178" i="1"/>
  <c r="C12178" i="1"/>
  <c r="A6931" i="1"/>
  <c r="B6931" i="1"/>
  <c r="C6931" i="1"/>
  <c r="A253" i="1"/>
  <c r="B253" i="1"/>
  <c r="C253" i="1"/>
  <c r="A11656" i="1"/>
  <c r="B11656" i="1"/>
  <c r="C11656" i="1"/>
  <c r="A6805" i="1"/>
  <c r="B6805" i="1"/>
  <c r="C6805" i="1"/>
  <c r="A7569" i="1"/>
  <c r="B7569" i="1"/>
  <c r="C7569" i="1"/>
  <c r="A11622" i="1"/>
  <c r="B11622" i="1"/>
  <c r="C11622" i="1"/>
  <c r="A3618" i="1"/>
  <c r="B3618" i="1"/>
  <c r="C3618" i="1"/>
  <c r="A458" i="1"/>
  <c r="B458" i="1"/>
  <c r="C458" i="1"/>
  <c r="A4618" i="1"/>
  <c r="B4618" i="1"/>
  <c r="C4618" i="1"/>
  <c r="A2042" i="1"/>
  <c r="B2042" i="1"/>
  <c r="C2042" i="1"/>
  <c r="A4111" i="1"/>
  <c r="B4111" i="1"/>
  <c r="C4111" i="1"/>
  <c r="A4851" i="1"/>
  <c r="B4851" i="1"/>
  <c r="C4851" i="1"/>
  <c r="A2717" i="1"/>
  <c r="B2717" i="1"/>
  <c r="C2717" i="1"/>
  <c r="A2604" i="1"/>
  <c r="B2604" i="1"/>
  <c r="C2604" i="1"/>
  <c r="A8818" i="1"/>
  <c r="B8818" i="1"/>
  <c r="C8818" i="1"/>
  <c r="A4856" i="1"/>
  <c r="B4856" i="1"/>
  <c r="C4856" i="1"/>
  <c r="A2412" i="1"/>
  <c r="B2412" i="1"/>
  <c r="C2412" i="1"/>
  <c r="A2660" i="1"/>
  <c r="B2660" i="1"/>
  <c r="C2660" i="1"/>
  <c r="A11619" i="1"/>
  <c r="B11619" i="1"/>
  <c r="C11619" i="1"/>
  <c r="A12533" i="1"/>
  <c r="B12533" i="1"/>
  <c r="C12533" i="1"/>
  <c r="A9485" i="1"/>
  <c r="B9485" i="1"/>
  <c r="C9485" i="1"/>
  <c r="A13457" i="1"/>
  <c r="B13457" i="1"/>
  <c r="C13457" i="1"/>
  <c r="A10955" i="1"/>
  <c r="B10955" i="1"/>
  <c r="C10955" i="1"/>
  <c r="A12354" i="1"/>
  <c r="B12354" i="1"/>
  <c r="C12354" i="1"/>
  <c r="A5139" i="1"/>
  <c r="B5139" i="1"/>
  <c r="C5139" i="1"/>
  <c r="A12709" i="1"/>
  <c r="B12709" i="1"/>
  <c r="C12709" i="1"/>
  <c r="A7102" i="1"/>
  <c r="B7102" i="1"/>
  <c r="A3355" i="1"/>
  <c r="B3355" i="1"/>
  <c r="C3355" i="1"/>
  <c r="A4035" i="1"/>
  <c r="B4035" i="1"/>
  <c r="C4035" i="1"/>
  <c r="A8385" i="1"/>
  <c r="B8385" i="1"/>
  <c r="C8385" i="1"/>
  <c r="A13173" i="1"/>
  <c r="B13173" i="1"/>
  <c r="C13173" i="1"/>
  <c r="A13183" i="1"/>
  <c r="B13183" i="1"/>
  <c r="C13183" i="1"/>
  <c r="A8972" i="1"/>
  <c r="B8972" i="1"/>
  <c r="C8972" i="1"/>
  <c r="A3129" i="1"/>
  <c r="B3129" i="1"/>
  <c r="C3129" i="1"/>
  <c r="A2271" i="1"/>
  <c r="B2271" i="1"/>
  <c r="C2271" i="1"/>
  <c r="A7095" i="1"/>
  <c r="B7095" i="1"/>
  <c r="C7095" i="1"/>
  <c r="A5514" i="1"/>
  <c r="B5514" i="1"/>
  <c r="C5514" i="1"/>
  <c r="A8759" i="1"/>
  <c r="B8759" i="1"/>
  <c r="C8759" i="1"/>
  <c r="A2870" i="1"/>
  <c r="B2870" i="1"/>
  <c r="C2870" i="1"/>
  <c r="A8122" i="1"/>
  <c r="B8122" i="1"/>
  <c r="C8122" i="1"/>
  <c r="A8222" i="1"/>
  <c r="B8222" i="1"/>
  <c r="C8222" i="1"/>
  <c r="A1307" i="1"/>
  <c r="B1307" i="1"/>
  <c r="C1307" i="1"/>
  <c r="A5002" i="1"/>
  <c r="B5002" i="1"/>
  <c r="C5002" i="1"/>
  <c r="A11691" i="1"/>
  <c r="B11691" i="1"/>
  <c r="C11691" i="1"/>
  <c r="A11692" i="1"/>
  <c r="B11692" i="1"/>
  <c r="C11692" i="1"/>
  <c r="A10246" i="1"/>
  <c r="B10246" i="1"/>
  <c r="C10246" i="1"/>
  <c r="A10360" i="1"/>
  <c r="B10360" i="1"/>
  <c r="C10360" i="1"/>
  <c r="A4417" i="1"/>
  <c r="B4417" i="1"/>
  <c r="C4417" i="1"/>
  <c r="A6293" i="1"/>
  <c r="B6293" i="1"/>
  <c r="C6293" i="1"/>
  <c r="A7794" i="1"/>
  <c r="B7794" i="1"/>
  <c r="C7794" i="1"/>
  <c r="A7830" i="1"/>
  <c r="B7830" i="1"/>
  <c r="C7830" i="1"/>
  <c r="A7958" i="1"/>
  <c r="B7958" i="1"/>
  <c r="C7958" i="1"/>
  <c r="A5218" i="1"/>
  <c r="B5218" i="1"/>
  <c r="C5218" i="1"/>
  <c r="A5199" i="1"/>
  <c r="B5199" i="1"/>
  <c r="C5199" i="1"/>
  <c r="A1775" i="1"/>
  <c r="B1775" i="1"/>
  <c r="C1775" i="1"/>
  <c r="A3394" i="1"/>
  <c r="B3394" i="1"/>
  <c r="C3394" i="1"/>
  <c r="A6622" i="1"/>
  <c r="B6622" i="1"/>
  <c r="C6622" i="1"/>
  <c r="A11878" i="1"/>
  <c r="B11878" i="1"/>
  <c r="C11878" i="1"/>
  <c r="A13359" i="1"/>
  <c r="B13359" i="1"/>
  <c r="C13359" i="1"/>
  <c r="A3048" i="1"/>
  <c r="B3048" i="1"/>
  <c r="C3048" i="1"/>
  <c r="A4942" i="1"/>
  <c r="B4942" i="1"/>
  <c r="C4942" i="1"/>
  <c r="A1848" i="1"/>
  <c r="B1848" i="1"/>
  <c r="C1848" i="1"/>
  <c r="A588" i="1"/>
  <c r="B588" i="1"/>
  <c r="C588" i="1"/>
  <c r="A2914" i="1"/>
  <c r="B2914" i="1"/>
  <c r="C2914" i="1"/>
  <c r="A6002" i="1"/>
  <c r="B6002" i="1"/>
  <c r="C6002" i="1"/>
  <c r="A12160" i="1"/>
  <c r="B12160" i="1"/>
  <c r="C12160" i="1"/>
  <c r="A2709" i="1"/>
  <c r="B2709" i="1"/>
  <c r="C2709" i="1"/>
  <c r="A6288" i="1"/>
  <c r="B6288" i="1"/>
  <c r="C6288" i="1"/>
  <c r="A8020" i="1"/>
  <c r="B8020" i="1"/>
  <c r="C8020" i="1"/>
  <c r="A10935" i="1"/>
  <c r="B10935" i="1"/>
  <c r="C10935" i="1"/>
  <c r="A13365" i="1"/>
  <c r="B13365" i="1"/>
  <c r="C13365" i="1"/>
  <c r="A3354" i="1"/>
  <c r="B3354" i="1"/>
  <c r="C3354" i="1"/>
  <c r="A3150" i="1"/>
  <c r="B3150" i="1"/>
  <c r="C3150" i="1"/>
  <c r="A10153" i="1"/>
  <c r="B10153" i="1"/>
  <c r="C10153" i="1"/>
  <c r="A10327" i="1"/>
  <c r="B10327" i="1"/>
  <c r="C10327" i="1"/>
  <c r="A7900" i="1"/>
  <c r="B7900" i="1"/>
  <c r="C7900" i="1"/>
  <c r="A393" i="1"/>
  <c r="B393" i="1"/>
  <c r="C393" i="1"/>
  <c r="A466" i="1"/>
  <c r="B466" i="1"/>
  <c r="C466" i="1"/>
  <c r="A1485" i="1"/>
  <c r="B1485" i="1"/>
  <c r="C1485" i="1"/>
  <c r="A10209" i="1"/>
  <c r="B10209" i="1"/>
  <c r="C10209" i="1"/>
  <c r="A223" i="1"/>
  <c r="B223" i="1"/>
  <c r="C223" i="1"/>
  <c r="A452" i="1"/>
  <c r="B452" i="1"/>
  <c r="C452" i="1"/>
  <c r="A981" i="1"/>
  <c r="B981" i="1"/>
  <c r="C981" i="1"/>
  <c r="A10068" i="1"/>
  <c r="B10068" i="1"/>
  <c r="C10068" i="1"/>
  <c r="A13687" i="1"/>
  <c r="B13687" i="1"/>
  <c r="C13687" i="1"/>
  <c r="A2899" i="1"/>
  <c r="B2899" i="1"/>
  <c r="C2899" i="1"/>
  <c r="A3340" i="1"/>
  <c r="B3340" i="1"/>
  <c r="C3340" i="1"/>
  <c r="A679" i="1"/>
  <c r="B679" i="1"/>
  <c r="C679" i="1"/>
  <c r="A2579" i="1"/>
  <c r="B2579" i="1"/>
  <c r="C2579" i="1"/>
  <c r="A4628" i="1"/>
  <c r="B4628" i="1"/>
  <c r="C4628" i="1"/>
  <c r="A4034" i="1"/>
  <c r="B4034" i="1"/>
  <c r="C4034" i="1"/>
  <c r="A5527" i="1"/>
  <c r="B5527" i="1"/>
  <c r="C5527" i="1"/>
  <c r="A4293" i="1"/>
  <c r="B4293" i="1"/>
  <c r="C4293" i="1"/>
  <c r="A1460" i="1"/>
  <c r="B1460" i="1"/>
  <c r="C1460" i="1"/>
  <c r="A5344" i="1"/>
  <c r="B5344" i="1"/>
  <c r="C5344" i="1"/>
  <c r="A12640" i="1"/>
  <c r="B12640" i="1"/>
  <c r="C12640" i="1"/>
  <c r="A3614" i="1"/>
  <c r="B3614" i="1"/>
  <c r="C3614" i="1"/>
  <c r="A135" i="1"/>
  <c r="B135" i="1"/>
  <c r="C135" i="1"/>
  <c r="A11895" i="1"/>
  <c r="B11895" i="1"/>
  <c r="C11895" i="1"/>
  <c r="A11598" i="1"/>
  <c r="B11598" i="1"/>
  <c r="C11598" i="1"/>
  <c r="A11420" i="1"/>
  <c r="B11420" i="1"/>
  <c r="C11420" i="1"/>
  <c r="A9149" i="1"/>
  <c r="B9149" i="1"/>
  <c r="C9149" i="1"/>
  <c r="A9928" i="1"/>
  <c r="B9928" i="1"/>
  <c r="C9928" i="1"/>
  <c r="A719" i="1"/>
  <c r="B719" i="1"/>
  <c r="C719" i="1"/>
  <c r="A291" i="1"/>
  <c r="B291" i="1"/>
  <c r="C291" i="1"/>
  <c r="A13231" i="1"/>
  <c r="B13231" i="1"/>
  <c r="C13231" i="1"/>
  <c r="A10439" i="1"/>
  <c r="B10439" i="1"/>
  <c r="C10439" i="1"/>
  <c r="A1956" i="1"/>
  <c r="B1956" i="1"/>
  <c r="C1956" i="1"/>
  <c r="A9659" i="1"/>
  <c r="B9659" i="1"/>
  <c r="C9659" i="1"/>
  <c r="A13628" i="1"/>
  <c r="B13628" i="1"/>
  <c r="C13628" i="1"/>
  <c r="A528" i="1"/>
  <c r="B528" i="1"/>
  <c r="C528" i="1"/>
  <c r="A10579" i="1"/>
  <c r="B10579" i="1"/>
  <c r="C10579" i="1"/>
  <c r="A3519" i="1"/>
  <c r="B3519" i="1"/>
  <c r="C3519" i="1"/>
  <c r="A8873" i="1"/>
  <c r="B8873" i="1"/>
  <c r="C8873" i="1"/>
  <c r="A848" i="1"/>
  <c r="B848" i="1"/>
  <c r="C848" i="1"/>
  <c r="A6656" i="1"/>
  <c r="B6656" i="1"/>
  <c r="C6656" i="1"/>
  <c r="A1949" i="1"/>
  <c r="B1949" i="1"/>
  <c r="C1949" i="1"/>
  <c r="A3293" i="1"/>
  <c r="B3293" i="1"/>
  <c r="C3293" i="1"/>
  <c r="A704" i="1"/>
  <c r="B704" i="1"/>
  <c r="C704" i="1"/>
  <c r="A1608" i="1"/>
  <c r="B1608" i="1"/>
  <c r="C1608" i="1"/>
  <c r="A8741" i="1"/>
  <c r="B8741" i="1"/>
  <c r="C8741" i="1"/>
  <c r="A9004" i="1"/>
  <c r="B9004" i="1"/>
  <c r="C9004" i="1"/>
  <c r="A151" i="1"/>
  <c r="B151" i="1"/>
  <c r="C151" i="1"/>
  <c r="A5215" i="1"/>
  <c r="B5215" i="1"/>
  <c r="C5215" i="1"/>
  <c r="A13178" i="1"/>
  <c r="B13178" i="1"/>
  <c r="C13178" i="1"/>
  <c r="A10283" i="1"/>
  <c r="B10283" i="1"/>
  <c r="C10283" i="1"/>
  <c r="A13144" i="1"/>
  <c r="B13144" i="1"/>
  <c r="C13144" i="1"/>
  <c r="A11742" i="1"/>
  <c r="B11742" i="1"/>
  <c r="C11742" i="1"/>
  <c r="A5598" i="1"/>
  <c r="B5598" i="1"/>
  <c r="C5598" i="1"/>
  <c r="A6522" i="1"/>
  <c r="B6522" i="1"/>
  <c r="C6522" i="1"/>
  <c r="A9919" i="1"/>
  <c r="B9919" i="1"/>
  <c r="C9919" i="1"/>
  <c r="A13335" i="1"/>
  <c r="B13335" i="1"/>
  <c r="C13335" i="1"/>
  <c r="A11122" i="1"/>
  <c r="B11122" i="1"/>
  <c r="C11122" i="1"/>
  <c r="A3172" i="1"/>
  <c r="B3172" i="1"/>
  <c r="C3172" i="1"/>
  <c r="A3809" i="1"/>
  <c r="B3809" i="1"/>
  <c r="C3809" i="1"/>
  <c r="A4252" i="1"/>
  <c r="B4252" i="1"/>
  <c r="C4252" i="1"/>
  <c r="A2819" i="1"/>
  <c r="B2819" i="1"/>
  <c r="C2819" i="1"/>
  <c r="A7283" i="1"/>
  <c r="B7283" i="1"/>
  <c r="C7283" i="1"/>
  <c r="A11508" i="1"/>
  <c r="B11508" i="1"/>
  <c r="C11508" i="1"/>
  <c r="A2489" i="1"/>
  <c r="B2489" i="1"/>
  <c r="C2489" i="1"/>
  <c r="A8055" i="1"/>
  <c r="B8055" i="1"/>
  <c r="C8055" i="1"/>
  <c r="A10276" i="1"/>
  <c r="B10276" i="1"/>
  <c r="C10276" i="1"/>
  <c r="A11271" i="1"/>
  <c r="B11271" i="1"/>
  <c r="C11271" i="1"/>
  <c r="A5455" i="1"/>
  <c r="B5455" i="1"/>
  <c r="C5455" i="1"/>
  <c r="A4718" i="1"/>
  <c r="B4718" i="1"/>
  <c r="C4718" i="1"/>
  <c r="A9917" i="1"/>
  <c r="B9917" i="1"/>
  <c r="C9917" i="1"/>
  <c r="A7369" i="1"/>
  <c r="B7369" i="1"/>
  <c r="C7369" i="1"/>
  <c r="A9008" i="1"/>
  <c r="B9008" i="1"/>
  <c r="C9008" i="1"/>
  <c r="A624" i="1"/>
  <c r="B624" i="1"/>
  <c r="C624" i="1"/>
  <c r="A3742" i="1"/>
  <c r="B3742" i="1"/>
  <c r="C3742" i="1"/>
  <c r="A591" i="1"/>
  <c r="B591" i="1"/>
  <c r="C591" i="1"/>
  <c r="A9665" i="1"/>
  <c r="B9665" i="1"/>
  <c r="C9665" i="1"/>
  <c r="A541" i="1"/>
  <c r="B541" i="1"/>
  <c r="C541" i="1"/>
  <c r="A8478" i="1"/>
  <c r="B8478" i="1"/>
  <c r="C8478" i="1"/>
  <c r="A13419" i="1"/>
  <c r="B13419" i="1"/>
  <c r="C13419" i="1"/>
  <c r="A4561" i="1"/>
  <c r="B4561" i="1"/>
  <c r="C4561" i="1"/>
  <c r="A1648" i="1"/>
  <c r="B1648" i="1"/>
  <c r="C1648" i="1"/>
  <c r="A9317" i="1"/>
  <c r="B9317" i="1"/>
  <c r="C9317" i="1"/>
  <c r="A13316" i="1"/>
  <c r="B13316" i="1"/>
  <c r="C13316" i="1"/>
  <c r="A930" i="1"/>
  <c r="B930" i="1"/>
  <c r="C930" i="1"/>
  <c r="A5762" i="1"/>
  <c r="B5762" i="1"/>
  <c r="C5762" i="1"/>
  <c r="A4893" i="1"/>
  <c r="B4893" i="1"/>
  <c r="C4893" i="1"/>
  <c r="A1987" i="1"/>
  <c r="B1987" i="1"/>
  <c r="C1987" i="1"/>
  <c r="A4200" i="1"/>
  <c r="B4200" i="1"/>
  <c r="C4200" i="1"/>
  <c r="A526" i="1"/>
  <c r="B526" i="1"/>
  <c r="C526" i="1"/>
  <c r="A10364" i="1"/>
  <c r="B10364" i="1"/>
  <c r="C10364" i="1"/>
  <c r="A3262" i="1"/>
  <c r="B3262" i="1"/>
  <c r="C3262" i="1"/>
  <c r="A11946" i="1"/>
  <c r="B11946" i="1"/>
  <c r="C11946" i="1"/>
  <c r="A3248" i="1"/>
  <c r="B3248" i="1"/>
  <c r="C3248" i="1"/>
  <c r="A4112" i="1"/>
  <c r="B4112" i="1"/>
  <c r="C4112" i="1"/>
  <c r="A8422" i="1"/>
  <c r="B8422" i="1"/>
  <c r="C8422" i="1"/>
  <c r="A9472" i="1"/>
  <c r="B9472" i="1"/>
  <c r="C9472" i="1"/>
  <c r="A8819" i="1"/>
  <c r="B8819" i="1"/>
  <c r="C8819" i="1"/>
  <c r="A9889" i="1"/>
  <c r="B9889" i="1"/>
  <c r="C9889" i="1"/>
  <c r="A12685" i="1"/>
  <c r="B12685" i="1"/>
  <c r="C12685" i="1"/>
  <c r="A3493" i="1"/>
  <c r="B3493" i="1"/>
  <c r="C3493" i="1"/>
  <c r="A1964" i="1"/>
  <c r="B1964" i="1"/>
  <c r="C1964" i="1"/>
  <c r="A12305" i="1"/>
  <c r="B12305" i="1"/>
  <c r="C12305" i="1"/>
  <c r="A13011" i="1"/>
  <c r="B13011" i="1"/>
  <c r="C13011" i="1"/>
  <c r="A7867" i="1"/>
  <c r="B7867" i="1"/>
  <c r="C7867" i="1"/>
  <c r="A7715" i="1"/>
  <c r="B7715" i="1"/>
  <c r="C7715" i="1"/>
  <c r="A4725" i="1"/>
  <c r="B4725" i="1"/>
  <c r="C4725" i="1"/>
  <c r="A13200" i="1"/>
  <c r="B13200" i="1"/>
  <c r="C13200" i="1"/>
  <c r="A8736" i="1"/>
  <c r="B8736" i="1"/>
  <c r="C8736" i="1"/>
  <c r="A10321" i="1"/>
  <c r="B10321" i="1"/>
  <c r="C10321" i="1"/>
  <c r="A10512" i="1"/>
  <c r="B10512" i="1"/>
  <c r="C10512" i="1"/>
  <c r="A12275" i="1"/>
  <c r="B12275" i="1"/>
  <c r="C12275" i="1"/>
  <c r="A222" i="1"/>
  <c r="B222" i="1"/>
  <c r="C222" i="1"/>
  <c r="A5174" i="1"/>
  <c r="B5174" i="1"/>
  <c r="C5174" i="1"/>
  <c r="A21" i="1"/>
  <c r="B21" i="1"/>
  <c r="C21" i="1"/>
  <c r="A9826" i="1"/>
  <c r="B9826" i="1"/>
  <c r="C9826" i="1"/>
  <c r="A2494" i="1"/>
  <c r="B2494" i="1"/>
  <c r="C2494" i="1"/>
  <c r="A1955" i="1"/>
  <c r="B1955" i="1"/>
  <c r="C1955" i="1"/>
  <c r="A158" i="1"/>
  <c r="B158" i="1"/>
  <c r="C158" i="1"/>
  <c r="A4689" i="1"/>
  <c r="B4689" i="1"/>
  <c r="C4689" i="1"/>
  <c r="A2810" i="1"/>
  <c r="B2810" i="1"/>
  <c r="C2810" i="1"/>
  <c r="A256" i="1"/>
  <c r="B256" i="1"/>
  <c r="C256" i="1"/>
  <c r="A9248" i="1"/>
  <c r="B9248" i="1"/>
  <c r="C9248" i="1"/>
  <c r="A3562" i="1"/>
  <c r="B3562" i="1"/>
  <c r="C3562" i="1"/>
  <c r="A13508" i="1"/>
  <c r="B13508" i="1"/>
  <c r="C13508" i="1"/>
  <c r="A8372" i="1"/>
  <c r="B8372" i="1"/>
  <c r="C8372" i="1"/>
  <c r="A4399" i="1"/>
  <c r="B4399" i="1"/>
  <c r="C4399" i="1"/>
  <c r="A3456" i="1"/>
  <c r="B3456" i="1"/>
  <c r="C3456" i="1"/>
  <c r="A9315" i="1"/>
  <c r="B9315" i="1"/>
  <c r="C9315" i="1"/>
  <c r="A8208" i="1"/>
  <c r="B8208" i="1"/>
  <c r="C8208" i="1"/>
  <c r="A7922" i="1"/>
  <c r="B7922" i="1"/>
  <c r="C7922" i="1"/>
  <c r="A10038" i="1"/>
  <c r="B10038" i="1"/>
  <c r="C10038" i="1"/>
  <c r="A9102" i="1"/>
  <c r="B9102" i="1"/>
  <c r="C9102" i="1"/>
  <c r="A13245" i="1"/>
  <c r="B13245" i="1"/>
  <c r="C13245" i="1"/>
  <c r="A12745" i="1"/>
  <c r="B12745" i="1"/>
  <c r="C12745" i="1"/>
  <c r="A8547" i="1"/>
  <c r="B8547" i="1"/>
  <c r="C8547" i="1"/>
  <c r="A12396" i="1"/>
  <c r="B12396" i="1"/>
  <c r="C12396" i="1"/>
  <c r="A10269" i="1"/>
  <c r="B10269" i="1"/>
  <c r="C10269" i="1"/>
  <c r="A1205" i="1"/>
  <c r="B1205" i="1"/>
  <c r="C1205" i="1"/>
  <c r="A7935" i="1"/>
  <c r="B7935" i="1"/>
  <c r="C7935" i="1"/>
  <c r="A9962" i="1"/>
  <c r="B9962" i="1"/>
  <c r="C9962" i="1"/>
  <c r="A9394" i="1"/>
  <c r="B9394" i="1"/>
  <c r="C9394" i="1"/>
  <c r="A11375" i="1"/>
  <c r="B11375" i="1"/>
  <c r="C11375" i="1"/>
  <c r="A7309" i="1"/>
  <c r="B7309" i="1"/>
  <c r="C7309" i="1"/>
  <c r="A5529" i="1"/>
  <c r="B5529" i="1"/>
  <c r="C5529" i="1"/>
  <c r="A5010" i="1"/>
  <c r="B5010" i="1"/>
  <c r="C5010" i="1"/>
  <c r="A12389" i="1"/>
  <c r="B12389" i="1"/>
  <c r="C12389" i="1"/>
  <c r="A6167" i="1"/>
  <c r="B6167" i="1"/>
  <c r="C6167" i="1"/>
  <c r="A6897" i="1"/>
  <c r="B6897" i="1"/>
  <c r="C6897" i="1"/>
  <c r="A10186" i="1"/>
  <c r="B10186" i="1"/>
  <c r="C10186" i="1"/>
  <c r="A9983" i="1"/>
  <c r="B9983" i="1"/>
  <c r="C9983" i="1"/>
  <c r="A6488" i="1"/>
  <c r="B6488" i="1"/>
  <c r="C6488" i="1"/>
  <c r="A4531" i="1"/>
  <c r="B4531" i="1"/>
  <c r="C4531" i="1"/>
  <c r="A11478" i="1"/>
  <c r="B11478" i="1"/>
  <c r="C11478" i="1"/>
  <c r="A350" i="1"/>
  <c r="B350" i="1"/>
  <c r="C350" i="1"/>
  <c r="A4914" i="1"/>
  <c r="B4914" i="1"/>
  <c r="C4914" i="1"/>
  <c r="A13391" i="1"/>
  <c r="B13391" i="1"/>
  <c r="C13391" i="1"/>
  <c r="A9738" i="1"/>
  <c r="B9738" i="1"/>
  <c r="C9738" i="1"/>
  <c r="A13831" i="1"/>
  <c r="B13831" i="1"/>
  <c r="C13831" i="1"/>
  <c r="A3148" i="1"/>
  <c r="B3148" i="1"/>
  <c r="C3148" i="1"/>
  <c r="A10163" i="1"/>
  <c r="B10163" i="1"/>
  <c r="C10163" i="1"/>
  <c r="A13574" i="1"/>
  <c r="B13574" i="1"/>
  <c r="C13574" i="1"/>
  <c r="A8673" i="1"/>
  <c r="B8673" i="1"/>
  <c r="C8673" i="1"/>
  <c r="A3603" i="1"/>
  <c r="B3603" i="1"/>
  <c r="C3603" i="1"/>
  <c r="A9075" i="1"/>
  <c r="B9075" i="1"/>
  <c r="C9075" i="1"/>
  <c r="A3439" i="1"/>
  <c r="B3439" i="1"/>
  <c r="C3439" i="1"/>
  <c r="A7858" i="1"/>
  <c r="B7858" i="1"/>
  <c r="C7858" i="1"/>
  <c r="A4717" i="1"/>
  <c r="B4717" i="1"/>
  <c r="C4717" i="1"/>
  <c r="A8301" i="1"/>
  <c r="B8301" i="1"/>
  <c r="C8301" i="1"/>
  <c r="A553" i="1"/>
  <c r="B553" i="1"/>
  <c r="C553" i="1"/>
  <c r="A3505" i="1"/>
  <c r="B3505" i="1"/>
  <c r="C3505" i="1"/>
  <c r="A6845" i="1"/>
  <c r="B6845" i="1"/>
  <c r="C6845" i="1"/>
  <c r="A4348" i="1"/>
  <c r="B4348" i="1"/>
  <c r="C4348" i="1"/>
  <c r="A9025" i="1"/>
  <c r="B9025" i="1"/>
  <c r="C9025" i="1"/>
  <c r="A4622" i="1"/>
  <c r="B4622" i="1"/>
  <c r="C4622" i="1"/>
  <c r="A6490" i="1"/>
  <c r="B6490" i="1"/>
  <c r="C6490" i="1"/>
  <c r="A8742" i="1"/>
  <c r="B8742" i="1"/>
  <c r="C8742" i="1"/>
  <c r="A4164" i="1"/>
  <c r="B4164" i="1"/>
  <c r="C4164" i="1"/>
  <c r="A9856" i="1"/>
  <c r="B9856" i="1"/>
  <c r="C9856" i="1"/>
  <c r="A4306" i="1"/>
  <c r="B4306" i="1"/>
  <c r="C4306" i="1"/>
  <c r="A7645" i="1"/>
  <c r="B7645" i="1"/>
  <c r="C7645" i="1"/>
  <c r="A10286" i="1"/>
  <c r="B10286" i="1"/>
  <c r="C10286" i="1"/>
  <c r="A8260" i="1"/>
  <c r="B8260" i="1"/>
  <c r="C8260" i="1"/>
  <c r="A7432" i="1"/>
  <c r="B7432" i="1"/>
  <c r="C7432" i="1"/>
  <c r="A10721" i="1"/>
  <c r="B10721" i="1"/>
  <c r="C10721" i="1"/>
  <c r="A13372" i="1"/>
  <c r="B13372" i="1"/>
  <c r="C13372" i="1"/>
  <c r="A10036" i="1"/>
  <c r="B10036" i="1"/>
  <c r="C10036" i="1"/>
  <c r="A2201" i="1"/>
  <c r="B2201" i="1"/>
  <c r="C2201" i="1"/>
  <c r="A2605" i="1"/>
  <c r="B2605" i="1"/>
  <c r="C2605" i="1"/>
  <c r="A6072" i="1"/>
  <c r="B6072" i="1"/>
  <c r="C6072" i="1"/>
  <c r="A4237" i="1"/>
  <c r="B4237" i="1"/>
  <c r="C4237" i="1"/>
  <c r="A8946" i="1"/>
  <c r="B8946" i="1"/>
  <c r="C8946" i="1"/>
  <c r="A13458" i="1"/>
  <c r="B13458" i="1"/>
  <c r="C13458" i="1"/>
  <c r="A3095" i="1"/>
  <c r="B3095" i="1"/>
  <c r="C3095" i="1"/>
  <c r="A3165" i="1"/>
  <c r="B3165" i="1"/>
  <c r="C3165" i="1"/>
  <c r="A1985" i="1"/>
  <c r="B1985" i="1"/>
  <c r="C1985" i="1"/>
  <c r="A9039" i="1"/>
  <c r="B9039" i="1"/>
  <c r="C9039" i="1"/>
  <c r="A5535" i="1"/>
  <c r="B5535" i="1"/>
  <c r="C5535" i="1"/>
  <c r="A7632" i="1"/>
  <c r="B7632" i="1"/>
  <c r="C7632" i="1"/>
  <c r="A13196" i="1"/>
  <c r="B13196" i="1"/>
  <c r="C13196" i="1"/>
  <c r="A1055" i="1"/>
  <c r="B1055" i="1"/>
  <c r="C1055" i="1"/>
  <c r="A5650" i="1"/>
  <c r="B5650" i="1"/>
  <c r="C5650" i="1"/>
  <c r="A11849" i="1"/>
  <c r="B11849" i="1"/>
  <c r="C11849" i="1"/>
  <c r="A9350" i="1"/>
  <c r="B9350" i="1"/>
  <c r="C9350" i="1"/>
  <c r="A8426" i="1"/>
  <c r="B8426" i="1"/>
  <c r="C8426" i="1"/>
  <c r="A3263" i="1"/>
  <c r="B3263" i="1"/>
  <c r="C3263" i="1"/>
  <c r="A13490" i="1"/>
  <c r="B13490" i="1"/>
  <c r="C13490" i="1"/>
  <c r="A4335" i="1"/>
  <c r="B4335" i="1"/>
  <c r="C4335" i="1"/>
  <c r="A4840" i="1"/>
  <c r="B4840" i="1"/>
  <c r="C4840" i="1"/>
  <c r="A3706" i="1"/>
  <c r="B3706" i="1"/>
  <c r="C3706" i="1"/>
  <c r="A3533" i="1"/>
  <c r="B3533" i="1"/>
  <c r="C3533" i="1"/>
  <c r="A11801" i="1"/>
  <c r="B11801" i="1"/>
  <c r="C11801" i="1"/>
  <c r="A3236" i="1"/>
  <c r="B3236" i="1"/>
  <c r="C3236" i="1"/>
  <c r="A539" i="1"/>
  <c r="B539" i="1"/>
  <c r="C539" i="1"/>
  <c r="A908" i="1"/>
  <c r="B908" i="1"/>
  <c r="C908" i="1"/>
  <c r="A5658" i="1"/>
  <c r="B5658" i="1"/>
  <c r="C5658" i="1"/>
  <c r="A590" i="1"/>
  <c r="B590" i="1"/>
  <c r="C590" i="1"/>
  <c r="A504" i="1"/>
  <c r="B504" i="1"/>
  <c r="C504" i="1"/>
  <c r="A11492" i="1"/>
  <c r="B11492" i="1"/>
  <c r="C11492" i="1"/>
  <c r="A6509" i="1"/>
  <c r="B6509" i="1"/>
  <c r="C6509" i="1"/>
  <c r="A7204" i="1"/>
  <c r="B7204" i="1"/>
  <c r="C7204" i="1"/>
  <c r="A12849" i="1"/>
  <c r="B12849" i="1"/>
  <c r="C12849" i="1"/>
  <c r="A9773" i="1"/>
  <c r="B9773" i="1"/>
  <c r="C9773" i="1"/>
  <c r="A9774" i="1"/>
  <c r="B9774" i="1"/>
  <c r="C9774" i="1"/>
  <c r="A12678" i="1"/>
  <c r="B12678" i="1"/>
  <c r="C12678" i="1"/>
  <c r="A9122" i="1"/>
  <c r="B9122" i="1"/>
  <c r="C9122" i="1"/>
  <c r="A6666" i="1"/>
  <c r="B6666" i="1"/>
  <c r="C6666" i="1"/>
  <c r="A7795" i="1"/>
  <c r="B7795" i="1"/>
  <c r="C7795" i="1"/>
  <c r="A183" i="1"/>
  <c r="B183" i="1"/>
  <c r="C183" i="1"/>
  <c r="A5695" i="1"/>
  <c r="B5695" i="1"/>
  <c r="C5695" i="1"/>
  <c r="A12045" i="1"/>
  <c r="B12045" i="1"/>
  <c r="C12045" i="1"/>
  <c r="A8627" i="1"/>
  <c r="B8627" i="1"/>
  <c r="C8627" i="1"/>
  <c r="A4150" i="1"/>
  <c r="B4150" i="1"/>
  <c r="C4150" i="1"/>
  <c r="A5928" i="1"/>
  <c r="B5928" i="1"/>
  <c r="C5928" i="1"/>
  <c r="A3679" i="1"/>
  <c r="B3679" i="1"/>
  <c r="C3679" i="1"/>
  <c r="A1327" i="1"/>
  <c r="B1327" i="1"/>
  <c r="C1327" i="1"/>
  <c r="A8786" i="1"/>
  <c r="B8786" i="1"/>
  <c r="C8786" i="1"/>
  <c r="A5027" i="1"/>
  <c r="B5027" i="1"/>
  <c r="C5027" i="1"/>
  <c r="A10698" i="1"/>
  <c r="B10698" i="1"/>
  <c r="C10698" i="1"/>
  <c r="A7378" i="1"/>
  <c r="B7378" i="1"/>
  <c r="C7378" i="1"/>
  <c r="A12137" i="1"/>
  <c r="B12137" i="1"/>
  <c r="C12137" i="1"/>
  <c r="A7586" i="1"/>
  <c r="B7586" i="1"/>
  <c r="C7586" i="1"/>
  <c r="A921" i="1"/>
  <c r="B921" i="1"/>
  <c r="C921" i="1"/>
  <c r="A6139" i="1"/>
  <c r="B6139" i="1"/>
  <c r="C6139" i="1"/>
  <c r="A11179" i="1"/>
  <c r="B11179" i="1"/>
  <c r="C11179" i="1"/>
  <c r="A3149" i="1"/>
  <c r="B3149" i="1"/>
  <c r="C3149" i="1"/>
  <c r="A10108" i="1"/>
  <c r="B10108" i="1"/>
  <c r="C10108" i="1"/>
  <c r="A11435" i="1"/>
  <c r="B11435" i="1"/>
  <c r="C11435" i="1"/>
  <c r="A5760" i="1"/>
  <c r="B5760" i="1"/>
  <c r="C5760" i="1"/>
  <c r="A6287" i="1"/>
  <c r="B6287" i="1"/>
  <c r="C6287" i="1"/>
  <c r="A568" i="1"/>
  <c r="B568" i="1"/>
  <c r="C568" i="1"/>
  <c r="A9913" i="1"/>
  <c r="B9913" i="1"/>
  <c r="C9913" i="1"/>
  <c r="A8476" i="1"/>
  <c r="B8476" i="1"/>
  <c r="C8476" i="1"/>
  <c r="A914" i="1"/>
  <c r="B914" i="1"/>
  <c r="C914" i="1"/>
  <c r="A11719" i="1"/>
  <c r="B11719" i="1"/>
  <c r="C11719" i="1"/>
  <c r="A11913" i="1"/>
  <c r="B11913" i="1"/>
  <c r="C11913" i="1"/>
  <c r="A5680" i="1"/>
  <c r="B5680" i="1"/>
  <c r="C5680" i="1"/>
  <c r="A12998" i="1"/>
  <c r="B12998" i="1"/>
  <c r="C12998" i="1"/>
  <c r="A12410" i="1"/>
  <c r="B12410" i="1"/>
  <c r="C12410" i="1"/>
  <c r="A12535" i="1"/>
  <c r="B12535" i="1"/>
  <c r="C12535" i="1"/>
  <c r="A11914" i="1"/>
  <c r="B11914" i="1"/>
  <c r="C11914" i="1"/>
  <c r="A13321" i="1"/>
  <c r="B13321" i="1"/>
  <c r="C13321" i="1"/>
  <c r="A8703" i="1"/>
  <c r="B8703" i="1"/>
  <c r="C8703" i="1"/>
  <c r="A13659" i="1"/>
  <c r="B13659" i="1"/>
  <c r="C13659" i="1"/>
  <c r="A11880" i="1"/>
  <c r="B11880" i="1"/>
  <c r="C11880" i="1"/>
  <c r="A949" i="1"/>
  <c r="B949" i="1"/>
  <c r="C949" i="1"/>
  <c r="A905" i="1"/>
  <c r="B905" i="1"/>
  <c r="C905" i="1"/>
  <c r="A10888" i="1"/>
  <c r="B10888" i="1"/>
  <c r="C10888" i="1"/>
  <c r="A5169" i="1"/>
  <c r="B5169" i="1"/>
  <c r="C5169" i="1"/>
  <c r="A140" i="1"/>
  <c r="B140" i="1"/>
  <c r="C140" i="1"/>
  <c r="A9947" i="1"/>
  <c r="B9947" i="1"/>
  <c r="C9947" i="1"/>
  <c r="A11402" i="1"/>
  <c r="B11402" i="1"/>
  <c r="C11402" i="1"/>
  <c r="A11745" i="1"/>
  <c r="B11745" i="1"/>
  <c r="C11745" i="1"/>
  <c r="A7717" i="1"/>
  <c r="B7717" i="1"/>
  <c r="C7717" i="1"/>
  <c r="A3738" i="1"/>
  <c r="B3738" i="1"/>
  <c r="C3738" i="1"/>
  <c r="A12249" i="1"/>
  <c r="B12249" i="1"/>
  <c r="C12249" i="1"/>
  <c r="A5917" i="1"/>
  <c r="B5917" i="1"/>
  <c r="C5917" i="1"/>
  <c r="A7849" i="1"/>
  <c r="B7849" i="1"/>
  <c r="C7849" i="1"/>
  <c r="A7607" i="1"/>
  <c r="B7607" i="1"/>
  <c r="C7607" i="1"/>
  <c r="A8891" i="1"/>
  <c r="B8891" i="1"/>
  <c r="C8891" i="1"/>
  <c r="A13943" i="1"/>
  <c r="B13943" i="1"/>
  <c r="C13943" i="1"/>
  <c r="A3960" i="1"/>
  <c r="B3960" i="1"/>
  <c r="C3960" i="1"/>
  <c r="A10823" i="1"/>
  <c r="B10823" i="1"/>
  <c r="C10823" i="1"/>
  <c r="A6021" i="1"/>
  <c r="B6021" i="1"/>
  <c r="C6021" i="1"/>
  <c r="A7088" i="1"/>
  <c r="B7088" i="1"/>
  <c r="C7088" i="1"/>
  <c r="A3663" i="1"/>
  <c r="B3663" i="1"/>
  <c r="C3663" i="1"/>
  <c r="A11351" i="1"/>
  <c r="B11351" i="1"/>
  <c r="C11351" i="1"/>
  <c r="A12543" i="1"/>
  <c r="B12543" i="1"/>
  <c r="C12543" i="1"/>
  <c r="A8923" i="1"/>
  <c r="B8923" i="1"/>
  <c r="C8923" i="1"/>
  <c r="A6728" i="1"/>
  <c r="B6728" i="1"/>
  <c r="C6728" i="1"/>
  <c r="A2935" i="1"/>
  <c r="B2935" i="1"/>
  <c r="C2935" i="1"/>
  <c r="A5137" i="1"/>
  <c r="B5137" i="1"/>
  <c r="C5137" i="1"/>
  <c r="A8841" i="1"/>
  <c r="B8841" i="1"/>
  <c r="C8841" i="1"/>
  <c r="A12055" i="1"/>
  <c r="B12055" i="1"/>
  <c r="C12055" i="1"/>
  <c r="A1934" i="1"/>
  <c r="B1934" i="1"/>
  <c r="C1934" i="1"/>
  <c r="A4455" i="1"/>
  <c r="B4455" i="1"/>
  <c r="C4455" i="1"/>
  <c r="A10607" i="1"/>
  <c r="B10607" i="1"/>
  <c r="C10607" i="1"/>
  <c r="A3896" i="1"/>
  <c r="B3896" i="1"/>
  <c r="C3896" i="1"/>
  <c r="A2338" i="1"/>
  <c r="B2338" i="1"/>
  <c r="C2338" i="1"/>
  <c r="A13396" i="1"/>
  <c r="B13396" i="1"/>
  <c r="C13396" i="1"/>
  <c r="A9209" i="1"/>
  <c r="B9209" i="1"/>
  <c r="C9209" i="1"/>
  <c r="A9249" i="1"/>
  <c r="B9249" i="1"/>
  <c r="C9249" i="1"/>
  <c r="A13582" i="1"/>
  <c r="B13582" i="1"/>
  <c r="C13582" i="1"/>
  <c r="A1316" i="1"/>
  <c r="B1316" i="1"/>
  <c r="C1316" i="1"/>
  <c r="A1557" i="1"/>
  <c r="B1557" i="1"/>
  <c r="C1557" i="1"/>
  <c r="A13631" i="1"/>
  <c r="B13631" i="1"/>
  <c r="C13631" i="1"/>
  <c r="A7428" i="1"/>
  <c r="B7428" i="1"/>
  <c r="C7428" i="1"/>
  <c r="A11061" i="1"/>
  <c r="B11061" i="1"/>
  <c r="C11061" i="1"/>
  <c r="A8740" i="1"/>
  <c r="B8740" i="1"/>
  <c r="C8740" i="1"/>
  <c r="A10280" i="1"/>
  <c r="B10280" i="1"/>
  <c r="C10280" i="1"/>
  <c r="A6738" i="1"/>
  <c r="B6738" i="1"/>
  <c r="C6738" i="1"/>
  <c r="A7395" i="1"/>
  <c r="B7395" i="1"/>
  <c r="C7395" i="1"/>
  <c r="A11890" i="1"/>
  <c r="B11890" i="1"/>
  <c r="C11890" i="1"/>
  <c r="A2684" i="1"/>
  <c r="B2684" i="1"/>
  <c r="C2684" i="1"/>
  <c r="A9566" i="1"/>
  <c r="B9566" i="1"/>
  <c r="C9566" i="1"/>
  <c r="A5929" i="1"/>
  <c r="B5929" i="1"/>
  <c r="C5929" i="1"/>
  <c r="A8766" i="1"/>
  <c r="B8766" i="1"/>
  <c r="C8766" i="1"/>
  <c r="A5886" i="1"/>
  <c r="B5886" i="1"/>
  <c r="C5886" i="1"/>
  <c r="A13093" i="1"/>
  <c r="B13093" i="1"/>
  <c r="C13093" i="1"/>
  <c r="A554" i="1"/>
  <c r="B554" i="1"/>
  <c r="C554" i="1"/>
  <c r="A7089" i="1"/>
  <c r="B7089" i="1"/>
  <c r="C7089" i="1"/>
  <c r="A9015" i="1"/>
  <c r="B9015" i="1"/>
  <c r="C9015" i="1"/>
  <c r="A12944" i="1"/>
  <c r="B12944" i="1"/>
  <c r="C12944" i="1"/>
  <c r="A4544" i="1"/>
  <c r="B4544" i="1"/>
  <c r="C4544" i="1"/>
  <c r="A2425" i="1"/>
  <c r="B2425" i="1"/>
  <c r="C2425" i="1"/>
  <c r="A2265" i="1"/>
  <c r="B2265" i="1"/>
  <c r="C2265" i="1"/>
  <c r="A769" i="1"/>
  <c r="B769" i="1"/>
  <c r="C769" i="1"/>
  <c r="A13306" i="1"/>
  <c r="B13306" i="1"/>
  <c r="C13306" i="1"/>
  <c r="A7209" i="1"/>
  <c r="B7209" i="1"/>
  <c r="C7209" i="1"/>
  <c r="A10024" i="1"/>
  <c r="B10024" i="1"/>
  <c r="C10024" i="1"/>
  <c r="A9498" i="1"/>
  <c r="B9498" i="1"/>
  <c r="C9498" i="1"/>
  <c r="A1991" i="1"/>
  <c r="B1991" i="1"/>
  <c r="C1991" i="1"/>
  <c r="A4156" i="1"/>
  <c r="B4156" i="1"/>
  <c r="C4156" i="1"/>
  <c r="A1971" i="1"/>
  <c r="B1971" i="1"/>
  <c r="C1971" i="1"/>
  <c r="A7942" i="1"/>
  <c r="B7942" i="1"/>
  <c r="C7942" i="1"/>
  <c r="A8716" i="1"/>
  <c r="B8716" i="1"/>
  <c r="C8716" i="1"/>
  <c r="A10160" i="1"/>
  <c r="B10160" i="1"/>
  <c r="C10160" i="1"/>
  <c r="A3852" i="1"/>
  <c r="B3852" i="1"/>
  <c r="C3852" i="1"/>
  <c r="A5606" i="1"/>
  <c r="B5606" i="1"/>
  <c r="C5606" i="1"/>
  <c r="A8530" i="1"/>
  <c r="B8530" i="1"/>
  <c r="C8530" i="1"/>
  <c r="A3445" i="1"/>
  <c r="B3445" i="1"/>
  <c r="C3445" i="1"/>
  <c r="A5426" i="1"/>
  <c r="B5426" i="1"/>
  <c r="A7437" i="1"/>
  <c r="B7437" i="1"/>
  <c r="C7437" i="1"/>
  <c r="A13630" i="1"/>
  <c r="B13630" i="1"/>
  <c r="C13630" i="1"/>
  <c r="A5326" i="1"/>
  <c r="B5326" i="1"/>
  <c r="C5326" i="1"/>
  <c r="A9367" i="1"/>
  <c r="B9367" i="1"/>
  <c r="C9367" i="1"/>
  <c r="A4529" i="1"/>
  <c r="B4529" i="1"/>
  <c r="C4529" i="1"/>
  <c r="A10479" i="1"/>
  <c r="B10479" i="1"/>
  <c r="C10479" i="1"/>
  <c r="A10393" i="1"/>
  <c r="B10393" i="1"/>
  <c r="C10393" i="1"/>
  <c r="A9942" i="1"/>
  <c r="B9942" i="1"/>
  <c r="C9942" i="1"/>
  <c r="A10480" i="1"/>
  <c r="B10480" i="1"/>
  <c r="C10480" i="1"/>
  <c r="A9018" i="1"/>
  <c r="B9018" i="1"/>
  <c r="C9018" i="1"/>
  <c r="A290" i="1"/>
  <c r="B290" i="1"/>
  <c r="C290" i="1"/>
  <c r="A9553" i="1"/>
  <c r="B9553" i="1"/>
  <c r="C9553" i="1"/>
  <c r="A8753" i="1"/>
  <c r="B8753" i="1"/>
  <c r="C8753" i="1"/>
  <c r="A7220" i="1"/>
  <c r="B7220" i="1"/>
  <c r="C7220" i="1"/>
  <c r="A12626" i="1"/>
  <c r="B12626" i="1"/>
  <c r="C12626" i="1"/>
  <c r="A13336" i="1"/>
  <c r="B13336" i="1"/>
  <c r="C13336" i="1"/>
  <c r="A4380" i="1"/>
  <c r="B4380" i="1"/>
  <c r="C4380" i="1"/>
  <c r="A11272" i="1"/>
  <c r="B11272" i="1"/>
  <c r="C11272" i="1"/>
  <c r="A13609" i="1"/>
  <c r="B13609" i="1"/>
  <c r="C13609" i="1"/>
  <c r="A6572" i="1"/>
  <c r="B6572" i="1"/>
  <c r="C6572" i="1"/>
  <c r="A8296" i="1"/>
  <c r="B8296" i="1"/>
  <c r="C8296" i="1"/>
  <c r="A11877" i="1"/>
  <c r="B11877" i="1"/>
  <c r="C11877" i="1"/>
  <c r="A555" i="1"/>
  <c r="B555" i="1"/>
  <c r="C555" i="1"/>
  <c r="A4104" i="1"/>
  <c r="B4104" i="1"/>
  <c r="C4104" i="1"/>
  <c r="A6266" i="1"/>
  <c r="B6266" i="1"/>
  <c r="C6266" i="1"/>
  <c r="A11116" i="1"/>
  <c r="B11116" i="1"/>
  <c r="C11116" i="1"/>
  <c r="A13606" i="1"/>
  <c r="B13606" i="1"/>
  <c r="C13606" i="1"/>
  <c r="A5905" i="1"/>
  <c r="B5905" i="1"/>
  <c r="C5905" i="1"/>
  <c r="A529" i="1"/>
  <c r="B529" i="1"/>
  <c r="C529" i="1"/>
  <c r="A5573" i="1"/>
  <c r="B5573" i="1"/>
  <c r="C5573" i="1"/>
  <c r="A6371" i="1"/>
  <c r="B6371" i="1"/>
  <c r="C6371" i="1"/>
  <c r="A6133" i="1"/>
  <c r="B6133" i="1"/>
  <c r="C6133" i="1"/>
  <c r="A11665" i="1"/>
  <c r="B11665" i="1"/>
  <c r="C11665" i="1"/>
  <c r="A78" i="1"/>
  <c r="B78" i="1"/>
  <c r="C78" i="1"/>
  <c r="A7783" i="1"/>
  <c r="B7783" i="1"/>
  <c r="C7783" i="1"/>
  <c r="A12381" i="1"/>
  <c r="B12381" i="1"/>
  <c r="C12381" i="1"/>
  <c r="A6639" i="1"/>
  <c r="B6639" i="1"/>
  <c r="C6639" i="1"/>
  <c r="A10811" i="1"/>
  <c r="B10811" i="1"/>
  <c r="C10811" i="1"/>
  <c r="A6106" i="1"/>
  <c r="B6106" i="1"/>
  <c r="C6106" i="1"/>
  <c r="A13350" i="1"/>
  <c r="B13350" i="1"/>
  <c r="C13350" i="1"/>
  <c r="A11857" i="1"/>
  <c r="B11857" i="1"/>
  <c r="C11857" i="1"/>
  <c r="A4984" i="1"/>
  <c r="B4984" i="1"/>
  <c r="C4984" i="1"/>
  <c r="A9172" i="1"/>
  <c r="B9172" i="1"/>
  <c r="C9172" i="1"/>
  <c r="A12283" i="1"/>
  <c r="B12283" i="1"/>
  <c r="C12283" i="1"/>
  <c r="A3616" i="1"/>
  <c r="B3616" i="1"/>
  <c r="C3616" i="1"/>
  <c r="A11606" i="1"/>
  <c r="B11606" i="1"/>
  <c r="C11606" i="1"/>
  <c r="A9590" i="1"/>
  <c r="B9590" i="1"/>
  <c r="C9590" i="1"/>
  <c r="A5115" i="1"/>
  <c r="B5115" i="1"/>
  <c r="C5115" i="1"/>
  <c r="A5543" i="1"/>
  <c r="B5543" i="1"/>
  <c r="C5543" i="1"/>
  <c r="A2937" i="1"/>
  <c r="B2937" i="1"/>
  <c r="C2937" i="1"/>
  <c r="A9012" i="1"/>
  <c r="B9012" i="1"/>
  <c r="C9012" i="1"/>
  <c r="A2267" i="1"/>
  <c r="B2267" i="1"/>
  <c r="C2267" i="1"/>
  <c r="A5410" i="1"/>
  <c r="B5410" i="1"/>
  <c r="C5410" i="1"/>
  <c r="A7353" i="1"/>
  <c r="B7353" i="1"/>
  <c r="C7353" i="1"/>
  <c r="A6104" i="1"/>
  <c r="B6104" i="1"/>
  <c r="C6104" i="1"/>
  <c r="A7263" i="1"/>
  <c r="B7263" i="1"/>
  <c r="C7263" i="1"/>
  <c r="A11815" i="1"/>
  <c r="B11815" i="1"/>
  <c r="C11815" i="1"/>
  <c r="A10596" i="1"/>
  <c r="B10596" i="1"/>
  <c r="C10596" i="1"/>
  <c r="A4058" i="1"/>
  <c r="B4058" i="1"/>
  <c r="C4058" i="1"/>
  <c r="A4401" i="1"/>
  <c r="B4401" i="1"/>
  <c r="C4401" i="1"/>
  <c r="A1681" i="1"/>
  <c r="B1681" i="1"/>
  <c r="C1681" i="1"/>
  <c r="A3225" i="1"/>
  <c r="B3225" i="1"/>
  <c r="C3225" i="1"/>
  <c r="A8211" i="1"/>
  <c r="B8211" i="1"/>
  <c r="C8211" i="1"/>
  <c r="A5310" i="1"/>
  <c r="B5310" i="1"/>
  <c r="C5310" i="1"/>
  <c r="A8407" i="1"/>
  <c r="B8407" i="1"/>
  <c r="C8407" i="1"/>
  <c r="A11658" i="1"/>
  <c r="B11658" i="1"/>
  <c r="C11658" i="1"/>
  <c r="A42" i="1"/>
  <c r="B42" i="1"/>
  <c r="C42" i="1"/>
  <c r="A6462" i="1"/>
  <c r="B6462" i="1"/>
  <c r="C6462" i="1"/>
  <c r="A10761" i="1"/>
  <c r="B10761" i="1"/>
  <c r="C10761" i="1"/>
  <c r="A7085" i="1"/>
  <c r="B7085" i="1"/>
  <c r="C7085" i="1"/>
  <c r="A3360" i="1"/>
  <c r="B3360" i="1"/>
  <c r="C3360" i="1"/>
  <c r="A10425" i="1"/>
  <c r="B10425" i="1"/>
  <c r="C10425" i="1"/>
  <c r="A7090" i="1"/>
  <c r="B7090" i="1"/>
  <c r="C7090" i="1"/>
  <c r="A13459" i="1"/>
  <c r="B13459" i="1"/>
  <c r="C13459" i="1"/>
  <c r="A2482" i="1"/>
  <c r="B2482" i="1"/>
  <c r="C2482" i="1"/>
  <c r="A3613" i="1"/>
  <c r="B3613" i="1"/>
  <c r="C3613" i="1"/>
  <c r="A5273" i="1"/>
  <c r="B5273" i="1"/>
  <c r="C5273" i="1"/>
  <c r="A3534" i="1"/>
  <c r="B3534" i="1"/>
  <c r="C3534" i="1"/>
  <c r="A8803" i="1"/>
  <c r="B8803" i="1"/>
  <c r="C8803" i="1"/>
  <c r="A12108" i="1"/>
  <c r="B12108" i="1"/>
  <c r="C12108" i="1"/>
  <c r="A7143" i="1"/>
  <c r="B7143" i="1"/>
  <c r="C7143" i="1"/>
  <c r="A1278" i="1"/>
  <c r="B1278" i="1"/>
  <c r="C1278" i="1"/>
  <c r="A4298" i="1"/>
  <c r="B4298" i="1"/>
  <c r="C4298" i="1"/>
  <c r="A3473" i="1"/>
  <c r="B3473" i="1"/>
  <c r="C3473" i="1"/>
  <c r="A5259" i="1"/>
  <c r="B5259" i="1"/>
  <c r="C5259" i="1"/>
  <c r="A13214" i="1"/>
  <c r="B13214" i="1"/>
  <c r="C13214" i="1"/>
  <c r="A4802" i="1"/>
  <c r="B4802" i="1"/>
  <c r="C4802" i="1"/>
  <c r="A12529" i="1"/>
  <c r="B12529" i="1"/>
  <c r="C12529" i="1"/>
  <c r="A759" i="1"/>
  <c r="B759" i="1"/>
  <c r="C759" i="1"/>
  <c r="A3318" i="1"/>
  <c r="B3318" i="1"/>
  <c r="C3318" i="1"/>
  <c r="A4901" i="1"/>
  <c r="B4901" i="1"/>
  <c r="C4901" i="1"/>
  <c r="A11002" i="1"/>
  <c r="B11002" i="1"/>
  <c r="C11002" i="1"/>
  <c r="A9643" i="1"/>
  <c r="B9643" i="1"/>
  <c r="C9643" i="1"/>
  <c r="A10944" i="1"/>
  <c r="B10944" i="1"/>
  <c r="C10944" i="1"/>
  <c r="A9378" i="1"/>
  <c r="B9378" i="1"/>
  <c r="C9378" i="1"/>
  <c r="A1954" i="1"/>
  <c r="B1954" i="1"/>
  <c r="C1954" i="1"/>
  <c r="A9662" i="1"/>
  <c r="B9662" i="1"/>
  <c r="C9662" i="1"/>
  <c r="A7989" i="1"/>
  <c r="B7989" i="1"/>
  <c r="C7989" i="1"/>
  <c r="A5364" i="1"/>
  <c r="B5364" i="1"/>
  <c r="C5364" i="1"/>
  <c r="A11443" i="1"/>
  <c r="B11443" i="1"/>
  <c r="C11443" i="1"/>
  <c r="A6846" i="1"/>
  <c r="B6846" i="1"/>
  <c r="C6846" i="1"/>
  <c r="A8392" i="1"/>
  <c r="B8392" i="1"/>
  <c r="C8392" i="1"/>
  <c r="A11447" i="1"/>
  <c r="B11447" i="1"/>
  <c r="C11447" i="1"/>
  <c r="A5615" i="1"/>
  <c r="B5615" i="1"/>
  <c r="C5615" i="1"/>
  <c r="A1818" i="1"/>
  <c r="B1818" i="1"/>
  <c r="C1818" i="1"/>
  <c r="A858" i="1"/>
  <c r="B858" i="1"/>
  <c r="C858" i="1"/>
  <c r="A8529" i="1"/>
  <c r="B8529" i="1"/>
  <c r="C8529" i="1"/>
  <c r="A6514" i="1"/>
  <c r="B6514" i="1"/>
  <c r="C6514" i="1"/>
  <c r="A2383" i="1"/>
  <c r="B2383" i="1"/>
  <c r="C2383" i="1"/>
  <c r="A2384" i="1"/>
  <c r="B2384" i="1"/>
  <c r="C2384" i="1"/>
  <c r="A2385" i="1"/>
  <c r="B2385" i="1"/>
  <c r="C2385" i="1"/>
  <c r="A9292" i="1"/>
  <c r="B9292" i="1"/>
  <c r="C9292" i="1"/>
  <c r="A7423" i="1"/>
  <c r="B7423" i="1"/>
  <c r="C7423" i="1"/>
  <c r="A13577" i="1"/>
  <c r="B13577" i="1"/>
  <c r="C13577" i="1"/>
  <c r="A12972" i="1"/>
  <c r="B12972" i="1"/>
  <c r="C12972" i="1"/>
  <c r="A3047" i="1"/>
  <c r="B3047" i="1"/>
  <c r="C3047" i="1"/>
  <c r="A7177" i="1"/>
  <c r="B7177" i="1"/>
  <c r="C7177" i="1"/>
  <c r="A8764" i="1"/>
  <c r="B8764" i="1"/>
  <c r="C8764" i="1"/>
  <c r="A6570" i="1"/>
  <c r="B6570" i="1"/>
  <c r="C6570" i="1"/>
  <c r="A10504" i="1"/>
  <c r="B10504" i="1"/>
  <c r="C10504" i="1"/>
  <c r="A692" i="1"/>
  <c r="B692" i="1"/>
  <c r="C692" i="1"/>
  <c r="A6035" i="1"/>
  <c r="B6035" i="1"/>
  <c r="C6035" i="1"/>
  <c r="A4551" i="1"/>
  <c r="B4551" i="1"/>
  <c r="C4551" i="1"/>
  <c r="A2838" i="1"/>
  <c r="B2838" i="1"/>
  <c r="C2838" i="1"/>
  <c r="A2208" i="1"/>
  <c r="B2208" i="1"/>
  <c r="C2208" i="1"/>
  <c r="A4403" i="1"/>
  <c r="B4403" i="1"/>
  <c r="C4403" i="1"/>
  <c r="A6675" i="1"/>
  <c r="B6675" i="1"/>
  <c r="C6675" i="1"/>
  <c r="A11659" i="1"/>
  <c r="B11659" i="1"/>
  <c r="C11659" i="1"/>
  <c r="A5130" i="1"/>
  <c r="B5130" i="1"/>
  <c r="C5130" i="1"/>
  <c r="A1413" i="1"/>
  <c r="B1413" i="1"/>
  <c r="C1413" i="1"/>
  <c r="A1974" i="1"/>
  <c r="B1974" i="1"/>
  <c r="C1974" i="1"/>
  <c r="A6609" i="1"/>
  <c r="B6609" i="1"/>
  <c r="C6609" i="1"/>
  <c r="A12192" i="1"/>
  <c r="B12192" i="1"/>
  <c r="C12192" i="1"/>
  <c r="A1003" i="1"/>
  <c r="B1003" i="1"/>
  <c r="C1003" i="1"/>
  <c r="A7656" i="1"/>
  <c r="B7656" i="1"/>
  <c r="C7656" i="1"/>
  <c r="A5164" i="1"/>
  <c r="B5164" i="1"/>
  <c r="C5164" i="1"/>
  <c r="A4846" i="1"/>
  <c r="B4846" i="1"/>
  <c r="C4846" i="1"/>
  <c r="A4235" i="1"/>
  <c r="B4235" i="1"/>
  <c r="C4235" i="1"/>
  <c r="A2627" i="1"/>
  <c r="B2627" i="1"/>
  <c r="C2627" i="1"/>
  <c r="A714" i="1"/>
  <c r="B714" i="1"/>
  <c r="C714" i="1"/>
  <c r="A9683" i="1"/>
  <c r="B9683" i="1"/>
  <c r="C9683" i="1"/>
  <c r="A8838" i="1"/>
  <c r="B8838" i="1"/>
  <c r="C8838" i="1"/>
  <c r="A7862" i="1"/>
  <c r="B7862" i="1"/>
  <c r="C7862" i="1"/>
  <c r="A3833" i="1"/>
  <c r="B3833" i="1"/>
  <c r="C3833" i="1"/>
  <c r="A8937" i="1"/>
  <c r="B8937" i="1"/>
  <c r="C8937" i="1"/>
  <c r="A1354" i="1"/>
  <c r="B1354" i="1"/>
  <c r="C1354" i="1"/>
  <c r="A10154" i="1"/>
  <c r="B10154" i="1"/>
  <c r="C10154" i="1"/>
  <c r="A10392" i="1"/>
  <c r="B10392" i="1"/>
  <c r="C10392" i="1"/>
  <c r="A1815" i="1"/>
  <c r="B1815" i="1"/>
  <c r="C1815" i="1"/>
  <c r="A2980" i="1"/>
  <c r="B2980" i="1"/>
  <c r="C2980" i="1"/>
  <c r="A7557" i="1"/>
  <c r="B7557" i="1"/>
  <c r="C7557" i="1"/>
  <c r="A12991" i="1"/>
  <c r="B12991" i="1"/>
  <c r="C12991" i="1"/>
  <c r="A2783" i="1"/>
  <c r="B2783" i="1"/>
  <c r="C2783" i="1"/>
  <c r="A3417" i="1"/>
  <c r="B3417" i="1"/>
  <c r="C3417" i="1"/>
  <c r="A2451" i="1"/>
  <c r="B2451" i="1"/>
  <c r="C2451" i="1"/>
  <c r="A49" i="1"/>
  <c r="B49" i="1"/>
  <c r="C49" i="1"/>
  <c r="A13876" i="1"/>
  <c r="B13876" i="1"/>
  <c r="C13876" i="1"/>
  <c r="A4388" i="1"/>
  <c r="B4388" i="1"/>
  <c r="C4388" i="1"/>
  <c r="A9128" i="1"/>
  <c r="B9128" i="1"/>
  <c r="C9128" i="1"/>
  <c r="A1404" i="1"/>
  <c r="B1404" i="1"/>
  <c r="C1404" i="1"/>
  <c r="A3680" i="1"/>
  <c r="B3680" i="1"/>
  <c r="C3680" i="1"/>
  <c r="A6277" i="1"/>
  <c r="B6277" i="1"/>
  <c r="C6277" i="1"/>
  <c r="A12463" i="1"/>
  <c r="B12463" i="1"/>
  <c r="C12463" i="1"/>
  <c r="A3681" i="1"/>
  <c r="B3681" i="1"/>
  <c r="C3681" i="1"/>
  <c r="A6708" i="1"/>
  <c r="B6708" i="1"/>
  <c r="C6708" i="1"/>
  <c r="A8008" i="1"/>
  <c r="B8008" i="1"/>
  <c r="C8008" i="1"/>
  <c r="A13401" i="1"/>
  <c r="B13401" i="1"/>
  <c r="C13401" i="1"/>
  <c r="A12138" i="1"/>
  <c r="B12138" i="1"/>
  <c r="C12138" i="1"/>
  <c r="A3834" i="1"/>
  <c r="B3834" i="1"/>
  <c r="C3834" i="1"/>
  <c r="A7249" i="1"/>
  <c r="B7249" i="1"/>
  <c r="C7249" i="1"/>
  <c r="A6542" i="1"/>
  <c r="B6542" i="1"/>
  <c r="C6542" i="1"/>
  <c r="A737" i="1"/>
  <c r="B737" i="1"/>
  <c r="C737" i="1"/>
  <c r="A6925" i="1"/>
  <c r="B6925" i="1"/>
  <c r="C6925" i="1"/>
  <c r="A6640" i="1"/>
  <c r="B6640" i="1"/>
  <c r="C6640" i="1"/>
  <c r="A11525" i="1"/>
  <c r="B11525" i="1"/>
  <c r="C11525" i="1"/>
  <c r="A12265" i="1"/>
  <c r="B12265" i="1"/>
  <c r="C12265" i="1"/>
  <c r="A6210" i="1"/>
  <c r="B6210" i="1"/>
  <c r="C6210" i="1"/>
  <c r="A5877" i="1"/>
  <c r="B5877" i="1"/>
  <c r="C5877" i="1"/>
  <c r="A802" i="1"/>
  <c r="B802" i="1"/>
  <c r="C802" i="1"/>
  <c r="A12688" i="1"/>
  <c r="B12688" i="1"/>
  <c r="C12688" i="1"/>
  <c r="A11145" i="1"/>
  <c r="B11145" i="1"/>
  <c r="C11145" i="1"/>
  <c r="A3115" i="1"/>
  <c r="B3115" i="1"/>
  <c r="C3115" i="1"/>
  <c r="A12521" i="1"/>
  <c r="B12521" i="1"/>
  <c r="C12521" i="1"/>
  <c r="A2846" i="1"/>
  <c r="B2846" i="1"/>
  <c r="C2846" i="1"/>
  <c r="A993" i="1"/>
  <c r="B993" i="1"/>
  <c r="C993" i="1"/>
  <c r="A707" i="1"/>
  <c r="B707" i="1"/>
  <c r="C707" i="1"/>
  <c r="A11309" i="1"/>
  <c r="B11309" i="1"/>
  <c r="C11309" i="1"/>
  <c r="A4726" i="1"/>
  <c r="B4726" i="1"/>
  <c r="C4726" i="1"/>
  <c r="A12316" i="1"/>
  <c r="B12316" i="1"/>
  <c r="C12316" i="1"/>
  <c r="A12162" i="1"/>
  <c r="B12162" i="1"/>
  <c r="C12162" i="1"/>
  <c r="A302" i="1"/>
  <c r="B302" i="1"/>
  <c r="C302" i="1"/>
  <c r="A1887" i="1"/>
  <c r="B1887" i="1"/>
  <c r="C1887" i="1"/>
  <c r="A12596" i="1"/>
  <c r="B12596" i="1"/>
  <c r="C12596" i="1"/>
  <c r="A13593" i="1"/>
  <c r="B13593" i="1"/>
  <c r="C13593" i="1"/>
  <c r="A5307" i="1"/>
  <c r="B5307" i="1"/>
  <c r="C5307" i="1"/>
  <c r="A6590" i="1"/>
  <c r="B6590" i="1"/>
  <c r="C6590" i="1"/>
  <c r="A7014" i="1"/>
  <c r="B7014" i="1"/>
  <c r="C7014" i="1"/>
  <c r="A12722" i="1"/>
  <c r="B12722" i="1"/>
  <c r="C12722" i="1"/>
  <c r="A7086" i="1"/>
  <c r="B7086" i="1"/>
  <c r="C7086" i="1"/>
  <c r="A4333" i="1"/>
  <c r="B4333" i="1"/>
  <c r="C4333" i="1"/>
  <c r="A5401" i="1"/>
  <c r="B5401" i="1"/>
  <c r="C5401" i="1"/>
  <c r="A1910" i="1"/>
  <c r="B1910" i="1"/>
  <c r="C1910" i="1"/>
  <c r="A11075" i="1"/>
  <c r="B11075" i="1"/>
  <c r="C11075" i="1"/>
  <c r="A9207" i="1"/>
  <c r="B9207" i="1"/>
  <c r="C9207" i="1"/>
  <c r="A8495" i="1"/>
  <c r="B8495" i="1"/>
  <c r="C8495" i="1"/>
  <c r="A3104" i="1"/>
  <c r="B3104" i="1"/>
  <c r="C3104" i="1"/>
  <c r="A7853" i="1"/>
  <c r="B7853" i="1"/>
  <c r="C7853" i="1"/>
  <c r="A9318" i="1"/>
  <c r="B9318" i="1"/>
  <c r="C9318" i="1"/>
  <c r="A9319" i="1"/>
  <c r="B9319" i="1"/>
  <c r="C9319" i="1"/>
  <c r="A8674" i="1"/>
  <c r="B8674" i="1"/>
  <c r="C8674" i="1"/>
  <c r="A5532" i="1"/>
  <c r="B5532" i="1"/>
  <c r="C5532" i="1"/>
  <c r="A9379" i="1"/>
  <c r="B9379" i="1"/>
  <c r="C9379" i="1"/>
  <c r="A1708" i="1"/>
  <c r="B1708" i="1"/>
  <c r="C1708" i="1"/>
  <c r="A8321" i="1"/>
  <c r="B8321" i="1"/>
  <c r="C8321" i="1"/>
  <c r="A4115" i="1"/>
  <c r="B4115" i="1"/>
  <c r="C4115" i="1"/>
  <c r="A6507" i="1"/>
  <c r="B6507" i="1"/>
  <c r="C6507" i="1"/>
  <c r="A2168" i="1"/>
  <c r="B2168" i="1"/>
  <c r="C2168" i="1"/>
  <c r="A10818" i="1"/>
  <c r="B10818" i="1"/>
  <c r="C10818" i="1"/>
  <c r="A9513" i="1"/>
  <c r="B9513" i="1"/>
  <c r="C9513" i="1"/>
  <c r="A1730" i="1"/>
  <c r="B1730" i="1"/>
  <c r="C1730" i="1"/>
  <c r="A6438" i="1"/>
  <c r="B6438" i="1"/>
  <c r="C6438" i="1"/>
  <c r="A9982" i="1"/>
  <c r="B9982" i="1"/>
  <c r="C9982" i="1"/>
  <c r="A2979" i="1"/>
  <c r="B2979" i="1"/>
  <c r="C2979" i="1"/>
  <c r="A12847" i="1"/>
  <c r="B12847" i="1"/>
  <c r="C12847" i="1"/>
  <c r="A6689" i="1"/>
  <c r="B6689" i="1"/>
  <c r="C6689" i="1"/>
  <c r="A60" i="1"/>
  <c r="B60" i="1"/>
  <c r="C60" i="1"/>
  <c r="A13354" i="1"/>
  <c r="B13354" i="1"/>
  <c r="C13354" i="1"/>
  <c r="A5594" i="1"/>
  <c r="B5594" i="1"/>
  <c r="C5594" i="1"/>
  <c r="A13880" i="1"/>
  <c r="B13880" i="1"/>
  <c r="C13880" i="1"/>
  <c r="A7585" i="1"/>
  <c r="B7585" i="1"/>
  <c r="C7585" i="1"/>
  <c r="A3790" i="1"/>
  <c r="B3790" i="1"/>
  <c r="C3790" i="1"/>
  <c r="A6081" i="1"/>
  <c r="B6081" i="1"/>
  <c r="C6081" i="1"/>
  <c r="A5831" i="1"/>
  <c r="B5831" i="1"/>
  <c r="C5831" i="1"/>
  <c r="A1693" i="1"/>
  <c r="B1693" i="1"/>
  <c r="C1693" i="1"/>
  <c r="A5958" i="1"/>
  <c r="B5958" i="1"/>
  <c r="C5958" i="1"/>
  <c r="A8247" i="1"/>
  <c r="B8247" i="1"/>
  <c r="C8247" i="1"/>
  <c r="A398" i="1"/>
  <c r="B398" i="1"/>
  <c r="C398" i="1"/>
  <c r="A11915" i="1"/>
  <c r="B11915" i="1"/>
  <c r="C11915" i="1"/>
  <c r="A11916" i="1"/>
  <c r="B11916" i="1"/>
  <c r="C11916" i="1"/>
  <c r="A5727" i="1"/>
  <c r="B5727" i="1"/>
  <c r="C5727" i="1"/>
  <c r="A11664" i="1"/>
  <c r="B11664" i="1"/>
  <c r="C11664" i="1"/>
  <c r="A589" i="1"/>
  <c r="B589" i="1"/>
  <c r="C589" i="1"/>
  <c r="A12468" i="1"/>
  <c r="B12468" i="1"/>
  <c r="C12468" i="1"/>
  <c r="A7644" i="1"/>
  <c r="B7644" i="1"/>
  <c r="C7644" i="1"/>
  <c r="A9227" i="1"/>
  <c r="B9227" i="1"/>
  <c r="C9227" i="1"/>
  <c r="A1537" i="1"/>
  <c r="B1537" i="1"/>
  <c r="C1537" i="1"/>
  <c r="A7890" i="1"/>
  <c r="B7890" i="1"/>
  <c r="C7890" i="1"/>
  <c r="A9051" i="1"/>
  <c r="B9051" i="1"/>
  <c r="C9051" i="1"/>
  <c r="A4148" i="1"/>
  <c r="B4148" i="1"/>
  <c r="C4148" i="1"/>
  <c r="A3212" i="1"/>
  <c r="B3212" i="1"/>
  <c r="C3212" i="1"/>
  <c r="A10830" i="1"/>
  <c r="B10830" i="1"/>
  <c r="C10830" i="1"/>
  <c r="A824" i="1"/>
  <c r="B824" i="1"/>
  <c r="C824" i="1"/>
  <c r="A7736" i="1"/>
  <c r="B7736" i="1"/>
  <c r="C7736" i="1"/>
  <c r="A1743" i="1"/>
  <c r="B1743" i="1"/>
  <c r="C1743" i="1"/>
  <c r="A11333" i="1"/>
  <c r="B11333" i="1"/>
  <c r="C11333" i="1"/>
  <c r="A11852" i="1"/>
  <c r="B11852" i="1"/>
  <c r="C11852" i="1"/>
  <c r="A5884" i="1"/>
  <c r="B5884" i="1"/>
  <c r="C5884" i="1"/>
  <c r="A4584" i="1"/>
  <c r="B4584" i="1"/>
  <c r="C4584" i="1"/>
  <c r="A4056" i="1"/>
  <c r="B4056" i="1"/>
  <c r="C4056" i="1"/>
  <c r="A7650" i="1"/>
  <c r="B7650" i="1"/>
  <c r="C7650" i="1"/>
  <c r="A4387" i="1"/>
  <c r="B4387" i="1"/>
  <c r="C4387" i="1"/>
  <c r="A3494" i="1"/>
  <c r="B3494" i="1"/>
  <c r="C3494" i="1"/>
  <c r="A7772" i="1"/>
  <c r="B7772" i="1"/>
  <c r="C7772" i="1"/>
  <c r="A6454" i="1"/>
  <c r="B6454" i="1"/>
  <c r="C6454" i="1"/>
  <c r="A1649" i="1"/>
  <c r="B1649" i="1"/>
  <c r="C1649" i="1"/>
  <c r="A2141" i="1"/>
  <c r="B2141" i="1"/>
  <c r="C2141" i="1"/>
  <c r="A13331" i="1"/>
  <c r="B13331" i="1"/>
  <c r="C13331" i="1"/>
  <c r="A12811" i="1"/>
  <c r="B12811" i="1"/>
  <c r="C12811" i="1"/>
  <c r="A10173" i="1"/>
  <c r="B10173" i="1"/>
  <c r="C10173" i="1"/>
  <c r="A3301" i="1"/>
  <c r="B3301" i="1"/>
  <c r="C3301" i="1"/>
  <c r="A9030" i="1"/>
  <c r="B9030" i="1"/>
  <c r="C9030" i="1"/>
  <c r="A9287" i="1"/>
  <c r="B9287" i="1"/>
  <c r="C9287" i="1"/>
  <c r="A13167" i="1"/>
  <c r="B13167" i="1"/>
  <c r="C13167" i="1"/>
  <c r="A11053" i="1"/>
  <c r="B11053" i="1"/>
  <c r="C11053" i="1"/>
  <c r="A9389" i="1"/>
  <c r="B9389" i="1"/>
  <c r="C9389" i="1"/>
  <c r="A3007" i="1"/>
  <c r="B3007" i="1"/>
  <c r="C3007" i="1"/>
  <c r="A8640" i="1"/>
  <c r="B8640" i="1"/>
  <c r="C8640" i="1"/>
  <c r="A10488" i="1"/>
  <c r="B10488" i="1"/>
  <c r="C10488" i="1"/>
  <c r="A920" i="1"/>
  <c r="B920" i="1"/>
  <c r="C920" i="1"/>
  <c r="A11345" i="1"/>
  <c r="B11345" i="1"/>
  <c r="C11345" i="1"/>
  <c r="A4447" i="1"/>
  <c r="B4447" i="1"/>
  <c r="C4447" i="1"/>
  <c r="A3157" i="1"/>
  <c r="B3157" i="1"/>
  <c r="C3157" i="1"/>
  <c r="A11762" i="1"/>
  <c r="B11762" i="1"/>
  <c r="C11762" i="1"/>
  <c r="A5306" i="1"/>
  <c r="B5306" i="1"/>
  <c r="C5306" i="1"/>
  <c r="A8028" i="1"/>
  <c r="B8028" i="1"/>
  <c r="C8028" i="1"/>
  <c r="A8311" i="1"/>
  <c r="B8311" i="1"/>
  <c r="C8311" i="1"/>
  <c r="A448" i="1"/>
  <c r="B448" i="1"/>
  <c r="C448" i="1"/>
  <c r="A6286" i="1"/>
  <c r="B6286" i="1"/>
  <c r="C6286" i="1"/>
  <c r="A11816" i="1"/>
  <c r="B11816" i="1"/>
  <c r="C11816" i="1"/>
  <c r="A2366" i="1"/>
  <c r="B2366" i="1"/>
  <c r="C2366" i="1"/>
  <c r="A13418" i="1"/>
  <c r="B13418" i="1"/>
  <c r="C13418" i="1"/>
  <c r="A7782" i="1"/>
  <c r="B7782" i="1"/>
  <c r="C7782" i="1"/>
  <c r="A8617" i="1"/>
  <c r="B8617" i="1"/>
  <c r="C8617" i="1"/>
  <c r="A10770" i="1"/>
  <c r="B10770" i="1"/>
  <c r="C10770" i="1"/>
  <c r="A2570" i="1"/>
  <c r="B2570" i="1"/>
  <c r="C2570" i="1"/>
  <c r="A8160" i="1"/>
  <c r="B8160" i="1"/>
  <c r="C8160" i="1"/>
  <c r="A13484" i="1"/>
  <c r="B13484" i="1"/>
  <c r="C13484" i="1"/>
  <c r="A676" i="1"/>
  <c r="B676" i="1"/>
  <c r="C676" i="1"/>
  <c r="A3432" i="1"/>
  <c r="B3432" i="1"/>
  <c r="C3432" i="1"/>
  <c r="A7460" i="1"/>
  <c r="B7460" i="1"/>
  <c r="C7460" i="1"/>
  <c r="A11093" i="1"/>
  <c r="B11093" i="1"/>
  <c r="C11093" i="1"/>
  <c r="A7985" i="1"/>
  <c r="B7985" i="1"/>
  <c r="C7985" i="1"/>
  <c r="A5024" i="1"/>
  <c r="B5024" i="1"/>
  <c r="C5024" i="1"/>
  <c r="A3181" i="1"/>
  <c r="B3181" i="1"/>
  <c r="C3181" i="1"/>
  <c r="A9407" i="1"/>
  <c r="B9407" i="1"/>
  <c r="C9407" i="1"/>
  <c r="A9977" i="1"/>
  <c r="B9977" i="1"/>
  <c r="C9977" i="1"/>
  <c r="A9250" i="1"/>
  <c r="B9250" i="1"/>
  <c r="C9250" i="1"/>
  <c r="A10602" i="1"/>
  <c r="B10602" i="1"/>
  <c r="C10602" i="1"/>
  <c r="A8928" i="1"/>
  <c r="B8928" i="1"/>
  <c r="C8928" i="1"/>
  <c r="A13036" i="1"/>
  <c r="B13036" i="1"/>
  <c r="C13036" i="1"/>
  <c r="A6474" i="1"/>
  <c r="B6474" i="1"/>
  <c r="C6474" i="1"/>
  <c r="A13857" i="1"/>
  <c r="B13857" i="1"/>
  <c r="C13857" i="1"/>
  <c r="A2092" i="1"/>
  <c r="B2092" i="1"/>
  <c r="C2092" i="1"/>
  <c r="A453" i="1"/>
  <c r="B453" i="1"/>
  <c r="C453" i="1"/>
  <c r="A1861" i="1"/>
  <c r="B1861" i="1"/>
  <c r="C1861" i="1"/>
  <c r="A10528" i="1"/>
  <c r="B10528" i="1"/>
  <c r="C10528" i="1"/>
  <c r="A2213" i="1"/>
  <c r="B2213" i="1"/>
  <c r="C2213" i="1"/>
  <c r="A7997" i="1"/>
  <c r="B7997" i="1"/>
  <c r="C7997" i="1"/>
  <c r="A608" i="1"/>
  <c r="B608" i="1"/>
  <c r="C608" i="1"/>
  <c r="A1702" i="1"/>
  <c r="B1702" i="1"/>
  <c r="C1702" i="1"/>
  <c r="A9796" i="1"/>
  <c r="B9796" i="1"/>
  <c r="C9796" i="1"/>
  <c r="A5053" i="1"/>
  <c r="B5053" i="1"/>
  <c r="C5053" i="1"/>
  <c r="A1461" i="1"/>
  <c r="B1461" i="1"/>
  <c r="C1461" i="1"/>
  <c r="A2572" i="1"/>
  <c r="B2572" i="1"/>
  <c r="C2572" i="1"/>
  <c r="A12033" i="1"/>
  <c r="B12033" i="1"/>
  <c r="C12033" i="1"/>
  <c r="A4842" i="1"/>
  <c r="B4842" i="1"/>
  <c r="C4842" i="1"/>
  <c r="A7147" i="1"/>
  <c r="B7147" i="1"/>
  <c r="C7147" i="1"/>
  <c r="A9150" i="1"/>
  <c r="B9150" i="1"/>
  <c r="C9150" i="1"/>
  <c r="A86" i="1"/>
  <c r="B86" i="1"/>
  <c r="C86" i="1"/>
  <c r="A660" i="1"/>
  <c r="B660" i="1"/>
  <c r="C660" i="1"/>
  <c r="A2529" i="1"/>
  <c r="B2529" i="1"/>
  <c r="C2529" i="1"/>
  <c r="A2681" i="1"/>
  <c r="B2681" i="1"/>
  <c r="C2681" i="1"/>
  <c r="A12525" i="1"/>
  <c r="B12525" i="1"/>
  <c r="C12525" i="1"/>
  <c r="A10661" i="1"/>
  <c r="B10661" i="1"/>
  <c r="C10661" i="1"/>
  <c r="A11467" i="1"/>
  <c r="B11467" i="1"/>
  <c r="C11467" i="1"/>
  <c r="A2343" i="1"/>
  <c r="B2343" i="1"/>
  <c r="C2343" i="1"/>
  <c r="A2207" i="1"/>
  <c r="B2207" i="1"/>
  <c r="C2207" i="1"/>
  <c r="A12423" i="1"/>
  <c r="B12423" i="1"/>
  <c r="C12423" i="1"/>
  <c r="A6380" i="1"/>
  <c r="B6380" i="1"/>
  <c r="C6380" i="1"/>
  <c r="A6110" i="1"/>
  <c r="B6110" i="1"/>
  <c r="C6110" i="1"/>
  <c r="A5248" i="1"/>
  <c r="B5248" i="1"/>
  <c r="C5248" i="1"/>
  <c r="A12156" i="1"/>
  <c r="B12156" i="1"/>
  <c r="C12156" i="1"/>
  <c r="A4495" i="1"/>
  <c r="B4495" i="1"/>
  <c r="C4495" i="1"/>
  <c r="A10172" i="1"/>
  <c r="B10172" i="1"/>
  <c r="C10172" i="1"/>
  <c r="A9042" i="1"/>
  <c r="B9042" i="1"/>
  <c r="C9042" i="1"/>
  <c r="A10948" i="1"/>
  <c r="B10948" i="1"/>
  <c r="C10948" i="1"/>
  <c r="A7415" i="1"/>
  <c r="B7415" i="1"/>
  <c r="C7415" i="1"/>
  <c r="A10667" i="1"/>
  <c r="B10667" i="1"/>
  <c r="C10667" i="1"/>
  <c r="A10642" i="1"/>
  <c r="B10642" i="1"/>
  <c r="C10642" i="1"/>
  <c r="A7380" i="1"/>
  <c r="B7380" i="1"/>
  <c r="C7380" i="1"/>
  <c r="A2176" i="1"/>
  <c r="B2176" i="1"/>
  <c r="C2176" i="1"/>
  <c r="A11397" i="1"/>
  <c r="B11397" i="1"/>
  <c r="C11397" i="1"/>
  <c r="A11670" i="1"/>
  <c r="B11670" i="1"/>
  <c r="C11670" i="1"/>
  <c r="A10043" i="1"/>
  <c r="B10043" i="1"/>
  <c r="C10043" i="1"/>
  <c r="A12483" i="1"/>
  <c r="B12483" i="1"/>
  <c r="C12483" i="1"/>
  <c r="A6641" i="1"/>
  <c r="B6641" i="1"/>
  <c r="C6641" i="1"/>
  <c r="A7784" i="1"/>
  <c r="B7784" i="1"/>
  <c r="C7784" i="1"/>
  <c r="A1530" i="1"/>
  <c r="B1530" i="1"/>
  <c r="C1530" i="1"/>
  <c r="A1199" i="1"/>
  <c r="B1199" i="1"/>
  <c r="C1199" i="1"/>
  <c r="A6642" i="1"/>
  <c r="B6642" i="1"/>
  <c r="C6642" i="1"/>
  <c r="A2508" i="1"/>
  <c r="B2508" i="1"/>
  <c r="C2508" i="1"/>
  <c r="A2530" i="1"/>
  <c r="B2530" i="1"/>
  <c r="C2530" i="1"/>
  <c r="A1700" i="1"/>
  <c r="B1700" i="1"/>
  <c r="C1700" i="1"/>
  <c r="A10444" i="1"/>
  <c r="B10444" i="1"/>
  <c r="C10444" i="1"/>
  <c r="A8750" i="1"/>
  <c r="B8750" i="1"/>
  <c r="C8750" i="1"/>
  <c r="A12323" i="1"/>
  <c r="B12323" i="1"/>
  <c r="C12323" i="1"/>
  <c r="A13146" i="1"/>
  <c r="B13146" i="1"/>
  <c r="C13146" i="1"/>
  <c r="A2031" i="1"/>
  <c r="B2031" i="1"/>
  <c r="C2031" i="1"/>
  <c r="A11855" i="1"/>
  <c r="B11855" i="1"/>
  <c r="C11855" i="1"/>
  <c r="A12735" i="1"/>
  <c r="B12735" i="1"/>
  <c r="C12735" i="1"/>
  <c r="A3747" i="1"/>
  <c r="B3747" i="1"/>
  <c r="C3747" i="1"/>
  <c r="A4792" i="1"/>
  <c r="B4792" i="1"/>
  <c r="C4792" i="1"/>
  <c r="A1095" i="1"/>
  <c r="B1095" i="1"/>
  <c r="C1095" i="1"/>
  <c r="A11856" i="1"/>
  <c r="B11856" i="1"/>
  <c r="C11856" i="1"/>
  <c r="A1096" i="1"/>
  <c r="B1096" i="1"/>
  <c r="C1096" i="1"/>
  <c r="A9809" i="1"/>
  <c r="B9809" i="1"/>
  <c r="C9809" i="1"/>
  <c r="A219" i="1"/>
  <c r="B219" i="1"/>
  <c r="C219" i="1"/>
  <c r="A13171" i="1"/>
  <c r="B13171" i="1"/>
  <c r="C13171" i="1"/>
  <c r="A11800" i="1"/>
  <c r="B11800" i="1"/>
  <c r="C11800" i="1"/>
  <c r="A4701" i="1"/>
  <c r="B4701" i="1"/>
  <c r="C4701" i="1"/>
  <c r="A5786" i="1"/>
  <c r="B5786" i="1"/>
  <c r="C5786" i="1"/>
  <c r="A8783" i="1"/>
  <c r="B8783" i="1"/>
  <c r="C8783" i="1"/>
  <c r="A11259" i="1"/>
  <c r="B11259" i="1"/>
  <c r="C11259" i="1"/>
  <c r="A3061" i="1"/>
  <c r="B3061" i="1"/>
  <c r="C3061" i="1"/>
  <c r="A10593" i="1"/>
  <c r="B10593" i="1"/>
  <c r="C10593" i="1"/>
  <c r="A6478" i="1"/>
  <c r="B6478" i="1"/>
  <c r="C6478" i="1"/>
  <c r="A11103" i="1"/>
  <c r="B11103" i="1"/>
  <c r="C11103" i="1"/>
  <c r="A8722" i="1"/>
  <c r="B8722" i="1"/>
  <c r="C8722" i="1"/>
  <c r="A1672" i="1"/>
  <c r="B1672" i="1"/>
  <c r="C1672" i="1"/>
  <c r="A10178" i="1"/>
  <c r="B10178" i="1"/>
  <c r="C10178" i="1"/>
  <c r="A1183" i="1"/>
  <c r="B1183" i="1"/>
  <c r="C1183" i="1"/>
  <c r="A8675" i="1"/>
  <c r="B8675" i="1"/>
  <c r="C8675" i="1"/>
  <c r="A2756" i="1"/>
  <c r="B2756" i="1"/>
  <c r="C2756" i="1"/>
  <c r="A13432" i="1"/>
  <c r="B13432" i="1"/>
  <c r="C13432" i="1"/>
  <c r="A12097" i="1"/>
  <c r="B12097" i="1"/>
  <c r="C12097" i="1"/>
  <c r="A13455" i="1"/>
  <c r="B13455" i="1"/>
  <c r="C13455" i="1"/>
  <c r="A1162" i="1"/>
  <c r="B1162" i="1"/>
  <c r="C1162" i="1"/>
  <c r="A8056" i="1"/>
  <c r="B8056" i="1"/>
  <c r="C8056" i="1"/>
  <c r="A2464" i="1"/>
  <c r="B2464" i="1"/>
  <c r="C2464" i="1"/>
  <c r="A5110" i="1"/>
  <c r="B5110" i="1"/>
  <c r="C5110" i="1"/>
  <c r="A12250" i="1"/>
  <c r="B12250" i="1"/>
  <c r="C12250" i="1"/>
  <c r="A5416" i="1"/>
  <c r="B5416" i="1"/>
  <c r="C5416" i="1"/>
  <c r="A8713" i="1"/>
  <c r="B8713" i="1"/>
  <c r="C8713" i="1"/>
  <c r="A5701" i="1"/>
  <c r="B5701" i="1"/>
  <c r="C5701" i="1"/>
  <c r="A13546" i="1"/>
  <c r="B13546" i="1"/>
  <c r="C13546" i="1"/>
  <c r="A12799" i="1"/>
  <c r="B12799" i="1"/>
  <c r="C12799" i="1"/>
  <c r="A12762" i="1"/>
  <c r="B12762" i="1"/>
  <c r="C12762" i="1"/>
  <c r="A13772" i="1"/>
  <c r="B13772" i="1"/>
  <c r="C13772" i="1"/>
  <c r="A184" i="1"/>
  <c r="B184" i="1"/>
  <c r="C184" i="1"/>
  <c r="A5608" i="1"/>
  <c r="B5608" i="1"/>
  <c r="C5608" i="1"/>
  <c r="A6205" i="1"/>
  <c r="B6205" i="1"/>
  <c r="C6205" i="1"/>
  <c r="A7660" i="1"/>
  <c r="B7660" i="1"/>
  <c r="C7660" i="1"/>
  <c r="A4661" i="1"/>
  <c r="B4661" i="1"/>
  <c r="C4661" i="1"/>
  <c r="A3232" i="1"/>
  <c r="B3232" i="1"/>
  <c r="C3232" i="1"/>
  <c r="A12299" i="1"/>
  <c r="B12299" i="1"/>
  <c r="C12299" i="1"/>
  <c r="A4832" i="1"/>
  <c r="B4832" i="1"/>
  <c r="C4832" i="1"/>
  <c r="A2527" i="1"/>
  <c r="B2527" i="1"/>
  <c r="C2527" i="1"/>
  <c r="A13553" i="1"/>
  <c r="B13553" i="1"/>
  <c r="C13553" i="1"/>
  <c r="A9882" i="1"/>
  <c r="B9882" i="1"/>
  <c r="C9882" i="1"/>
  <c r="A10112" i="1"/>
  <c r="B10112" i="1"/>
  <c r="C10112" i="1"/>
  <c r="A4826" i="1"/>
  <c r="B4826" i="1"/>
  <c r="C4826" i="1"/>
  <c r="A13296" i="1"/>
  <c r="B13296" i="1"/>
  <c r="C13296" i="1"/>
  <c r="A10118" i="1"/>
  <c r="B10118" i="1"/>
  <c r="C10118" i="1"/>
  <c r="A351" i="1"/>
  <c r="B351" i="1"/>
  <c r="C351" i="1"/>
  <c r="A1451" i="1"/>
  <c r="B1451" i="1"/>
  <c r="C1451" i="1"/>
  <c r="A1247" i="1"/>
  <c r="B1247" i="1"/>
  <c r="C1247" i="1"/>
  <c r="A1277" i="1"/>
  <c r="B1277" i="1"/>
  <c r="C1277" i="1"/>
  <c r="A1845" i="1"/>
  <c r="B1845" i="1"/>
  <c r="C1845" i="1"/>
  <c r="A3903" i="1"/>
  <c r="B3903" i="1"/>
  <c r="C3903" i="1"/>
  <c r="A12379" i="1"/>
  <c r="B12379" i="1"/>
  <c r="C12379" i="1"/>
  <c r="A13551" i="1"/>
  <c r="B13551" i="1"/>
  <c r="C13551" i="1"/>
  <c r="A9173" i="1"/>
  <c r="B9173" i="1"/>
  <c r="C9173" i="1"/>
  <c r="A10738" i="1"/>
  <c r="B10738" i="1"/>
  <c r="C10738" i="1"/>
  <c r="A1452" i="1"/>
  <c r="B1452" i="1"/>
  <c r="C1452" i="1"/>
  <c r="A9920" i="1"/>
  <c r="B9920" i="1"/>
  <c r="C9920" i="1"/>
  <c r="A9174" i="1"/>
  <c r="B9174" i="1"/>
  <c r="C9174" i="1"/>
  <c r="A4359" i="1"/>
  <c r="B4359" i="1"/>
  <c r="C4359" i="1"/>
  <c r="A13526" i="1"/>
  <c r="B13526" i="1"/>
  <c r="C13526" i="1"/>
  <c r="A11268" i="1"/>
  <c r="B11268" i="1"/>
  <c r="C11268" i="1"/>
  <c r="A12615" i="1"/>
  <c r="B12615" i="1"/>
  <c r="C12615" i="1"/>
  <c r="A7796" i="1"/>
  <c r="B7796" i="1"/>
  <c r="C7796" i="1"/>
  <c r="A10316" i="1"/>
  <c r="B10316" i="1"/>
  <c r="C10316" i="1"/>
  <c r="A10257" i="1"/>
  <c r="B10257" i="1"/>
  <c r="C10257" i="1"/>
  <c r="A11693" i="1"/>
  <c r="B11693" i="1"/>
  <c r="C11693" i="1"/>
  <c r="A8004" i="1"/>
  <c r="B8004" i="1"/>
  <c r="C8004" i="1"/>
  <c r="A5385" i="1"/>
  <c r="B5385" i="1"/>
  <c r="C5385" i="1"/>
  <c r="A9510" i="1"/>
  <c r="B9510" i="1"/>
  <c r="C9510" i="1"/>
  <c r="A2884" i="1"/>
  <c r="B2884" i="1"/>
  <c r="C2884" i="1"/>
  <c r="A9783" i="1"/>
  <c r="B9783" i="1"/>
  <c r="C9783" i="1"/>
  <c r="A13680" i="1"/>
  <c r="B13680" i="1"/>
  <c r="C13680" i="1"/>
  <c r="A467" i="1"/>
  <c r="B467" i="1"/>
  <c r="C467" i="1"/>
  <c r="A11154" i="1"/>
  <c r="B11154" i="1"/>
  <c r="C11154" i="1"/>
  <c r="A12157" i="1"/>
  <c r="B12157" i="1"/>
  <c r="C12157" i="1"/>
  <c r="A4444" i="1"/>
  <c r="B4444" i="1"/>
  <c r="C4444" i="1"/>
  <c r="A4733" i="1"/>
  <c r="B4733" i="1"/>
  <c r="C4733" i="1"/>
  <c r="A2987" i="1"/>
  <c r="B2987" i="1"/>
  <c r="C2987" i="1"/>
  <c r="A1770" i="1"/>
  <c r="B1770" i="1"/>
  <c r="C1770" i="1"/>
  <c r="A5777" i="1"/>
  <c r="B5777" i="1"/>
  <c r="C5777" i="1"/>
  <c r="A1008" i="1"/>
  <c r="B1008" i="1"/>
  <c r="C1008" i="1"/>
  <c r="A8901" i="1"/>
  <c r="B8901" i="1"/>
  <c r="C8901" i="1"/>
  <c r="A6329" i="1"/>
  <c r="B6329" i="1"/>
  <c r="C6329" i="1"/>
  <c r="A3778" i="1"/>
  <c r="B3778" i="1"/>
  <c r="C3778" i="1"/>
  <c r="A1317" i="1"/>
  <c r="B1317" i="1"/>
  <c r="C1317" i="1"/>
  <c r="A6826" i="1"/>
  <c r="B6826" i="1"/>
  <c r="C6826" i="1"/>
  <c r="A3551" i="1"/>
  <c r="B3551" i="1"/>
  <c r="C3551" i="1"/>
  <c r="A3898" i="1"/>
  <c r="B3898" i="1"/>
  <c r="C3898" i="1"/>
  <c r="A6740" i="1"/>
  <c r="B6740" i="1"/>
  <c r="C6740" i="1"/>
  <c r="A2197" i="1"/>
  <c r="B2197" i="1"/>
  <c r="C2197" i="1"/>
  <c r="A10525" i="1"/>
  <c r="B10525" i="1"/>
  <c r="C10525" i="1"/>
  <c r="A10779" i="1"/>
  <c r="B10779" i="1"/>
  <c r="C10779" i="1"/>
  <c r="A7194" i="1"/>
  <c r="B7194" i="1"/>
  <c r="C7194" i="1"/>
  <c r="A8762" i="1"/>
  <c r="B8762" i="1"/>
  <c r="C8762" i="1"/>
  <c r="A13460" i="1"/>
  <c r="B13460" i="1"/>
  <c r="C13460" i="1"/>
  <c r="A4432" i="1"/>
  <c r="B4432" i="1"/>
  <c r="C4432" i="1"/>
  <c r="A9775" i="1"/>
  <c r="B9775" i="1"/>
  <c r="C9775" i="1"/>
  <c r="A13892" i="1"/>
  <c r="B13892" i="1"/>
  <c r="C13892" i="1"/>
  <c r="A797" i="1"/>
  <c r="B797" i="1"/>
  <c r="C797" i="1"/>
  <c r="A1468" i="1"/>
  <c r="B1468" i="1"/>
  <c r="C1468" i="1"/>
  <c r="A12510" i="1"/>
  <c r="B12510" i="1"/>
  <c r="C12510" i="1"/>
  <c r="A9115" i="1"/>
  <c r="B9115" i="1"/>
  <c r="C9115" i="1"/>
  <c r="A201" i="1"/>
  <c r="B201" i="1"/>
  <c r="C201" i="1"/>
  <c r="A1851" i="1"/>
  <c r="B1851" i="1"/>
  <c r="C1851" i="1"/>
  <c r="A5745" i="1"/>
  <c r="B5745" i="1"/>
  <c r="C5745" i="1"/>
  <c r="A13877" i="1"/>
  <c r="B13877" i="1"/>
  <c r="C13877" i="1"/>
  <c r="A8272" i="1"/>
  <c r="B8272" i="1"/>
  <c r="C8272" i="1"/>
  <c r="A8861" i="1"/>
  <c r="B8861" i="1"/>
  <c r="C8861" i="1"/>
  <c r="A5698" i="1"/>
  <c r="B5698" i="1"/>
  <c r="C5698" i="1"/>
  <c r="A352" i="1"/>
  <c r="B352" i="1"/>
  <c r="C352" i="1"/>
  <c r="A2606" i="1"/>
  <c r="B2606" i="1"/>
  <c r="C2606" i="1"/>
  <c r="A5555" i="1"/>
  <c r="B5555" i="1"/>
  <c r="C5555" i="1"/>
  <c r="A1902" i="1"/>
  <c r="B1902" i="1"/>
  <c r="C1902" i="1"/>
  <c r="A11330" i="1"/>
  <c r="B11330" i="1"/>
  <c r="C11330" i="1"/>
  <c r="A12973" i="1"/>
  <c r="B12973" i="1"/>
  <c r="C12973" i="1"/>
  <c r="A3873" i="1"/>
  <c r="B3873" i="1"/>
  <c r="C3873" i="1"/>
  <c r="A2607" i="1"/>
  <c r="B2607" i="1"/>
  <c r="C2607" i="1"/>
  <c r="A13348" i="1"/>
  <c r="B13348" i="1"/>
  <c r="C13348" i="1"/>
  <c r="A6025" i="1"/>
  <c r="B6025" i="1"/>
  <c r="C6025" i="1"/>
  <c r="A3453" i="1"/>
  <c r="B3453" i="1"/>
  <c r="C3453" i="1"/>
  <c r="A4727" i="1"/>
  <c r="B4727" i="1"/>
  <c r="C4727" i="1"/>
  <c r="A12539" i="1"/>
  <c r="B12539" i="1"/>
  <c r="C12539" i="1"/>
  <c r="A1541" i="1"/>
  <c r="B1541" i="1"/>
  <c r="C1541" i="1"/>
  <c r="A6932" i="1"/>
  <c r="B6932" i="1"/>
  <c r="C6932" i="1"/>
  <c r="A3535" i="1"/>
  <c r="B3535" i="1"/>
  <c r="C3535" i="1"/>
  <c r="A7801" i="1"/>
  <c r="B7801" i="1"/>
  <c r="C7801" i="1"/>
  <c r="A11531" i="1"/>
  <c r="B11531" i="1"/>
  <c r="C11531" i="1"/>
  <c r="A12355" i="1"/>
  <c r="B12355" i="1"/>
  <c r="C12355" i="1"/>
  <c r="A12356" i="1"/>
  <c r="B12356" i="1"/>
  <c r="C12356" i="1"/>
  <c r="A2484" i="1"/>
  <c r="B2484" i="1"/>
  <c r="C2484" i="1"/>
  <c r="A8142" i="1"/>
  <c r="B8142" i="1"/>
  <c r="C8142" i="1"/>
  <c r="A11495" i="1"/>
  <c r="B11495" i="1"/>
  <c r="C11495" i="1"/>
  <c r="A12380" i="1"/>
  <c r="B12380" i="1"/>
  <c r="C12380" i="1"/>
  <c r="A1859" i="1"/>
  <c r="B1859" i="1"/>
  <c r="C1859" i="1"/>
  <c r="A6352" i="1"/>
  <c r="B6352" i="1"/>
  <c r="C6352" i="1"/>
  <c r="A2537" i="1"/>
  <c r="B2537" i="1"/>
  <c r="C2537" i="1"/>
  <c r="A11704" i="1"/>
  <c r="B11704" i="1"/>
  <c r="C11704" i="1"/>
  <c r="A10968" i="1"/>
  <c r="B10968" i="1"/>
  <c r="C10968" i="1"/>
  <c r="A13407" i="1"/>
  <c r="B13407" i="1"/>
  <c r="C13407" i="1"/>
  <c r="A11004" i="1"/>
  <c r="B11004" i="1"/>
  <c r="C11004" i="1"/>
  <c r="A12127" i="1"/>
  <c r="B12127" i="1"/>
  <c r="C12127" i="1"/>
  <c r="A1478" i="1"/>
  <c r="B1478" i="1"/>
  <c r="C1478" i="1"/>
  <c r="A11015" i="1"/>
  <c r="B11015" i="1"/>
  <c r="C11015" i="1"/>
  <c r="A9644" i="1"/>
  <c r="B9644" i="1"/>
  <c r="C9644" i="1"/>
  <c r="A10169" i="1"/>
  <c r="B10169" i="1"/>
  <c r="C10169" i="1"/>
  <c r="A6469" i="1"/>
  <c r="B6469" i="1"/>
  <c r="C6469" i="1"/>
  <c r="A1508" i="1"/>
  <c r="B1508" i="1"/>
  <c r="C1508" i="1"/>
  <c r="A2626" i="1"/>
  <c r="B2626" i="1"/>
  <c r="C2626" i="1"/>
  <c r="A4363" i="1"/>
  <c r="B4363" i="1"/>
  <c r="C4363" i="1"/>
  <c r="A6968" i="1"/>
  <c r="B6968" i="1"/>
  <c r="C6968" i="1"/>
  <c r="A13376" i="1"/>
  <c r="B13376" i="1"/>
  <c r="C13376" i="1"/>
  <c r="A4728" i="1"/>
  <c r="B4728" i="1"/>
  <c r="C4728" i="1"/>
  <c r="A436" i="1"/>
  <c r="B436" i="1"/>
  <c r="C436" i="1"/>
  <c r="A13292" i="1"/>
  <c r="B13292" i="1"/>
  <c r="C13292" i="1"/>
  <c r="A710" i="1"/>
  <c r="B710" i="1"/>
  <c r="C710" i="1"/>
  <c r="A6856" i="1"/>
  <c r="B6856" i="1"/>
  <c r="C6856" i="1"/>
  <c r="A13187" i="1"/>
  <c r="B13187" i="1"/>
  <c r="C13187" i="1"/>
  <c r="A12800" i="1"/>
  <c r="B12800" i="1"/>
  <c r="C12800" i="1"/>
  <c r="A353" i="1"/>
  <c r="B353" i="1"/>
  <c r="C353" i="1"/>
  <c r="A12429" i="1"/>
  <c r="B12429" i="1"/>
  <c r="C12429" i="1"/>
  <c r="A7131" i="1"/>
  <c r="B7131" i="1"/>
  <c r="C7131" i="1"/>
  <c r="A2676" i="1"/>
  <c r="B2676" i="1"/>
  <c r="C2676" i="1"/>
  <c r="A7822" i="1"/>
  <c r="B7822" i="1"/>
  <c r="C7822" i="1"/>
  <c r="A4658" i="1"/>
  <c r="B4658" i="1"/>
  <c r="C4658" i="1"/>
  <c r="A10314" i="1"/>
  <c r="B10314" i="1"/>
  <c r="C10314" i="1"/>
  <c r="A13258" i="1"/>
  <c r="B13258" i="1"/>
  <c r="C13258" i="1"/>
  <c r="A11016" i="1"/>
  <c r="B11016" i="1"/>
  <c r="C11016" i="1"/>
  <c r="A9360" i="1"/>
  <c r="B9360" i="1"/>
  <c r="C9360" i="1"/>
  <c r="A5714" i="1"/>
  <c r="B5714" i="1"/>
  <c r="C5714" i="1"/>
  <c r="A5175" i="1"/>
  <c r="B5175" i="1"/>
  <c r="C5175" i="1"/>
  <c r="A8159" i="1"/>
  <c r="B8159" i="1"/>
  <c r="C8159" i="1"/>
  <c r="A9054" i="1"/>
  <c r="B9054" i="1"/>
  <c r="C9054" i="1"/>
  <c r="A11123" i="1"/>
  <c r="B11123" i="1"/>
  <c r="C11123" i="1"/>
  <c r="A12790" i="1"/>
  <c r="B12790" i="1"/>
  <c r="C12790" i="1"/>
  <c r="A10359" i="1"/>
  <c r="B10359" i="1"/>
  <c r="C10359" i="1"/>
  <c r="A6986" i="1"/>
  <c r="B6986" i="1"/>
  <c r="C6986" i="1"/>
  <c r="A4967" i="1"/>
  <c r="B4967" i="1"/>
  <c r="C4967" i="1"/>
  <c r="A6146" i="1"/>
  <c r="B6146" i="1"/>
  <c r="C6146" i="1"/>
  <c r="A11805" i="1"/>
  <c r="B11805" i="1"/>
  <c r="C11805" i="1"/>
  <c r="A2829" i="1"/>
  <c r="B2829" i="1"/>
  <c r="C2829" i="1"/>
  <c r="A6377" i="1"/>
  <c r="B6377" i="1"/>
  <c r="C6377" i="1"/>
  <c r="A2781" i="1"/>
  <c r="B2781" i="1"/>
  <c r="C2781" i="1"/>
  <c r="A10181" i="1"/>
  <c r="B10181" i="1"/>
  <c r="C10181" i="1"/>
  <c r="A11178" i="1"/>
  <c r="B11178" i="1"/>
  <c r="C11178" i="1"/>
  <c r="A4435" i="1"/>
  <c r="B4435" i="1"/>
  <c r="C4435" i="1"/>
  <c r="A5249" i="1"/>
  <c r="B5249" i="1"/>
  <c r="C5249" i="1"/>
  <c r="A10563" i="1"/>
  <c r="B10563" i="1"/>
  <c r="C10563" i="1"/>
  <c r="A4773" i="1"/>
  <c r="B4773" i="1"/>
  <c r="C4773" i="1"/>
  <c r="A7706" i="1"/>
  <c r="B7706" i="1"/>
  <c r="C7706" i="1"/>
  <c r="A10866" i="1"/>
  <c r="B10866" i="1"/>
  <c r="C10866" i="1"/>
  <c r="A12756" i="1"/>
  <c r="B12756" i="1"/>
  <c r="C12756" i="1"/>
  <c r="A10014" i="1"/>
  <c r="B10014" i="1"/>
  <c r="C10014" i="1"/>
  <c r="A1542" i="1"/>
  <c r="B1542" i="1"/>
  <c r="C1542" i="1"/>
  <c r="A12086" i="1"/>
  <c r="B12086" i="1"/>
  <c r="C12086" i="1"/>
  <c r="A1286" i="1"/>
  <c r="B1286" i="1"/>
  <c r="C1286" i="1"/>
  <c r="A6387" i="1"/>
  <c r="B6387" i="1"/>
  <c r="C6387" i="1"/>
  <c r="A8176" i="1"/>
  <c r="B8176" i="1"/>
  <c r="C8176" i="1"/>
  <c r="A6948" i="1"/>
  <c r="B6948" i="1"/>
  <c r="C6948" i="1"/>
  <c r="A4600" i="1"/>
  <c r="B4600" i="1"/>
  <c r="C4600" i="1"/>
  <c r="A8758" i="1"/>
  <c r="B8758" i="1"/>
  <c r="C8758" i="1"/>
  <c r="A6225" i="1"/>
  <c r="B6225" i="1"/>
  <c r="C6225" i="1"/>
  <c r="A6823" i="1"/>
  <c r="B6823" i="1"/>
  <c r="C6823" i="1"/>
  <c r="A11685" i="1"/>
  <c r="B11685" i="1"/>
  <c r="C11685" i="1"/>
  <c r="A11516" i="1"/>
  <c r="B11516" i="1"/>
  <c r="C11516" i="1"/>
  <c r="A10898" i="1"/>
  <c r="B10898" i="1"/>
  <c r="C10898" i="1"/>
  <c r="A8307" i="1"/>
  <c r="B8307" i="1"/>
  <c r="C8307" i="1"/>
  <c r="A11672" i="1"/>
  <c r="B11672" i="1"/>
  <c r="C11672" i="1"/>
  <c r="A7178" i="1"/>
  <c r="B7178" i="1"/>
  <c r="C7178" i="1"/>
  <c r="A4870" i="1"/>
  <c r="B4870" i="1"/>
  <c r="C4870" i="1"/>
  <c r="A1601" i="1"/>
  <c r="B1601" i="1"/>
  <c r="C1601" i="1"/>
  <c r="A9909" i="1"/>
  <c r="B9909" i="1"/>
  <c r="C9909" i="1"/>
  <c r="A3098" i="1"/>
  <c r="B3098" i="1"/>
  <c r="C3098" i="1"/>
  <c r="A9645" i="1"/>
  <c r="B9645" i="1"/>
  <c r="C9645" i="1"/>
  <c r="A13496" i="1"/>
  <c r="B13496" i="1"/>
  <c r="C13496" i="1"/>
  <c r="A8376" i="1"/>
  <c r="B8376" i="1"/>
  <c r="C8376" i="1"/>
  <c r="A12723" i="1"/>
  <c r="B12723" i="1"/>
  <c r="C12723" i="1"/>
  <c r="A1602" i="1"/>
  <c r="B1602" i="1"/>
  <c r="C1602" i="1"/>
  <c r="A2988" i="1"/>
  <c r="B2988" i="1"/>
  <c r="C2988" i="1"/>
  <c r="A13088" i="1"/>
  <c r="B13088" i="1"/>
  <c r="C13088" i="1"/>
  <c r="A6197" i="1"/>
  <c r="B6197" i="1"/>
  <c r="C6197" i="1"/>
  <c r="A775" i="1"/>
  <c r="B775" i="1"/>
  <c r="C775" i="1"/>
  <c r="A4938" i="1"/>
  <c r="B4938" i="1"/>
  <c r="C4938" i="1"/>
  <c r="A1467" i="1"/>
  <c r="B1467" i="1"/>
  <c r="C1467" i="1"/>
  <c r="A13742" i="1"/>
  <c r="B13742" i="1"/>
  <c r="C13742" i="1"/>
  <c r="A12819" i="1"/>
  <c r="B12819" i="1"/>
  <c r="C12819" i="1"/>
  <c r="A10302" i="1"/>
  <c r="B10302" i="1"/>
  <c r="C10302" i="1"/>
  <c r="A6534" i="1"/>
  <c r="B6534" i="1"/>
  <c r="C6534" i="1"/>
  <c r="A2471" i="1"/>
  <c r="B2471" i="1"/>
  <c r="C2471" i="1"/>
  <c r="A1287" i="1"/>
  <c r="B1287" i="1"/>
  <c r="C1287" i="1"/>
  <c r="A6898" i="1"/>
  <c r="B6898" i="1"/>
  <c r="C6898" i="1"/>
  <c r="A1192" i="1"/>
  <c r="B1192" i="1"/>
  <c r="C1192" i="1"/>
  <c r="A2051" i="1"/>
  <c r="B2051" i="1"/>
  <c r="C2051" i="1"/>
  <c r="A10318" i="1"/>
  <c r="B10318" i="1"/>
  <c r="C10318" i="1"/>
  <c r="A7154" i="1"/>
  <c r="B7154" i="1"/>
  <c r="C7154" i="1"/>
  <c r="A12163" i="1"/>
  <c r="B12163" i="1"/>
  <c r="C12163" i="1"/>
  <c r="A10094" i="1"/>
  <c r="B10094" i="1"/>
  <c r="C10094" i="1"/>
  <c r="A12585" i="1"/>
  <c r="B12585" i="1"/>
  <c r="C12585" i="1"/>
  <c r="A11490" i="1"/>
  <c r="B11490" i="1"/>
  <c r="C11490" i="1"/>
  <c r="A9719" i="1"/>
  <c r="B9719" i="1"/>
  <c r="C9719" i="1"/>
  <c r="A878" i="1"/>
  <c r="B878" i="1"/>
  <c r="C878" i="1"/>
  <c r="A13583" i="1"/>
  <c r="B13583" i="1"/>
  <c r="C13583" i="1"/>
  <c r="A11573" i="1"/>
  <c r="B11573" i="1"/>
  <c r="C11573" i="1"/>
  <c r="A5681" i="1"/>
  <c r="B5681" i="1"/>
  <c r="C5681" i="1"/>
  <c r="A9763" i="1"/>
  <c r="B9763" i="1"/>
  <c r="C9763" i="1"/>
  <c r="A7728" i="1"/>
  <c r="B7728" i="1"/>
  <c r="C7728" i="1"/>
  <c r="A9240" i="1"/>
  <c r="B9240" i="1"/>
  <c r="C9240" i="1"/>
  <c r="A8248" i="1"/>
  <c r="B8248" i="1"/>
  <c r="C8248" i="1"/>
  <c r="A12030" i="1"/>
  <c r="B12030" i="1"/>
  <c r="C12030" i="1"/>
  <c r="A4892" i="1"/>
  <c r="B4892" i="1"/>
  <c r="C4892" i="1"/>
  <c r="A8613" i="1"/>
  <c r="B8613" i="1"/>
  <c r="C8613" i="1"/>
  <c r="A2233" i="1"/>
  <c r="B2233" i="1"/>
  <c r="C2233" i="1"/>
  <c r="A10115" i="1"/>
  <c r="B10115" i="1"/>
  <c r="C10115" i="1"/>
  <c r="A7446" i="1"/>
  <c r="B7446" i="1"/>
  <c r="C7446" i="1"/>
  <c r="A4185" i="1"/>
  <c r="B4185" i="1"/>
  <c r="C4185" i="1"/>
  <c r="A3696" i="1"/>
  <c r="B3696" i="1"/>
  <c r="C3696" i="1"/>
  <c r="A7284" i="1"/>
  <c r="B7284" i="1"/>
  <c r="C7284" i="1"/>
  <c r="A10152" i="1"/>
  <c r="B10152" i="1"/>
  <c r="C10152" i="1"/>
  <c r="A3430" i="1"/>
  <c r="B3430" i="1"/>
  <c r="C3430" i="1"/>
  <c r="A6175" i="1"/>
  <c r="B6175" i="1"/>
  <c r="C6175" i="1"/>
  <c r="A8057" i="1"/>
  <c r="B8057" i="1"/>
  <c r="C8057" i="1"/>
  <c r="A13840" i="1"/>
  <c r="B13840" i="1"/>
  <c r="C13840" i="1"/>
  <c r="A7667" i="1"/>
  <c r="B7667" i="1"/>
  <c r="C7667" i="1"/>
  <c r="A9720" i="1"/>
  <c r="B9720" i="1"/>
  <c r="C9720" i="1"/>
  <c r="A659" i="1"/>
  <c r="B659" i="1"/>
  <c r="C659" i="1"/>
  <c r="A773" i="1"/>
  <c r="B773" i="1"/>
  <c r="C773" i="1"/>
  <c r="A11381" i="1"/>
  <c r="B11381" i="1"/>
  <c r="C11381" i="1"/>
  <c r="A1161" i="1"/>
  <c r="B1161" i="1"/>
  <c r="C1161" i="1"/>
  <c r="A8088" i="1"/>
  <c r="B8088" i="1"/>
  <c r="C8088" i="1"/>
  <c r="A955" i="1"/>
  <c r="B955" i="1"/>
  <c r="C955" i="1"/>
  <c r="A592" i="1"/>
  <c r="B592" i="1"/>
  <c r="C592" i="1"/>
  <c r="A7354" i="1"/>
  <c r="B7354" i="1"/>
  <c r="C7354" i="1"/>
  <c r="A7834" i="1"/>
  <c r="B7834" i="1"/>
  <c r="C7834" i="1"/>
  <c r="A13203" i="1"/>
  <c r="B13203" i="1"/>
  <c r="C13203" i="1"/>
  <c r="A4465" i="1"/>
  <c r="B4465" i="1"/>
  <c r="C4465" i="1"/>
  <c r="A967" i="1"/>
  <c r="B967" i="1"/>
  <c r="C967" i="1"/>
  <c r="A5126" i="1"/>
  <c r="B5126" i="1"/>
  <c r="C5126" i="1"/>
  <c r="A12591" i="1"/>
  <c r="B12591" i="1"/>
  <c r="C12591" i="1"/>
  <c r="A7406" i="1"/>
  <c r="B7406" i="1"/>
  <c r="C7406" i="1"/>
  <c r="A13893" i="1"/>
  <c r="B13893" i="1"/>
  <c r="C13893" i="1"/>
  <c r="A8789" i="1"/>
  <c r="B8789" i="1"/>
  <c r="C8789" i="1"/>
  <c r="A10687" i="1"/>
  <c r="B10687" i="1"/>
  <c r="C10687" i="1"/>
  <c r="A5011" i="1"/>
  <c r="B5011" i="1"/>
  <c r="C5011" i="1"/>
  <c r="A4339" i="1"/>
  <c r="B4339" i="1"/>
  <c r="C4339" i="1"/>
  <c r="A10835" i="1"/>
  <c r="B10835" i="1"/>
  <c r="C10835" i="1"/>
  <c r="A1620" i="1"/>
  <c r="B1620" i="1"/>
  <c r="C1620" i="1"/>
  <c r="A4091" i="1"/>
  <c r="B4091" i="1"/>
  <c r="C4091" i="1"/>
  <c r="A4280" i="1"/>
  <c r="B4280" i="1"/>
  <c r="C4280" i="1"/>
  <c r="A2330" i="1"/>
  <c r="B2330" i="1"/>
  <c r="C2330" i="1"/>
  <c r="A1939" i="1"/>
  <c r="B1939" i="1"/>
  <c r="C1939" i="1"/>
  <c r="A5299" i="1"/>
  <c r="B5299" i="1"/>
  <c r="C5299" i="1"/>
  <c r="A6152" i="1"/>
  <c r="B6152" i="1"/>
  <c r="C6152" i="1"/>
  <c r="A4845" i="1"/>
  <c r="B4845" i="1"/>
  <c r="C4845" i="1"/>
  <c r="A1505" i="1"/>
  <c r="B1505" i="1"/>
  <c r="C1505" i="1"/>
  <c r="A8731" i="1"/>
  <c r="B8731" i="1"/>
  <c r="C8731" i="1"/>
  <c r="A6535" i="1"/>
  <c r="B6535" i="1"/>
  <c r="C6535" i="1"/>
  <c r="A6501" i="1"/>
  <c r="B6501" i="1"/>
  <c r="C6501" i="1"/>
  <c r="A10662" i="1"/>
  <c r="B10662" i="1"/>
  <c r="C10662" i="1"/>
  <c r="A3572" i="1"/>
  <c r="B3572" i="1"/>
  <c r="C3572" i="1"/>
  <c r="A2362" i="1"/>
  <c r="B2362" i="1"/>
  <c r="C2362" i="1"/>
  <c r="A61" i="1"/>
  <c r="B61" i="1"/>
  <c r="C61" i="1"/>
  <c r="A3746" i="1"/>
  <c r="B3746" i="1"/>
  <c r="C3746" i="1"/>
  <c r="A10333" i="1"/>
  <c r="B10333" i="1"/>
  <c r="C10333" i="1"/>
  <c r="A7183" i="1"/>
  <c r="B7183" i="1"/>
  <c r="C7183" i="1"/>
  <c r="A4105" i="1"/>
  <c r="B4105" i="1"/>
  <c r="C4105" i="1"/>
  <c r="A8214" i="1"/>
  <c r="B8214" i="1"/>
  <c r="C8214" i="1"/>
  <c r="A10645" i="1"/>
  <c r="B10645" i="1"/>
  <c r="C10645" i="1"/>
  <c r="A2499" i="1"/>
  <c r="B2499" i="1"/>
  <c r="C2499" i="1"/>
  <c r="A11574" i="1"/>
  <c r="B11574" i="1"/>
  <c r="C11574" i="1"/>
  <c r="A81" i="1"/>
  <c r="B81" i="1"/>
  <c r="C81" i="1"/>
  <c r="A9320" i="1"/>
  <c r="B9320" i="1"/>
  <c r="C9320" i="1"/>
  <c r="A9321" i="1"/>
  <c r="B9321" i="1"/>
  <c r="C9321" i="1"/>
  <c r="A1996" i="1"/>
  <c r="B1996" i="1"/>
  <c r="C1996" i="1"/>
  <c r="A8976" i="1"/>
  <c r="B8976" i="1"/>
  <c r="C8976" i="1"/>
  <c r="A11398" i="1"/>
  <c r="B11398" i="1"/>
  <c r="C11398" i="1"/>
  <c r="A1492" i="1"/>
  <c r="B1492" i="1"/>
  <c r="C1492" i="1"/>
  <c r="A13656" i="1"/>
  <c r="B13656" i="1"/>
  <c r="C13656" i="1"/>
  <c r="A9281" i="1"/>
  <c r="B9281" i="1"/>
  <c r="C9281" i="1"/>
  <c r="A6013" i="1"/>
  <c r="B6013" i="1"/>
  <c r="C6013" i="1"/>
  <c r="A116" i="1"/>
  <c r="B116" i="1"/>
  <c r="C116" i="1"/>
  <c r="A855" i="1"/>
  <c r="B855" i="1"/>
  <c r="C855" i="1"/>
  <c r="A4640" i="1"/>
  <c r="B4640" i="1"/>
  <c r="C4640" i="1"/>
  <c r="A5887" i="1"/>
  <c r="B5887" i="1"/>
  <c r="C5887" i="1"/>
  <c r="A3024" i="1"/>
  <c r="B3024" i="1"/>
  <c r="C3024" i="1"/>
  <c r="A2453" i="1"/>
  <c r="B2453" i="1"/>
  <c r="C2453" i="1"/>
  <c r="A341" i="1"/>
  <c r="B341" i="1"/>
  <c r="C341" i="1"/>
  <c r="A5918" i="1"/>
  <c r="B5918" i="1"/>
  <c r="C5918" i="1"/>
  <c r="A10947" i="1"/>
  <c r="B10947" i="1"/>
  <c r="C10947" i="1"/>
  <c r="A5991" i="1"/>
  <c r="B5991" i="1"/>
  <c r="C5991" i="1"/>
  <c r="A7285" i="1"/>
  <c r="B7285" i="1"/>
  <c r="C7285" i="1"/>
  <c r="A3123" i="1"/>
  <c r="B3123" i="1"/>
  <c r="C3123" i="1"/>
  <c r="A12583" i="1"/>
  <c r="B12583" i="1"/>
  <c r="C12583" i="1"/>
  <c r="A7268" i="1"/>
  <c r="B7268" i="1"/>
  <c r="C7268" i="1"/>
  <c r="A481" i="1"/>
  <c r="B481" i="1"/>
  <c r="C481" i="1"/>
  <c r="A1856" i="1"/>
  <c r="B1856" i="1"/>
  <c r="C1856" i="1"/>
  <c r="A8207" i="1"/>
  <c r="B8207" i="1"/>
  <c r="C8207" i="1"/>
  <c r="A5427" i="1"/>
  <c r="B5427" i="1"/>
  <c r="C5427" i="1"/>
  <c r="A13651" i="1"/>
  <c r="B13651" i="1"/>
  <c r="C13651" i="1"/>
  <c r="A9098" i="1"/>
  <c r="B9098" i="1"/>
  <c r="C9098" i="1"/>
  <c r="A7195" i="1"/>
  <c r="B7195" i="1"/>
  <c r="C7195" i="1"/>
  <c r="A8344" i="1"/>
  <c r="B8344" i="1"/>
  <c r="C8344" i="1"/>
  <c r="A10128" i="1"/>
  <c r="B10128" i="1"/>
  <c r="C10128" i="1"/>
  <c r="A4336" i="1"/>
  <c r="B4336" i="1"/>
  <c r="C4336" i="1"/>
  <c r="A4077" i="1"/>
  <c r="B4077" i="1"/>
  <c r="C4077" i="1"/>
  <c r="A13689" i="1"/>
  <c r="B13689" i="1"/>
  <c r="C13689" i="1"/>
  <c r="A2359" i="1"/>
  <c r="B2359" i="1"/>
  <c r="C2359" i="1"/>
  <c r="A2134" i="1"/>
  <c r="B2134" i="1"/>
  <c r="C2134" i="1"/>
  <c r="A2424" i="1"/>
  <c r="B2424" i="1"/>
  <c r="C2424" i="1"/>
  <c r="A4320" i="1"/>
  <c r="B4320" i="1"/>
  <c r="C4320" i="1"/>
  <c r="A1106" i="1"/>
  <c r="B1106" i="1"/>
  <c r="C1106" i="1"/>
  <c r="A4054" i="1"/>
  <c r="B4054" i="1"/>
  <c r="C4054" i="1"/>
  <c r="A11231" i="1"/>
  <c r="B11231" i="1"/>
  <c r="C11231" i="1"/>
  <c r="A3345" i="1"/>
  <c r="B3345" i="1"/>
  <c r="C3345" i="1"/>
  <c r="A2563" i="1"/>
  <c r="B2563" i="1"/>
  <c r="C2563" i="1"/>
  <c r="A8075" i="1"/>
  <c r="B8075" i="1"/>
  <c r="C8075" i="1"/>
  <c r="A13282" i="1"/>
  <c r="B13282" i="1"/>
  <c r="C13282" i="1"/>
  <c r="A10993" i="1"/>
  <c r="B10993" i="1"/>
  <c r="C10993" i="1"/>
  <c r="A7003" i="1"/>
  <c r="B7003" i="1"/>
  <c r="C7003" i="1"/>
  <c r="A8932" i="1"/>
  <c r="B8932" i="1"/>
  <c r="C8932" i="1"/>
  <c r="A2797" i="1"/>
  <c r="B2797" i="1"/>
  <c r="C2797" i="1"/>
  <c r="A4825" i="1"/>
  <c r="B4825" i="1"/>
  <c r="C4825" i="1"/>
  <c r="A11851" i="1"/>
  <c r="B11851" i="1"/>
  <c r="C11851" i="1"/>
  <c r="A8665" i="1"/>
  <c r="B8665" i="1"/>
  <c r="C8665" i="1"/>
  <c r="A650" i="1"/>
  <c r="B650" i="1"/>
  <c r="C650" i="1"/>
  <c r="A11932" i="1"/>
  <c r="B11932" i="1"/>
  <c r="C11932" i="1"/>
  <c r="A13748" i="1"/>
  <c r="B13748" i="1"/>
  <c r="C13748" i="1"/>
  <c r="A1356" i="1"/>
  <c r="B1356" i="1"/>
  <c r="C1356" i="1"/>
  <c r="A13580" i="1"/>
  <c r="B13580" i="1"/>
  <c r="C13580" i="1"/>
  <c r="A11341" i="1"/>
  <c r="B11341" i="1"/>
  <c r="C11341" i="1"/>
  <c r="A3779" i="1"/>
  <c r="B3779" i="1"/>
  <c r="C3779" i="1"/>
  <c r="A3110" i="1"/>
  <c r="B3110" i="1"/>
  <c r="C3110" i="1"/>
  <c r="A13092" i="1"/>
  <c r="B13092" i="1"/>
  <c r="C13092" i="1"/>
  <c r="A1342" i="1"/>
  <c r="B1342" i="1"/>
  <c r="C1342" i="1"/>
  <c r="A10522" i="1"/>
  <c r="B10522" i="1"/>
  <c r="C10522" i="1"/>
  <c r="A6910" i="1"/>
  <c r="B6910" i="1"/>
  <c r="C6910" i="1"/>
  <c r="A11673" i="1"/>
  <c r="B11673" i="1"/>
  <c r="C11673" i="1"/>
  <c r="A6680" i="1"/>
  <c r="B6680" i="1"/>
  <c r="C6680" i="1"/>
  <c r="A8375" i="1"/>
  <c r="B8375" i="1"/>
  <c r="C8375" i="1"/>
  <c r="A8680" i="1"/>
  <c r="B8680" i="1"/>
  <c r="C8680" i="1"/>
  <c r="A1281" i="1"/>
  <c r="B1281" i="1"/>
  <c r="C1281" i="1"/>
  <c r="A12801" i="1"/>
  <c r="B12801" i="1"/>
  <c r="C12801" i="1"/>
  <c r="A2408" i="1"/>
  <c r="B2408" i="1"/>
  <c r="C2408" i="1"/>
  <c r="A7259" i="1"/>
  <c r="B7259" i="1"/>
  <c r="C7259" i="1"/>
  <c r="A10849" i="1"/>
  <c r="B10849" i="1"/>
  <c r="C10849" i="1"/>
  <c r="A753" i="1"/>
  <c r="B753" i="1"/>
  <c r="C753" i="1"/>
  <c r="A750" i="1"/>
  <c r="B750" i="1"/>
  <c r="C750" i="1"/>
  <c r="A10298" i="1"/>
  <c r="B10298" i="1"/>
  <c r="C10298" i="1"/>
  <c r="A154" i="1"/>
  <c r="B154" i="1"/>
  <c r="C154" i="1"/>
  <c r="A8121" i="1"/>
  <c r="B8121" i="1"/>
  <c r="C8121" i="1"/>
  <c r="A12838" i="1"/>
  <c r="B12838" i="1"/>
  <c r="C12838" i="1"/>
  <c r="A6646" i="1"/>
  <c r="B6646" i="1"/>
  <c r="C6646" i="1"/>
  <c r="A10069" i="1"/>
  <c r="B10069" i="1"/>
  <c r="C10069" i="1"/>
  <c r="A12559" i="1"/>
  <c r="B12559" i="1"/>
  <c r="C12559" i="1"/>
  <c r="A4681" i="1"/>
  <c r="B4681" i="1"/>
  <c r="C4681" i="1"/>
  <c r="A5203" i="1"/>
  <c r="B5203" i="1"/>
  <c r="C5203" i="1"/>
  <c r="A11930" i="1"/>
  <c r="B11930" i="1"/>
  <c r="C11930" i="1"/>
  <c r="A7681" i="1"/>
  <c r="B7681" i="1"/>
  <c r="C7681" i="1"/>
  <c r="A3806" i="1"/>
  <c r="B3806" i="1"/>
  <c r="C3806" i="1"/>
  <c r="A3622" i="1"/>
  <c r="B3622" i="1"/>
  <c r="C3622" i="1"/>
  <c r="A1538" i="1"/>
  <c r="B1538" i="1"/>
  <c r="C1538" i="1"/>
  <c r="A1462" i="1"/>
  <c r="B1462" i="1"/>
  <c r="C1462" i="1"/>
  <c r="A13422" i="1"/>
  <c r="B13422" i="1"/>
  <c r="C13422" i="1"/>
  <c r="A3632" i="1"/>
  <c r="B3632" i="1"/>
  <c r="C3632" i="1"/>
  <c r="A8203" i="1"/>
  <c r="B8203" i="1"/>
  <c r="C8203" i="1"/>
  <c r="A5590" i="1"/>
  <c r="B5590" i="1"/>
  <c r="C5590" i="1"/>
  <c r="A6212" i="1"/>
  <c r="B6212" i="1"/>
  <c r="C6212" i="1"/>
  <c r="A8525" i="1"/>
  <c r="B8525" i="1"/>
  <c r="C8525" i="1"/>
  <c r="A248" i="1"/>
  <c r="B248" i="1"/>
  <c r="C248" i="1"/>
  <c r="A9309" i="1"/>
  <c r="B9309" i="1"/>
  <c r="C9309" i="1"/>
  <c r="A2882" i="1"/>
  <c r="B2882" i="1"/>
  <c r="C2882" i="1"/>
  <c r="A10132" i="1"/>
  <c r="B10132" i="1"/>
  <c r="C10132" i="1"/>
  <c r="A8701" i="1"/>
  <c r="B8701" i="1"/>
  <c r="C8701" i="1"/>
  <c r="A5528" i="1"/>
  <c r="B5528" i="1"/>
  <c r="C5528" i="1"/>
  <c r="A9007" i="1"/>
  <c r="B9007" i="1"/>
  <c r="C9007" i="1"/>
  <c r="A5316" i="1"/>
  <c r="B5316" i="1"/>
  <c r="C5316" i="1"/>
  <c r="A1527" i="1"/>
  <c r="B1527" i="1"/>
  <c r="C1527" i="1"/>
  <c r="A897" i="1"/>
  <c r="B897" i="1"/>
  <c r="C897" i="1"/>
  <c r="A109" i="1"/>
  <c r="B109" i="1"/>
  <c r="C109" i="1"/>
  <c r="A11369" i="1"/>
  <c r="B11369" i="1"/>
  <c r="C11369" i="1"/>
  <c r="A13201" i="1"/>
  <c r="B13201" i="1"/>
  <c r="C13201" i="1"/>
  <c r="A7208" i="1"/>
  <c r="B7208" i="1"/>
  <c r="C7208" i="1"/>
  <c r="A3483" i="1"/>
  <c r="B3483" i="1"/>
  <c r="C3483" i="1"/>
  <c r="A9484" i="1"/>
  <c r="B9484" i="1"/>
  <c r="C9484" i="1"/>
  <c r="A3268" i="1"/>
  <c r="B3268" i="1"/>
  <c r="C3268" i="1"/>
  <c r="A1489" i="1"/>
  <c r="B1489" i="1"/>
  <c r="C1489" i="1"/>
  <c r="A6694" i="1"/>
  <c r="B6694" i="1"/>
  <c r="C6694" i="1"/>
  <c r="A9153" i="1"/>
  <c r="B9153" i="1"/>
  <c r="C9153" i="1"/>
  <c r="A12322" i="1"/>
  <c r="B12322" i="1"/>
  <c r="C12322" i="1"/>
  <c r="A7686" i="1"/>
  <c r="B7686" i="1"/>
  <c r="C7686" i="1"/>
  <c r="A11241" i="1"/>
  <c r="B11241" i="1"/>
  <c r="C11241" i="1"/>
  <c r="A12580" i="1"/>
  <c r="B12580" i="1"/>
  <c r="C12580" i="1"/>
  <c r="A9914" i="1"/>
  <c r="B9914" i="1"/>
  <c r="C9914" i="1"/>
  <c r="A5684" i="1"/>
  <c r="B5684" i="1"/>
  <c r="C5684" i="1"/>
  <c r="A4887" i="1"/>
  <c r="B4887" i="1"/>
  <c r="C4887" i="1"/>
  <c r="A8994" i="1"/>
  <c r="B8994" i="1"/>
  <c r="C8994" i="1"/>
  <c r="A185" i="1"/>
  <c r="B185" i="1"/>
  <c r="C185" i="1"/>
  <c r="A11359" i="1"/>
  <c r="B11359" i="1"/>
  <c r="C11359" i="1"/>
  <c r="A8138" i="1"/>
  <c r="B8138" i="1"/>
  <c r="C8138" i="1"/>
  <c r="A1590" i="1"/>
  <c r="B1590" i="1"/>
  <c r="C1590" i="1"/>
  <c r="A5144" i="1"/>
  <c r="B5144" i="1"/>
  <c r="C5144" i="1"/>
  <c r="A3395" i="1"/>
  <c r="B3395" i="1"/>
  <c r="C3395" i="1"/>
  <c r="A9584" i="1"/>
  <c r="B9584" i="1"/>
  <c r="C9584" i="1"/>
  <c r="A5183" i="1"/>
  <c r="B5183" i="1"/>
  <c r="C5183" i="1"/>
  <c r="A569" i="1"/>
  <c r="B569" i="1"/>
  <c r="C569" i="1"/>
  <c r="A5421" i="1"/>
  <c r="B5421" i="1"/>
  <c r="C5421" i="1"/>
  <c r="A482" i="1"/>
  <c r="B482" i="1"/>
  <c r="C482" i="1"/>
  <c r="A13677" i="1"/>
  <c r="B13677" i="1"/>
  <c r="C13677" i="1"/>
  <c r="A483" i="1"/>
  <c r="B483" i="1"/>
  <c r="C483" i="1"/>
  <c r="A5497" i="1"/>
  <c r="B5497" i="1"/>
  <c r="C5497" i="1"/>
  <c r="A10098" i="1"/>
  <c r="B10098" i="1"/>
  <c r="C10098" i="1"/>
  <c r="A5004" i="1"/>
  <c r="B5004" i="1"/>
  <c r="C5004" i="1"/>
  <c r="A8991" i="1"/>
  <c r="B8991" i="1"/>
  <c r="C8991" i="1"/>
  <c r="A2465" i="1"/>
  <c r="B2465" i="1"/>
  <c r="C2465" i="1"/>
  <c r="A10895" i="1"/>
  <c r="B10895" i="1"/>
  <c r="C10895" i="1"/>
  <c r="A10896" i="1"/>
  <c r="B10896" i="1"/>
  <c r="C10896" i="1"/>
  <c r="A11758" i="1"/>
  <c r="B11758" i="1"/>
  <c r="C11758" i="1"/>
  <c r="A11370" i="1"/>
  <c r="B11370" i="1"/>
  <c r="C11370" i="1"/>
  <c r="A669" i="1"/>
  <c r="B669" i="1"/>
  <c r="C669" i="1"/>
  <c r="A7734" i="1"/>
  <c r="B7734" i="1"/>
  <c r="C7734" i="1"/>
  <c r="A13549" i="1"/>
  <c r="B13549" i="1"/>
  <c r="C13549" i="1"/>
  <c r="A6437" i="1"/>
  <c r="B6437" i="1"/>
  <c r="C6437" i="1"/>
  <c r="A10536" i="1"/>
  <c r="B10536" i="1"/>
  <c r="C10536" i="1"/>
  <c r="A5526" i="1"/>
  <c r="B5526" i="1"/>
  <c r="C5526" i="1"/>
  <c r="A6238" i="1"/>
  <c r="B6238" i="1"/>
  <c r="C6238" i="1"/>
  <c r="A12049" i="1"/>
  <c r="B12049" i="1"/>
  <c r="C12049" i="1"/>
  <c r="A2074" i="1"/>
  <c r="B2074" i="1"/>
  <c r="C2074" i="1"/>
  <c r="A12197" i="1"/>
  <c r="B12197" i="1"/>
  <c r="C12197" i="1"/>
  <c r="A6997" i="1"/>
  <c r="B6997" i="1"/>
  <c r="C6997" i="1"/>
  <c r="A4617" i="1"/>
  <c r="B4617" i="1"/>
  <c r="C4617" i="1"/>
  <c r="A119" i="1"/>
  <c r="B119" i="1"/>
  <c r="C119" i="1"/>
  <c r="A2348" i="1"/>
  <c r="B2348" i="1"/>
  <c r="C2348" i="1"/>
  <c r="A10305" i="1"/>
  <c r="B10305" i="1"/>
  <c r="C10305" i="1"/>
  <c r="A4996" i="1"/>
  <c r="B4996" i="1"/>
  <c r="C4996" i="1"/>
  <c r="A1628" i="1"/>
  <c r="B1628" i="1"/>
  <c r="C1628" i="1"/>
  <c r="A13176" i="1"/>
  <c r="B13176" i="1"/>
  <c r="C13176" i="1"/>
  <c r="A597" i="1"/>
  <c r="B597" i="1"/>
  <c r="C597" i="1"/>
  <c r="A1012" i="1"/>
  <c r="B1012" i="1"/>
  <c r="C1012" i="1"/>
  <c r="A735" i="1"/>
  <c r="B735" i="1"/>
  <c r="C735" i="1"/>
  <c r="A10861" i="1"/>
  <c r="B10861" i="1"/>
  <c r="C10861" i="1"/>
  <c r="A9226" i="1"/>
  <c r="B9226" i="1"/>
  <c r="C9226" i="1"/>
  <c r="A8882" i="1"/>
  <c r="B8882" i="1"/>
  <c r="C8882" i="1"/>
  <c r="A6151" i="1"/>
  <c r="B6151" i="1"/>
  <c r="C6151" i="1"/>
  <c r="A5707" i="1"/>
  <c r="B5707" i="1"/>
  <c r="C5707" i="1"/>
  <c r="A484" i="1"/>
  <c r="B484" i="1"/>
  <c r="C484" i="1"/>
  <c r="A485" i="1"/>
  <c r="B485" i="1"/>
  <c r="C485" i="1"/>
  <c r="A2121" i="1"/>
  <c r="B2121" i="1"/>
  <c r="C2121" i="1"/>
  <c r="A13435" i="1"/>
  <c r="B13435" i="1"/>
  <c r="C13435" i="1"/>
  <c r="A1682" i="1"/>
  <c r="B1682" i="1"/>
  <c r="C1682" i="1"/>
  <c r="A6062" i="1"/>
  <c r="B6062" i="1"/>
  <c r="C6062" i="1"/>
  <c r="A10445" i="1"/>
  <c r="B10445" i="1"/>
  <c r="C10445" i="1"/>
  <c r="A13291" i="1"/>
  <c r="B13291" i="1"/>
  <c r="C13291" i="1"/>
  <c r="A556" i="1"/>
  <c r="B556" i="1"/>
  <c r="C556" i="1"/>
  <c r="A12974" i="1"/>
  <c r="B12974" i="1"/>
  <c r="C12974" i="1"/>
  <c r="A5865" i="1"/>
  <c r="B5865" i="1"/>
  <c r="C5865" i="1"/>
  <c r="A11759" i="1"/>
  <c r="B11759" i="1"/>
  <c r="C11759" i="1"/>
  <c r="A10411" i="1"/>
  <c r="B10411" i="1"/>
  <c r="C10411" i="1"/>
  <c r="A10483" i="1"/>
  <c r="B10483" i="1"/>
  <c r="C10483" i="1"/>
  <c r="A12798" i="1"/>
  <c r="B12798" i="1"/>
  <c r="C12798" i="1"/>
  <c r="A11130" i="1"/>
  <c r="B11130" i="1"/>
  <c r="C11130" i="1"/>
  <c r="A8968" i="1"/>
  <c r="B8968" i="1"/>
  <c r="C8968" i="1"/>
  <c r="A6440" i="1"/>
  <c r="B6440" i="1"/>
  <c r="C6440" i="1"/>
  <c r="A5901" i="1"/>
  <c r="B5901" i="1"/>
  <c r="C5901" i="1"/>
  <c r="A6366" i="1"/>
  <c r="B6366" i="1"/>
  <c r="C6366" i="1"/>
  <c r="A3127" i="1"/>
  <c r="B3127" i="1"/>
  <c r="C3127" i="1"/>
  <c r="A11592" i="1"/>
  <c r="B11592" i="1"/>
  <c r="C11592" i="1"/>
  <c r="A9154" i="1"/>
  <c r="B9154" i="1"/>
  <c r="C9154" i="1"/>
  <c r="A4823" i="1"/>
  <c r="B4823" i="1"/>
  <c r="C4823" i="1"/>
  <c r="A11900" i="1"/>
  <c r="B11900" i="1"/>
  <c r="C11900" i="1"/>
  <c r="A9076" i="1"/>
  <c r="B9076" i="1"/>
  <c r="C9076" i="1"/>
  <c r="A4580" i="1"/>
  <c r="B4580" i="1"/>
  <c r="C4580" i="1"/>
  <c r="A8621" i="1"/>
  <c r="B8621" i="1"/>
  <c r="C8621" i="1"/>
  <c r="A4178" i="1"/>
  <c r="B4178" i="1"/>
  <c r="C4178" i="1"/>
  <c r="A4137" i="1"/>
  <c r="B4137" i="1"/>
  <c r="C4137" i="1"/>
  <c r="A9262" i="1"/>
  <c r="B9262" i="1"/>
  <c r="C9262" i="1"/>
  <c r="A6580" i="1"/>
  <c r="B6580" i="1"/>
  <c r="C6580" i="1"/>
  <c r="A6220" i="1"/>
  <c r="B6220" i="1"/>
  <c r="C6220" i="1"/>
  <c r="A9305" i="1"/>
  <c r="B9305" i="1"/>
  <c r="C9305" i="1"/>
  <c r="A12988" i="1"/>
  <c r="B12988" i="1"/>
  <c r="C12988" i="1"/>
  <c r="A10777" i="1"/>
  <c r="B10777" i="1"/>
  <c r="C10777" i="1"/>
  <c r="A2057" i="1"/>
  <c r="B2057" i="1"/>
  <c r="C2057" i="1"/>
  <c r="A7994" i="1"/>
  <c r="B7994" i="1"/>
  <c r="C7994" i="1"/>
  <c r="A10794" i="1"/>
  <c r="B10794" i="1"/>
  <c r="C10794" i="1"/>
  <c r="A5337" i="1"/>
  <c r="B5337" i="1"/>
  <c r="C5337" i="1"/>
  <c r="A8690" i="1"/>
  <c r="B8690" i="1"/>
  <c r="C8690" i="1"/>
  <c r="A5653" i="1"/>
  <c r="B5653" i="1"/>
  <c r="C5653" i="1"/>
  <c r="A9615" i="1"/>
  <c r="B9615" i="1"/>
  <c r="C9615" i="1"/>
  <c r="A9504" i="1"/>
  <c r="B9504" i="1"/>
  <c r="C9504" i="1"/>
  <c r="A8339" i="1"/>
  <c r="B8339" i="1"/>
  <c r="C8339" i="1"/>
  <c r="A9516" i="1"/>
  <c r="B9516" i="1"/>
  <c r="C9516" i="1"/>
  <c r="A3881" i="1"/>
  <c r="B3881" i="1"/>
  <c r="C3881" i="1"/>
  <c r="A8393" i="1"/>
  <c r="B8393" i="1"/>
  <c r="C8393" i="1"/>
  <c r="A5751" i="1"/>
  <c r="B5751" i="1"/>
  <c r="C5751" i="1"/>
  <c r="A5346" i="1"/>
  <c r="B5346" i="1"/>
  <c r="C5346" i="1"/>
  <c r="A13841" i="1"/>
  <c r="B13841" i="1"/>
  <c r="C13841" i="1"/>
  <c r="A12572" i="1"/>
  <c r="B12572" i="1"/>
  <c r="C12572" i="1"/>
  <c r="A4214" i="1"/>
  <c r="B4214" i="1"/>
  <c r="C4214" i="1"/>
  <c r="A12573" i="1"/>
  <c r="B12573" i="1"/>
  <c r="C12573" i="1"/>
  <c r="A326" i="1"/>
  <c r="B326" i="1"/>
  <c r="C326" i="1"/>
  <c r="A12696" i="1"/>
  <c r="B12696" i="1"/>
  <c r="C12696" i="1"/>
  <c r="A7" i="1"/>
  <c r="B7" i="1"/>
  <c r="C7" i="1"/>
  <c r="A11736" i="1"/>
  <c r="B11736" i="1"/>
  <c r="C11736" i="1"/>
  <c r="A6768" i="1"/>
  <c r="B6768" i="1"/>
  <c r="C6768" i="1"/>
  <c r="A5530" i="1"/>
  <c r="B5530" i="1"/>
  <c r="C5530" i="1"/>
  <c r="A1822" i="1"/>
  <c r="B1822" i="1"/>
  <c r="C1822" i="1"/>
  <c r="A7918" i="1"/>
  <c r="B7918" i="1"/>
  <c r="C7918" i="1"/>
  <c r="A7543" i="1"/>
  <c r="B7543" i="1"/>
  <c r="C7543" i="1"/>
  <c r="A5673" i="1"/>
  <c r="B5673" i="1"/>
  <c r="C5673" i="1"/>
  <c r="A5229" i="1"/>
  <c r="B5229" i="1"/>
  <c r="C5229" i="1"/>
  <c r="A5480" i="1"/>
  <c r="B5480" i="1"/>
  <c r="C5480" i="1"/>
  <c r="A10900" i="1"/>
  <c r="B10900" i="1"/>
  <c r="C10900" i="1"/>
  <c r="A2177" i="1"/>
  <c r="B2177" i="1"/>
  <c r="C2177" i="1"/>
  <c r="A530" i="1"/>
  <c r="B530" i="1"/>
  <c r="C530" i="1"/>
  <c r="A8191" i="1"/>
  <c r="B8191" i="1"/>
  <c r="C8191" i="1"/>
  <c r="A471" i="1"/>
  <c r="B471" i="1"/>
  <c r="C471" i="1"/>
  <c r="A2847" i="1"/>
  <c r="B2847" i="1"/>
  <c r="C2847" i="1"/>
  <c r="A4562" i="1"/>
  <c r="B4562" i="1"/>
  <c r="C4562" i="1"/>
  <c r="A603" i="1"/>
  <c r="B603" i="1"/>
  <c r="C603" i="1"/>
  <c r="A4650" i="1"/>
  <c r="B4650" i="1"/>
  <c r="C4650" i="1"/>
  <c r="A10884" i="1"/>
  <c r="B10884" i="1"/>
  <c r="C10884" i="1"/>
  <c r="A8632" i="1"/>
  <c r="B8632" i="1"/>
  <c r="C8632" i="1"/>
  <c r="A8409" i="1"/>
  <c r="B8409" i="1"/>
  <c r="C8409" i="1"/>
  <c r="A7466" i="1"/>
  <c r="B7466" i="1"/>
  <c r="C7466" i="1"/>
  <c r="A6798" i="1"/>
  <c r="B6798" i="1"/>
  <c r="C6798" i="1"/>
  <c r="A9517" i="1"/>
  <c r="B9517" i="1"/>
  <c r="C9517" i="1"/>
  <c r="A10126" i="1"/>
  <c r="B10126" i="1"/>
  <c r="C10126" i="1"/>
  <c r="A6663" i="1"/>
  <c r="B6663" i="1"/>
  <c r="C6663" i="1"/>
  <c r="A12501" i="1"/>
  <c r="B12501" i="1"/>
  <c r="C12501" i="1"/>
  <c r="A13613" i="1"/>
  <c r="B13613" i="1"/>
  <c r="C13613" i="1"/>
  <c r="A10449" i="1"/>
  <c r="B10449" i="1"/>
  <c r="C10449" i="1"/>
  <c r="A10702" i="1"/>
  <c r="B10702" i="1"/>
  <c r="C10702" i="1"/>
  <c r="A2528" i="1"/>
  <c r="B2528" i="1"/>
  <c r="C2528" i="1"/>
  <c r="A9279" i="1"/>
  <c r="B9279" i="1"/>
  <c r="C9279" i="1"/>
  <c r="A627" i="1"/>
  <c r="B627" i="1"/>
  <c r="C627" i="1"/>
  <c r="A9423" i="1"/>
  <c r="B9423" i="1"/>
  <c r="C9423" i="1"/>
  <c r="A4854" i="1"/>
  <c r="B4854" i="1"/>
  <c r="C4854" i="1"/>
  <c r="A11500" i="1"/>
  <c r="B11500" i="1"/>
  <c r="C11500" i="1"/>
  <c r="A11501" i="1"/>
  <c r="B11501" i="1"/>
  <c r="C11501" i="1"/>
  <c r="A7184" i="1"/>
  <c r="B7184" i="1"/>
  <c r="C7184" i="1"/>
  <c r="A9151" i="1"/>
  <c r="B9151" i="1"/>
  <c r="C9151" i="1"/>
  <c r="A2394" i="1"/>
  <c r="B2394" i="1"/>
  <c r="C2394" i="1"/>
  <c r="A12711" i="1"/>
  <c r="B12711" i="1"/>
  <c r="C12711" i="1"/>
  <c r="A4806" i="1"/>
  <c r="B4806" i="1"/>
  <c r="C4806" i="1"/>
  <c r="A11577" i="1"/>
  <c r="B11577" i="1"/>
  <c r="C11577" i="1"/>
  <c r="A4503" i="1"/>
  <c r="B4503" i="1"/>
  <c r="C4503" i="1"/>
  <c r="A1833" i="1"/>
  <c r="B1833" i="1"/>
  <c r="C1833" i="1"/>
  <c r="A6001" i="1"/>
  <c r="B6001" i="1"/>
  <c r="C6001" i="1"/>
  <c r="A13431" i="1"/>
  <c r="B13431" i="1"/>
  <c r="C13431" i="1"/>
  <c r="A8277" i="1"/>
  <c r="B8277" i="1"/>
  <c r="C8277" i="1"/>
  <c r="A2256" i="1"/>
  <c r="B2256" i="1"/>
  <c r="C2256" i="1"/>
  <c r="A7742" i="1"/>
  <c r="B7742" i="1"/>
  <c r="C7742" i="1"/>
  <c r="A12516" i="1"/>
  <c r="B12516" i="1"/>
  <c r="C12516" i="1"/>
  <c r="A7481" i="1"/>
  <c r="B7481" i="1"/>
  <c r="C7481" i="1"/>
  <c r="A720" i="1"/>
  <c r="B720" i="1"/>
  <c r="C720" i="1"/>
  <c r="A721" i="1"/>
  <c r="B721" i="1"/>
  <c r="C721" i="1"/>
  <c r="A2644" i="1"/>
  <c r="B2644" i="1"/>
  <c r="C2644" i="1"/>
  <c r="A12989" i="1"/>
  <c r="B12989" i="1"/>
  <c r="C12989" i="1"/>
  <c r="A13056" i="1"/>
  <c r="B13056" i="1"/>
  <c r="C13056" i="1"/>
  <c r="A6546" i="1"/>
  <c r="B6546" i="1"/>
  <c r="C6546" i="1"/>
  <c r="A11227" i="1"/>
  <c r="B11227" i="1"/>
  <c r="C11227" i="1"/>
  <c r="A6902" i="1"/>
  <c r="B6902" i="1"/>
  <c r="C6902" i="1"/>
  <c r="A9188" i="1"/>
  <c r="B9188" i="1"/>
  <c r="C9188" i="1"/>
  <c r="A10531" i="1"/>
  <c r="B10531" i="1"/>
  <c r="C10531" i="1"/>
  <c r="A2811" i="1"/>
  <c r="B2811" i="1"/>
  <c r="C2811" i="1"/>
  <c r="A1522" i="1"/>
  <c r="B1522" i="1"/>
  <c r="C1522" i="1"/>
  <c r="A1673" i="1"/>
  <c r="B1673" i="1"/>
  <c r="C1673" i="1"/>
  <c r="A2671" i="1"/>
  <c r="B2671" i="1"/>
  <c r="C2671" i="1"/>
  <c r="A9003" i="1"/>
  <c r="B9003" i="1"/>
  <c r="C9003" i="1"/>
  <c r="A8472" i="1"/>
  <c r="B8472" i="1"/>
  <c r="C8472" i="1"/>
  <c r="A246" i="1"/>
  <c r="B246" i="1"/>
  <c r="C246" i="1"/>
  <c r="A6587" i="1"/>
  <c r="B6587" i="1"/>
  <c r="C6587" i="1"/>
  <c r="A9439" i="1"/>
  <c r="B9439" i="1"/>
  <c r="C9439" i="1"/>
  <c r="A1597" i="1"/>
  <c r="B1597" i="1"/>
  <c r="C1597" i="1"/>
  <c r="A7348" i="1"/>
  <c r="B7348" i="1"/>
  <c r="C7348" i="1"/>
  <c r="A12784" i="1"/>
  <c r="B12784" i="1"/>
  <c r="C12784" i="1"/>
  <c r="A11523" i="1"/>
  <c r="B11523" i="1"/>
  <c r="C11523" i="1"/>
  <c r="A6623" i="1"/>
  <c r="B6623" i="1"/>
  <c r="C6623" i="1"/>
  <c r="A4461" i="1"/>
  <c r="B4461" i="1"/>
  <c r="C4461" i="1"/>
  <c r="A10998" i="1"/>
  <c r="B10998" i="1"/>
  <c r="C10998" i="1"/>
  <c r="A235" i="1"/>
  <c r="B235" i="1"/>
  <c r="C235" i="1"/>
  <c r="A2434" i="1"/>
  <c r="B2434" i="1"/>
  <c r="C2434" i="1"/>
  <c r="A3698" i="1"/>
  <c r="B3698" i="1"/>
  <c r="C3698" i="1"/>
  <c r="A4950" i="1"/>
  <c r="B4950" i="1"/>
  <c r="C4950" i="1"/>
  <c r="A12641" i="1"/>
  <c r="B12641" i="1"/>
  <c r="C12641" i="1"/>
  <c r="A7720" i="1"/>
  <c r="B7720" i="1"/>
  <c r="C7720" i="1"/>
  <c r="A11813" i="1"/>
  <c r="B11813" i="1"/>
  <c r="C11813" i="1"/>
  <c r="A11610" i="1"/>
  <c r="B11610" i="1"/>
  <c r="C11610" i="1"/>
  <c r="A67" i="1"/>
  <c r="B67" i="1"/>
  <c r="C67" i="1"/>
  <c r="A6004" i="1"/>
  <c r="B6004" i="1"/>
  <c r="C6004" i="1"/>
  <c r="A11844" i="1"/>
  <c r="B11844" i="1"/>
  <c r="C11844" i="1"/>
  <c r="A2037" i="1"/>
  <c r="B2037" i="1"/>
  <c r="C2037" i="1"/>
  <c r="A2500" i="1"/>
  <c r="B2500" i="1"/>
  <c r="C2500" i="1"/>
  <c r="A6894" i="1"/>
  <c r="B6894" i="1"/>
  <c r="C6894" i="1"/>
  <c r="A996" i="1"/>
  <c r="B996" i="1"/>
  <c r="C996" i="1"/>
  <c r="A11129" i="1"/>
  <c r="B11129" i="1"/>
  <c r="C11129" i="1"/>
  <c r="A13692" i="1"/>
  <c r="B13692" i="1"/>
  <c r="C13692" i="1"/>
  <c r="A13513" i="1"/>
  <c r="B13513" i="1"/>
  <c r="C13513" i="1"/>
  <c r="A9754" i="1"/>
  <c r="B9754" i="1"/>
  <c r="C9754" i="1"/>
  <c r="A11046" i="1"/>
  <c r="B11046" i="1"/>
  <c r="C11046" i="1"/>
  <c r="A4693" i="1"/>
  <c r="B4693" i="1"/>
  <c r="C4693" i="1"/>
  <c r="A8840" i="1"/>
  <c r="B8840" i="1"/>
  <c r="C8840" i="1"/>
  <c r="A8218" i="1"/>
  <c r="B8218" i="1"/>
  <c r="C8218" i="1"/>
  <c r="A11023" i="1"/>
  <c r="B11023" i="1"/>
  <c r="C11023" i="1"/>
  <c r="A245" i="1"/>
  <c r="B245" i="1"/>
  <c r="C245" i="1"/>
  <c r="A58" i="1"/>
  <c r="B58" i="1"/>
  <c r="C58" i="1"/>
  <c r="A13587" i="1"/>
  <c r="B13587" i="1"/>
  <c r="C13587" i="1"/>
  <c r="A1656" i="1"/>
  <c r="B1656" i="1"/>
  <c r="C1656" i="1"/>
  <c r="A9536" i="1"/>
  <c r="B9536" i="1"/>
  <c r="C9536" i="1"/>
  <c r="A11024" i="1"/>
  <c r="B11024" i="1"/>
  <c r="C11024" i="1"/>
  <c r="A3803" i="1"/>
  <c r="B3803" i="1"/>
  <c r="C3803" i="1"/>
  <c r="A1153" i="1"/>
  <c r="B1153" i="1"/>
  <c r="C1153" i="1"/>
  <c r="A11634" i="1"/>
  <c r="B11634" i="1"/>
  <c r="C11634" i="1"/>
  <c r="A11506" i="1"/>
  <c r="B11506" i="1"/>
  <c r="C11506" i="1"/>
  <c r="A8172" i="1"/>
  <c r="B8172" i="1"/>
  <c r="C8172" i="1"/>
  <c r="A2083" i="1"/>
  <c r="B2083" i="1"/>
  <c r="C2083" i="1"/>
  <c r="A8511" i="1"/>
  <c r="B8511" i="1"/>
  <c r="C8511" i="1"/>
  <c r="A13189" i="1"/>
  <c r="B13189" i="1"/>
  <c r="C13189" i="1"/>
  <c r="A137" i="1"/>
  <c r="B137" i="1"/>
  <c r="C137" i="1"/>
  <c r="A10651" i="1"/>
  <c r="B10651" i="1"/>
  <c r="C10651" i="1"/>
  <c r="A13271" i="1"/>
  <c r="B13271" i="1"/>
  <c r="C13271" i="1"/>
  <c r="A4268" i="1"/>
  <c r="B4268" i="1"/>
  <c r="C4268" i="1"/>
  <c r="A10281" i="1"/>
  <c r="B10281" i="1"/>
  <c r="C10281" i="1"/>
  <c r="A13550" i="1"/>
  <c r="B13550" i="1"/>
  <c r="C13550" i="1"/>
  <c r="A2303" i="1"/>
  <c r="B2303" i="1"/>
  <c r="C2303" i="1"/>
  <c r="A13883" i="1"/>
  <c r="B13883" i="1"/>
  <c r="C13883" i="1"/>
  <c r="A9343" i="1"/>
  <c r="B9343" i="1"/>
  <c r="C9343" i="1"/>
  <c r="A4216" i="1"/>
  <c r="B4216" i="1"/>
  <c r="C4216" i="1"/>
  <c r="A8531" i="1"/>
  <c r="B8531" i="1"/>
  <c r="C8531" i="1"/>
  <c r="A2445" i="1"/>
  <c r="B2445" i="1"/>
  <c r="C2445" i="1"/>
  <c r="A6627" i="1"/>
  <c r="B6627" i="1"/>
  <c r="C6627" i="1"/>
  <c r="A13338" i="1"/>
  <c r="B13338" i="1"/>
  <c r="C13338" i="1"/>
  <c r="A11668" i="1"/>
  <c r="B11668" i="1"/>
  <c r="C11668" i="1"/>
  <c r="A7547" i="1"/>
  <c r="B7547" i="1"/>
  <c r="C7547" i="1"/>
  <c r="A6939" i="1"/>
  <c r="B6939" i="1"/>
  <c r="C6939" i="1"/>
  <c r="A13027" i="1"/>
  <c r="B13027" i="1"/>
  <c r="C13027" i="1"/>
  <c r="A3216" i="1"/>
  <c r="B3216" i="1"/>
  <c r="C3216" i="1"/>
  <c r="A10199" i="1"/>
  <c r="B10199" i="1"/>
  <c r="C10199" i="1"/>
  <c r="A11236" i="1"/>
  <c r="B11236" i="1"/>
  <c r="C11236" i="1"/>
  <c r="A6849" i="1"/>
  <c r="B6849" i="1"/>
  <c r="C6849" i="1"/>
  <c r="A3283" i="1"/>
  <c r="B3283" i="1"/>
  <c r="C3283" i="1"/>
  <c r="A13842" i="1"/>
  <c r="B13842" i="1"/>
  <c r="C13842" i="1"/>
  <c r="A8430" i="1"/>
  <c r="B8430" i="1"/>
  <c r="C8430" i="1"/>
  <c r="A6692" i="1"/>
  <c r="B6692" i="1"/>
  <c r="C6692" i="1"/>
  <c r="A6693" i="1"/>
  <c r="B6693" i="1"/>
  <c r="C6693" i="1"/>
  <c r="A10289" i="1"/>
  <c r="B10289" i="1"/>
  <c r="C10289" i="1"/>
  <c r="A7526" i="1"/>
  <c r="B7526" i="1"/>
  <c r="C7526" i="1"/>
  <c r="A1042" i="1"/>
  <c r="B1042" i="1"/>
  <c r="C1042" i="1"/>
  <c r="A4588" i="1"/>
  <c r="B4588" i="1"/>
  <c r="C4588" i="1"/>
  <c r="A5539" i="1"/>
  <c r="B5539" i="1"/>
  <c r="C5539" i="1"/>
  <c r="A8644" i="1"/>
  <c r="B8644" i="1"/>
  <c r="C8644" i="1"/>
  <c r="A7836" i="1"/>
  <c r="B7836" i="1"/>
  <c r="C7836" i="1"/>
  <c r="A6659" i="1"/>
  <c r="B6659" i="1"/>
  <c r="C6659" i="1"/>
  <c r="A5522" i="1"/>
  <c r="B5522" i="1"/>
  <c r="C5522" i="1"/>
  <c r="A2920" i="1"/>
  <c r="B2920" i="1"/>
  <c r="C2920" i="1"/>
  <c r="A239" i="1"/>
  <c r="B239" i="1"/>
  <c r="C239" i="1"/>
  <c r="A4910" i="1"/>
  <c r="B4910" i="1"/>
  <c r="C4910" i="1"/>
  <c r="A12196" i="1"/>
  <c r="B12196" i="1"/>
  <c r="C12196" i="1"/>
  <c r="A1559" i="1"/>
  <c r="B1559" i="1"/>
  <c r="C1559" i="1"/>
  <c r="A544" i="1"/>
  <c r="B544" i="1"/>
  <c r="C544" i="1"/>
  <c r="A8120" i="1"/>
  <c r="B8120" i="1"/>
  <c r="C8120" i="1"/>
  <c r="A10923" i="1"/>
  <c r="B10923" i="1"/>
  <c r="C10923" i="1"/>
  <c r="A10924" i="1"/>
  <c r="B10924" i="1"/>
  <c r="C10924" i="1"/>
  <c r="A6053" i="1"/>
  <c r="B6053" i="1"/>
  <c r="C6053" i="1"/>
  <c r="A10530" i="1"/>
  <c r="B10530" i="1"/>
  <c r="C10530" i="1"/>
  <c r="A11019" i="1"/>
  <c r="B11019" i="1"/>
  <c r="C11019" i="1"/>
  <c r="A10384" i="1"/>
  <c r="B10384" i="1"/>
  <c r="C10384" i="1"/>
  <c r="A6472" i="1"/>
  <c r="B6472" i="1"/>
  <c r="C6472" i="1"/>
  <c r="A13506" i="1"/>
  <c r="B13506" i="1"/>
  <c r="C13506" i="1"/>
  <c r="A13332" i="1"/>
  <c r="B13332" i="1"/>
  <c r="C13332" i="1"/>
  <c r="A6940" i="1"/>
  <c r="B6940" i="1"/>
  <c r="C6940" i="1"/>
  <c r="A8489" i="1"/>
  <c r="B8489" i="1"/>
  <c r="C8489" i="1"/>
  <c r="A6444" i="1"/>
  <c r="B6444" i="1"/>
  <c r="C6444" i="1"/>
  <c r="A11201" i="1"/>
  <c r="B11201" i="1"/>
  <c r="C11201" i="1"/>
  <c r="A8243" i="1"/>
  <c r="B8243" i="1"/>
  <c r="C8243" i="1"/>
  <c r="A2859" i="1"/>
  <c r="B2859" i="1"/>
  <c r="C2859" i="1"/>
  <c r="A1173" i="1"/>
  <c r="B1173" i="1"/>
  <c r="C1173" i="1"/>
  <c r="A1174" i="1"/>
  <c r="B1174" i="1"/>
  <c r="C1174" i="1"/>
  <c r="A1170" i="1"/>
  <c r="B1170" i="1"/>
  <c r="C1170" i="1"/>
  <c r="A6378" i="1"/>
  <c r="B6378" i="1"/>
  <c r="C6378" i="1"/>
  <c r="A2144" i="1"/>
  <c r="B2144" i="1"/>
  <c r="C2144" i="1"/>
  <c r="A8571" i="1"/>
  <c r="B8571" i="1"/>
  <c r="C8571" i="1"/>
  <c r="A2211" i="1"/>
  <c r="B2211" i="1"/>
  <c r="C2211" i="1"/>
  <c r="A8327" i="1"/>
  <c r="B8327" i="1"/>
  <c r="C8327" i="1"/>
  <c r="A8328" i="1"/>
  <c r="B8328" i="1"/>
  <c r="C8328" i="1"/>
  <c r="A8728" i="1"/>
  <c r="B8728" i="1"/>
  <c r="C8728" i="1"/>
  <c r="A13848" i="1"/>
  <c r="B13848" i="1"/>
  <c r="C13848" i="1"/>
  <c r="A11057" i="1"/>
  <c r="B11057" i="1"/>
  <c r="C11057" i="1"/>
  <c r="A8265" i="1"/>
  <c r="B8265" i="1"/>
  <c r="C8265" i="1"/>
  <c r="A12313" i="1"/>
  <c r="B12313" i="1"/>
  <c r="C12313" i="1"/>
  <c r="A3685" i="1"/>
  <c r="B3685" i="1"/>
  <c r="C3685" i="1"/>
  <c r="A11861" i="1"/>
  <c r="B11861" i="1"/>
  <c r="C11861" i="1"/>
  <c r="A1660" i="1"/>
  <c r="B1660" i="1"/>
  <c r="C1660" i="1"/>
  <c r="A811" i="1"/>
  <c r="B811" i="1"/>
  <c r="C811" i="1"/>
  <c r="A6250" i="1"/>
  <c r="B6250" i="1"/>
  <c r="C6250" i="1"/>
  <c r="A10351" i="1"/>
  <c r="B10351" i="1"/>
  <c r="C10351" i="1"/>
  <c r="A5282" i="1"/>
  <c r="B5282" i="1"/>
  <c r="C5282" i="1"/>
  <c r="A8074" i="1"/>
  <c r="B8074" i="1"/>
  <c r="C8074" i="1"/>
  <c r="A11505" i="1"/>
  <c r="B11505" i="1"/>
  <c r="C11505" i="1"/>
  <c r="A7111" i="1"/>
  <c r="B7111" i="1"/>
  <c r="C7111" i="1"/>
  <c r="A845" i="1"/>
  <c r="B845" i="1"/>
  <c r="C845" i="1"/>
  <c r="A6208" i="1"/>
  <c r="B6208" i="1"/>
  <c r="C6208" i="1"/>
  <c r="A11000" i="1"/>
  <c r="B11000" i="1"/>
  <c r="C11000" i="1"/>
  <c r="A10788" i="1"/>
  <c r="B10788" i="1"/>
  <c r="C10788" i="1"/>
  <c r="A7866" i="1"/>
  <c r="B7866" i="1"/>
  <c r="C7866" i="1"/>
  <c r="A237" i="1"/>
  <c r="B237" i="1"/>
  <c r="C237" i="1"/>
  <c r="A12199" i="1"/>
  <c r="B12199" i="1"/>
  <c r="C12199" i="1"/>
  <c r="A12166" i="1"/>
  <c r="B12166" i="1"/>
  <c r="C12166" i="1"/>
  <c r="A12167" i="1"/>
  <c r="B12167" i="1"/>
  <c r="C12167" i="1"/>
  <c r="A6636" i="1"/>
  <c r="B6636" i="1"/>
  <c r="C6636" i="1"/>
  <c r="A6637" i="1"/>
  <c r="B6637" i="1"/>
  <c r="C6637" i="1"/>
  <c r="A4680" i="1"/>
  <c r="B4680" i="1"/>
  <c r="C4680" i="1"/>
  <c r="A1107" i="1"/>
  <c r="B1107" i="1"/>
  <c r="C1107" i="1"/>
  <c r="A13170" i="1"/>
  <c r="B13170" i="1"/>
  <c r="C13170" i="1"/>
  <c r="A5162" i="1"/>
  <c r="B5162" i="1"/>
  <c r="C5162" i="1"/>
  <c r="A170" i="1"/>
  <c r="B170" i="1"/>
  <c r="C170" i="1"/>
  <c r="A3864" i="1"/>
  <c r="B3864" i="1"/>
  <c r="C3864" i="1"/>
  <c r="A13746" i="1"/>
  <c r="B13746" i="1"/>
  <c r="C13746" i="1"/>
  <c r="A12996" i="1"/>
  <c r="B12996" i="1"/>
  <c r="C12996" i="1"/>
  <c r="A7743" i="1"/>
  <c r="B7743" i="1"/>
  <c r="C7743" i="1"/>
  <c r="A3022" i="1"/>
  <c r="B3022" i="1"/>
  <c r="C3022" i="1"/>
  <c r="A11365" i="1"/>
  <c r="B11365" i="1"/>
  <c r="C11365" i="1"/>
  <c r="A4657" i="1"/>
  <c r="B4657" i="1"/>
  <c r="C4657" i="1"/>
  <c r="A11741" i="1"/>
  <c r="B11741" i="1"/>
  <c r="C11741" i="1"/>
  <c r="A6273" i="1"/>
  <c r="B6273" i="1"/>
  <c r="C6273" i="1"/>
  <c r="A8005" i="1"/>
  <c r="B8005" i="1"/>
  <c r="C8005" i="1"/>
  <c r="A10939" i="1"/>
  <c r="B10939" i="1"/>
  <c r="C10939" i="1"/>
  <c r="A12936" i="1"/>
  <c r="B12936" i="1"/>
  <c r="C12936" i="1"/>
  <c r="A3427" i="1"/>
  <c r="B3427" i="1"/>
  <c r="C3427" i="1"/>
  <c r="A10584" i="1"/>
  <c r="B10584" i="1"/>
  <c r="C10584" i="1"/>
  <c r="A1007" i="1"/>
  <c r="B1007" i="1"/>
  <c r="C1007" i="1"/>
  <c r="A11632" i="1"/>
  <c r="B11632" i="1"/>
  <c r="C11632" i="1"/>
  <c r="A12614" i="1"/>
  <c r="B12614" i="1"/>
  <c r="C12614" i="1"/>
  <c r="A10514" i="1"/>
  <c r="B10514" i="1"/>
  <c r="C10514" i="1"/>
  <c r="A1982" i="1"/>
  <c r="B1982" i="1"/>
  <c r="C1982" i="1"/>
  <c r="A1728" i="1"/>
  <c r="B1728" i="1"/>
  <c r="C1728" i="1"/>
  <c r="A12751" i="1"/>
  <c r="B12751" i="1"/>
  <c r="C12751" i="1"/>
  <c r="A3240" i="1"/>
  <c r="B3240" i="1"/>
  <c r="C3240" i="1"/>
  <c r="A8240" i="1"/>
  <c r="B8240" i="1"/>
  <c r="C8240" i="1"/>
  <c r="A2881" i="1"/>
  <c r="B2881" i="1"/>
  <c r="C2881" i="1"/>
  <c r="A5302" i="1"/>
  <c r="B5302" i="1"/>
  <c r="C5302" i="1"/>
  <c r="A2840" i="1"/>
  <c r="B2840" i="1"/>
  <c r="C2840" i="1"/>
  <c r="A13702" i="1"/>
  <c r="B13702" i="1"/>
  <c r="C13702" i="1"/>
  <c r="A11618" i="1"/>
  <c r="B11618" i="1"/>
  <c r="C11618" i="1"/>
  <c r="A13636" i="1"/>
  <c r="B13636" i="1"/>
  <c r="C13636" i="1"/>
  <c r="A1078" i="1"/>
  <c r="B1078" i="1"/>
  <c r="C1078" i="1"/>
  <c r="A13614" i="1"/>
  <c r="B13614" i="1"/>
  <c r="C13614" i="1"/>
  <c r="A1669" i="1"/>
  <c r="B1669" i="1"/>
  <c r="C1669" i="1"/>
  <c r="A3540" i="1"/>
  <c r="B3540" i="1"/>
  <c r="C3540" i="1"/>
  <c r="A12093" i="1"/>
  <c r="B12093" i="1"/>
  <c r="C12093" i="1"/>
  <c r="A4030" i="1"/>
  <c r="B4030" i="1"/>
  <c r="C4030" i="1"/>
  <c r="A3079" i="1"/>
  <c r="B3079" i="1"/>
  <c r="A10117" i="1"/>
  <c r="B10117" i="1"/>
  <c r="C10117" i="1"/>
  <c r="A5768" i="1"/>
  <c r="B5768" i="1"/>
  <c r="C5768" i="1"/>
  <c r="A1754" i="1"/>
  <c r="B1754" i="1"/>
  <c r="C1754" i="1"/>
  <c r="A4621" i="1"/>
  <c r="B4621" i="1"/>
  <c r="C4621" i="1"/>
  <c r="A11926" i="1"/>
  <c r="B11926" i="1"/>
  <c r="C11926" i="1"/>
  <c r="A11135" i="1"/>
  <c r="B11135" i="1"/>
  <c r="C11135" i="1"/>
  <c r="A11483" i="1"/>
  <c r="B11483" i="1"/>
  <c r="C11483" i="1"/>
  <c r="A11484" i="1"/>
  <c r="B11484" i="1"/>
  <c r="C11484" i="1"/>
  <c r="A11485" i="1"/>
  <c r="B11485" i="1"/>
  <c r="C11485" i="1"/>
  <c r="A11486" i="1"/>
  <c r="B11486" i="1"/>
  <c r="C11486" i="1"/>
  <c r="A11487" i="1"/>
  <c r="B11487" i="1"/>
  <c r="C11487" i="1"/>
  <c r="A9781" i="1"/>
  <c r="B9781" i="1"/>
  <c r="C9781" i="1"/>
  <c r="A11277" i="1"/>
  <c r="B11277" i="1"/>
  <c r="C11277" i="1"/>
  <c r="A11279" i="1"/>
  <c r="B11279" i="1"/>
  <c r="C11279" i="1"/>
  <c r="A13521" i="1"/>
  <c r="B13521" i="1"/>
  <c r="C13521" i="1"/>
  <c r="A2274" i="1"/>
  <c r="B2274" i="1"/>
  <c r="C2274" i="1"/>
  <c r="A4379" i="1"/>
  <c r="B4379" i="1"/>
  <c r="C4379" i="1"/>
  <c r="A1015" i="1"/>
  <c r="B1015" i="1"/>
  <c r="C1015" i="1"/>
  <c r="A4458" i="1"/>
  <c r="B4458" i="1"/>
  <c r="C4458" i="1"/>
  <c r="A13004" i="1"/>
  <c r="B13004" i="1"/>
  <c r="C13004" i="1"/>
  <c r="A11602" i="1"/>
  <c r="B11602" i="1"/>
  <c r="C11602" i="1"/>
  <c r="A181" i="1"/>
  <c r="B181" i="1"/>
  <c r="C181" i="1"/>
  <c r="A5391" i="1"/>
  <c r="B5391" i="1"/>
  <c r="C5391" i="1"/>
  <c r="A4202" i="1"/>
  <c r="B4202" i="1"/>
  <c r="C4202" i="1"/>
  <c r="A3348" i="1"/>
  <c r="B3348" i="1"/>
  <c r="C3348" i="1"/>
  <c r="A8333" i="1"/>
  <c r="B8333" i="1"/>
  <c r="C8333" i="1"/>
  <c r="A8780" i="1"/>
  <c r="B8780" i="1"/>
  <c r="C8780" i="1"/>
  <c r="A11628" i="1"/>
  <c r="B11628" i="1"/>
  <c r="C11628" i="1"/>
  <c r="A4488" i="1"/>
  <c r="B4488" i="1"/>
  <c r="C4488" i="1"/>
  <c r="A8868" i="1"/>
  <c r="B8868" i="1"/>
  <c r="C8868" i="1"/>
  <c r="A6934" i="1"/>
  <c r="B6934" i="1"/>
  <c r="C6934" i="1"/>
  <c r="A11335" i="1"/>
  <c r="B11335" i="1"/>
  <c r="C11335" i="1"/>
  <c r="A13236" i="1"/>
  <c r="B13236" i="1"/>
  <c r="C13236" i="1"/>
  <c r="A13536" i="1"/>
  <c r="B13536" i="1"/>
  <c r="C13536" i="1"/>
  <c r="A3762" i="1"/>
  <c r="B3762" i="1"/>
  <c r="C3762" i="1"/>
  <c r="A7576" i="1"/>
  <c r="B7576" i="1"/>
  <c r="C7576" i="1"/>
  <c r="A12597" i="1"/>
  <c r="B12597" i="1"/>
  <c r="C12597" i="1"/>
  <c r="A10928" i="1"/>
  <c r="B10928" i="1"/>
  <c r="C10928" i="1"/>
  <c r="A4933" i="1"/>
  <c r="B4933" i="1"/>
  <c r="C4933" i="1"/>
  <c r="A7271" i="1"/>
  <c r="B7271" i="1"/>
  <c r="C7271" i="1"/>
  <c r="A4483" i="1"/>
  <c r="B4483" i="1"/>
  <c r="C4483" i="1"/>
  <c r="A11784" i="1"/>
  <c r="B11784" i="1"/>
  <c r="C11784" i="1"/>
  <c r="A4669" i="1"/>
  <c r="B4669" i="1"/>
  <c r="C4669" i="1"/>
  <c r="A120" i="1"/>
  <c r="B120" i="1"/>
  <c r="C120" i="1"/>
  <c r="A13683" i="1"/>
  <c r="B13683" i="1"/>
  <c r="C13683" i="1"/>
  <c r="A6763" i="1"/>
  <c r="B6763" i="1"/>
  <c r="C6763" i="1"/>
  <c r="A11235" i="1"/>
  <c r="B11235" i="1"/>
  <c r="C11235" i="1"/>
  <c r="A9087" i="1"/>
  <c r="B9087" i="1"/>
  <c r="C9087" i="1"/>
  <c r="A9664" i="1"/>
  <c r="B9664" i="1"/>
  <c r="C9664" i="1"/>
  <c r="A11640" i="1"/>
  <c r="B11640" i="1"/>
  <c r="C11640" i="1"/>
  <c r="A3702" i="1"/>
  <c r="B3702" i="1"/>
  <c r="C3702" i="1"/>
  <c r="A3737" i="1"/>
  <c r="B3737" i="1"/>
  <c r="C3737" i="1"/>
  <c r="A6727" i="1"/>
  <c r="B6727" i="1"/>
  <c r="C6727" i="1"/>
  <c r="A1230" i="1"/>
  <c r="B1230" i="1"/>
  <c r="C1230" i="1"/>
  <c r="A4431" i="1"/>
  <c r="B4431" i="1"/>
  <c r="C4431" i="1"/>
  <c r="A7531" i="1"/>
  <c r="B7531" i="1"/>
  <c r="C7531" i="1"/>
  <c r="A10203" i="1"/>
  <c r="B10203" i="1"/>
  <c r="C10203" i="1"/>
  <c r="A1236" i="1"/>
  <c r="B1236" i="1"/>
  <c r="C1236" i="1"/>
  <c r="A10221" i="1"/>
  <c r="B10221" i="1"/>
  <c r="C10221" i="1"/>
  <c r="A4457" i="1"/>
  <c r="B4457" i="1"/>
  <c r="C4457" i="1"/>
  <c r="A9699" i="1"/>
  <c r="B9699" i="1"/>
  <c r="C9699" i="1"/>
  <c r="A7512" i="1"/>
  <c r="B7512" i="1"/>
  <c r="C7512" i="1"/>
  <c r="A12224" i="1"/>
  <c r="B12224" i="1"/>
  <c r="C12224" i="1"/>
  <c r="A5301" i="1"/>
  <c r="B5301" i="1"/>
  <c r="C5301" i="1"/>
  <c r="A3926" i="1"/>
  <c r="B3926" i="1"/>
  <c r="C3926" i="1"/>
  <c r="A7169" i="1"/>
  <c r="B7169" i="1"/>
  <c r="C7169" i="1"/>
  <c r="A11934" i="1"/>
  <c r="B11934" i="1"/>
  <c r="C11934" i="1"/>
  <c r="A1250" i="1"/>
  <c r="B1250" i="1"/>
  <c r="C1250" i="1"/>
  <c r="A4492" i="1"/>
  <c r="B4492" i="1"/>
  <c r="C4492" i="1"/>
  <c r="A8562" i="1"/>
  <c r="B8562" i="1"/>
  <c r="C8562" i="1"/>
  <c r="A2235" i="1"/>
  <c r="B2235" i="1"/>
  <c r="C2235" i="1"/>
  <c r="A5417" i="1"/>
  <c r="B5417" i="1"/>
  <c r="C5417" i="1"/>
  <c r="A4371" i="1"/>
  <c r="B4371" i="1"/>
  <c r="C4371" i="1"/>
  <c r="A2991" i="1"/>
  <c r="B2991" i="1"/>
  <c r="C2991" i="1"/>
  <c r="A9883" i="1"/>
  <c r="B9883" i="1"/>
  <c r="C9883" i="1"/>
  <c r="A6373" i="1"/>
  <c r="B6373" i="1"/>
  <c r="C6373" i="1"/>
  <c r="A11383" i="1"/>
  <c r="B11383" i="1"/>
  <c r="C11383" i="1"/>
  <c r="A12416" i="1"/>
  <c r="B12416" i="1"/>
  <c r="C12416" i="1"/>
  <c r="A12763" i="1"/>
  <c r="B12763" i="1"/>
  <c r="C12763" i="1"/>
  <c r="A9300" i="1"/>
  <c r="B9300" i="1"/>
  <c r="C9300" i="1"/>
  <c r="A7322" i="1"/>
  <c r="B7322" i="1"/>
  <c r="C7322" i="1"/>
  <c r="A11514" i="1"/>
  <c r="B11514" i="1"/>
  <c r="C11514" i="1"/>
  <c r="A1799" i="1"/>
  <c r="B1799" i="1"/>
  <c r="C1799" i="1"/>
  <c r="A6414" i="1"/>
  <c r="B6414" i="1"/>
  <c r="C6414" i="1"/>
  <c r="A5148" i="1"/>
  <c r="B5148" i="1"/>
  <c r="C5148" i="1"/>
  <c r="A9083" i="1"/>
  <c r="B9083" i="1"/>
  <c r="C9083" i="1"/>
  <c r="A5575" i="1"/>
  <c r="B5575" i="1"/>
  <c r="C5575" i="1"/>
  <c r="A8131" i="1"/>
  <c r="B8131" i="1"/>
  <c r="C8131" i="1"/>
  <c r="A9068" i="1"/>
  <c r="B9068" i="1"/>
  <c r="C9068" i="1"/>
  <c r="A9266" i="1"/>
  <c r="B9266" i="1"/>
  <c r="C9266" i="1"/>
  <c r="A4905" i="1"/>
  <c r="B4905" i="1"/>
  <c r="C4905" i="1"/>
  <c r="A12574" i="1"/>
  <c r="B12574" i="1"/>
  <c r="C12574" i="1"/>
  <c r="A3351" i="1"/>
  <c r="B3351" i="1"/>
  <c r="C3351" i="1"/>
  <c r="A5418" i="1"/>
  <c r="B5418" i="1"/>
  <c r="C5418" i="1"/>
  <c r="A13339" i="1"/>
  <c r="B13339" i="1"/>
  <c r="C13339" i="1"/>
  <c r="A3817" i="1"/>
  <c r="B3817" i="1"/>
  <c r="C3817" i="1"/>
  <c r="A12556" i="1"/>
  <c r="B12556" i="1"/>
  <c r="C12556" i="1"/>
  <c r="A4390" i="1"/>
  <c r="B4390" i="1"/>
  <c r="C4390" i="1"/>
  <c r="A4239" i="1"/>
  <c r="B4239" i="1"/>
  <c r="C4239" i="1"/>
  <c r="A3645" i="1"/>
  <c r="B3645" i="1"/>
  <c r="C3645" i="1"/>
  <c r="A8641" i="1"/>
  <c r="B8641" i="1"/>
  <c r="C8641" i="1"/>
  <c r="A7273" i="1"/>
  <c r="B7273" i="1"/>
  <c r="C7273" i="1"/>
  <c r="A1151" i="1"/>
  <c r="B1151" i="1"/>
  <c r="C1151" i="1"/>
  <c r="A7532" i="1"/>
  <c r="B7532" i="1"/>
  <c r="C7532" i="1"/>
  <c r="A7513" i="1"/>
  <c r="B7513" i="1"/>
  <c r="C7513" i="1"/>
  <c r="A1130" i="1"/>
  <c r="B1130" i="1"/>
  <c r="C1130" i="1"/>
  <c r="A4003" i="1"/>
  <c r="B4003" i="1"/>
  <c r="C4003" i="1"/>
  <c r="A12432" i="1"/>
  <c r="B12432" i="1"/>
  <c r="C12432" i="1"/>
  <c r="A2524" i="1"/>
  <c r="B2524" i="1"/>
  <c r="C2524" i="1"/>
  <c r="A5387" i="1"/>
  <c r="B5387" i="1"/>
  <c r="C5387" i="1"/>
  <c r="A6941" i="1"/>
  <c r="B6941" i="1"/>
  <c r="C6941" i="1"/>
  <c r="A1379" i="1"/>
  <c r="B1379" i="1"/>
  <c r="C1379" i="1"/>
  <c r="A12515" i="1"/>
  <c r="B12515" i="1"/>
  <c r="C12515" i="1"/>
  <c r="A11902" i="1"/>
  <c r="B11902" i="1"/>
  <c r="C11902" i="1"/>
  <c r="A9093" i="1"/>
  <c r="B9093" i="1"/>
  <c r="C9093" i="1"/>
  <c r="A7054" i="1"/>
  <c r="B7054" i="1"/>
  <c r="C7054" i="1"/>
  <c r="A12336" i="1"/>
  <c r="B12336" i="1"/>
  <c r="C12336" i="1"/>
  <c r="A5381" i="1"/>
  <c r="B5381" i="1"/>
  <c r="C5381" i="1"/>
  <c r="A5545" i="1"/>
  <c r="B5545" i="1"/>
  <c r="C5545" i="1"/>
  <c r="A4926" i="1"/>
  <c r="B4926" i="1"/>
  <c r="C4926" i="1"/>
  <c r="A12581" i="1"/>
  <c r="B12581" i="1"/>
  <c r="C12581" i="1"/>
  <c r="A13048" i="1"/>
  <c r="B13048" i="1"/>
  <c r="C13048" i="1"/>
  <c r="A8681" i="1"/>
  <c r="B8681" i="1"/>
  <c r="C8681" i="1"/>
  <c r="A2331" i="1"/>
  <c r="B2331" i="1"/>
  <c r="C2331" i="1"/>
  <c r="A5880" i="1"/>
  <c r="B5880" i="1"/>
  <c r="C5880" i="1"/>
  <c r="A1613" i="1"/>
  <c r="B1613" i="1"/>
  <c r="C1613" i="1"/>
  <c r="A7300" i="1"/>
  <c r="B7300" i="1"/>
  <c r="C7300" i="1"/>
  <c r="A809" i="1"/>
  <c r="B809" i="1"/>
  <c r="C809" i="1"/>
  <c r="A13688" i="1"/>
  <c r="B13688" i="1"/>
  <c r="C13688" i="1"/>
  <c r="A6386" i="1"/>
  <c r="B6386" i="1"/>
  <c r="C6386" i="1"/>
  <c r="A11639" i="1"/>
  <c r="B11639" i="1"/>
  <c r="C11639" i="1"/>
  <c r="A5223" i="1"/>
  <c r="B5223" i="1"/>
  <c r="C5223" i="1"/>
  <c r="A3745" i="1"/>
  <c r="B3745" i="1"/>
  <c r="C3745" i="1"/>
  <c r="A13837" i="1"/>
  <c r="B13837" i="1"/>
  <c r="C13837" i="1"/>
  <c r="A1324" i="1"/>
  <c r="B1324" i="1"/>
  <c r="C1324" i="1"/>
  <c r="A379" i="1"/>
  <c r="B379" i="1"/>
  <c r="C379" i="1"/>
  <c r="A9923" i="1"/>
  <c r="B9923" i="1"/>
  <c r="C9923" i="1"/>
  <c r="A2304" i="1"/>
  <c r="B2304" i="1"/>
  <c r="C2304" i="1"/>
  <c r="A12417" i="1"/>
  <c r="B12417" i="1"/>
  <c r="C12417" i="1"/>
  <c r="A11233" i="1"/>
  <c r="B11233" i="1"/>
  <c r="C11233" i="1"/>
  <c r="A1171" i="1"/>
  <c r="B1171" i="1"/>
  <c r="C1171" i="1"/>
  <c r="A9585" i="1"/>
  <c r="B9585" i="1"/>
  <c r="C9585" i="1"/>
  <c r="A9551" i="1"/>
  <c r="B9551" i="1"/>
  <c r="C9551" i="1"/>
  <c r="A8920" i="1"/>
  <c r="B8920" i="1"/>
  <c r="C8920" i="1"/>
  <c r="A13554" i="1"/>
  <c r="B13554" i="1"/>
  <c r="C13554" i="1"/>
  <c r="A7549" i="1"/>
  <c r="B7549" i="1"/>
  <c r="C7549" i="1"/>
  <c r="A6814" i="1"/>
  <c r="B6814" i="1"/>
  <c r="C6814" i="1"/>
  <c r="A4396" i="1"/>
  <c r="B4396" i="1"/>
  <c r="C4396" i="1"/>
  <c r="A3686" i="1"/>
  <c r="B3686" i="1"/>
  <c r="C3686" i="1"/>
  <c r="A2378" i="1"/>
  <c r="B2378" i="1"/>
  <c r="C2378" i="1"/>
  <c r="A10619" i="1"/>
  <c r="B10619" i="1"/>
  <c r="C10619" i="1"/>
  <c r="A59" i="1"/>
  <c r="B59" i="1"/>
  <c r="C59" i="1"/>
  <c r="A3089" i="1"/>
  <c r="B3089" i="1"/>
  <c r="C3089" i="1"/>
  <c r="A2305" i="1"/>
  <c r="B2305" i="1"/>
  <c r="C2305" i="1"/>
  <c r="A4084" i="1"/>
  <c r="B4084" i="1"/>
  <c r="C4084" i="1"/>
  <c r="A1212" i="1"/>
  <c r="B1212" i="1"/>
  <c r="C1212" i="1"/>
  <c r="A1067" i="1"/>
  <c r="B1067" i="1"/>
  <c r="C1067" i="1"/>
  <c r="A3387" i="1"/>
  <c r="B3387" i="1"/>
  <c r="C3387" i="1"/>
  <c r="A6394" i="1"/>
  <c r="B6394" i="1"/>
  <c r="C6394" i="1"/>
  <c r="A5612" i="1"/>
  <c r="B5612" i="1"/>
  <c r="C5612" i="1"/>
  <c r="A442" i="1"/>
  <c r="B442" i="1"/>
  <c r="C442" i="1"/>
  <c r="A970" i="1"/>
  <c r="B970" i="1"/>
  <c r="C970" i="1"/>
  <c r="A7957" i="1"/>
  <c r="B7957" i="1"/>
  <c r="C7957" i="1"/>
  <c r="A7127" i="1"/>
  <c r="B7127" i="1"/>
  <c r="C7127" i="1"/>
  <c r="A1885" i="1"/>
  <c r="B1885" i="1"/>
  <c r="C1885" i="1"/>
  <c r="A7214" i="1"/>
  <c r="B7214" i="1"/>
  <c r="C7214" i="1"/>
  <c r="A12254" i="1"/>
  <c r="B12254" i="1"/>
  <c r="C12254" i="1"/>
  <c r="A340" i="1"/>
  <c r="B340" i="1"/>
  <c r="C340" i="1"/>
  <c r="A1528" i="1"/>
  <c r="B1528" i="1"/>
  <c r="C1528" i="1"/>
  <c r="A2922" i="1"/>
  <c r="B2922" i="1"/>
  <c r="C2922" i="1"/>
  <c r="A10165" i="1"/>
  <c r="B10165" i="1"/>
  <c r="C10165" i="1"/>
  <c r="A8174" i="1"/>
  <c r="B8174" i="1"/>
  <c r="C8174" i="1"/>
  <c r="A3250" i="1"/>
  <c r="B3250" i="1"/>
  <c r="C3250" i="1"/>
  <c r="A1119" i="1"/>
  <c r="B1119" i="1"/>
  <c r="C1119" i="1"/>
  <c r="A11444" i="1"/>
  <c r="B11444" i="1"/>
  <c r="C11444" i="1"/>
  <c r="A4169" i="1"/>
  <c r="B4169" i="1"/>
  <c r="C4169" i="1"/>
  <c r="A405" i="1"/>
  <c r="B405" i="1"/>
  <c r="C405" i="1"/>
  <c r="A8304" i="1"/>
  <c r="B8304" i="1"/>
  <c r="C8304" i="1"/>
  <c r="A5981" i="1"/>
  <c r="B5981" i="1"/>
  <c r="C5981" i="1"/>
  <c r="A5982" i="1"/>
  <c r="B5982" i="1"/>
  <c r="C5982" i="1"/>
  <c r="A9960" i="1"/>
  <c r="B9960" i="1"/>
  <c r="C9960" i="1"/>
  <c r="A1689" i="1"/>
  <c r="B1689" i="1"/>
  <c r="C1689" i="1"/>
  <c r="A10210" i="1"/>
  <c r="B10210" i="1"/>
  <c r="C10210" i="1"/>
  <c r="A10387" i="1"/>
  <c r="B10387" i="1"/>
  <c r="C10387" i="1"/>
  <c r="A5853" i="1"/>
  <c r="B5853" i="1"/>
  <c r="C5853" i="1"/>
  <c r="A3152" i="1"/>
  <c r="B3152" i="1"/>
  <c r="C3152" i="1"/>
  <c r="A11456" i="1"/>
  <c r="B11456" i="1"/>
  <c r="C11456" i="1"/>
  <c r="A1221" i="1"/>
  <c r="B1221" i="1"/>
  <c r="C1221" i="1"/>
  <c r="A8912" i="1"/>
  <c r="B8912" i="1"/>
  <c r="C8912" i="1"/>
  <c r="A8913" i="1"/>
  <c r="B8913" i="1"/>
  <c r="C8913" i="1"/>
  <c r="A13260" i="1"/>
  <c r="B13260" i="1"/>
  <c r="C13260" i="1"/>
  <c r="A11583" i="1"/>
  <c r="B11583" i="1"/>
  <c r="C11583" i="1"/>
  <c r="A2036" i="1"/>
  <c r="B2036" i="1"/>
  <c r="C2036" i="1"/>
  <c r="A1609" i="1"/>
  <c r="B1609" i="1"/>
  <c r="C1609" i="1"/>
  <c r="A11214" i="1"/>
  <c r="B11214" i="1"/>
  <c r="C11214" i="1"/>
  <c r="A5625" i="1"/>
  <c r="B5625" i="1"/>
  <c r="C5625" i="1"/>
  <c r="A6274" i="1"/>
  <c r="B6274" i="1"/>
  <c r="C6274" i="1"/>
  <c r="A5376" i="1"/>
  <c r="B5376" i="1"/>
  <c r="C5376" i="1"/>
  <c r="A2523" i="1"/>
  <c r="B2523" i="1"/>
  <c r="C2523" i="1"/>
  <c r="A10699" i="1"/>
  <c r="B10699" i="1"/>
  <c r="C10699" i="1"/>
  <c r="A4351" i="1"/>
  <c r="B4351" i="1"/>
  <c r="C4351" i="1"/>
  <c r="A3369" i="1"/>
  <c r="B3369" i="1"/>
  <c r="C3369" i="1"/>
  <c r="A2046" i="1"/>
  <c r="B2046" i="1"/>
  <c r="C2046" i="1"/>
  <c r="A8177" i="1"/>
  <c r="B8177" i="1"/>
  <c r="C8177" i="1"/>
  <c r="A1979" i="1"/>
  <c r="B1979" i="1"/>
  <c r="C1979" i="1"/>
  <c r="A3795" i="1"/>
  <c r="B3795" i="1"/>
  <c r="C3795" i="1"/>
  <c r="A7580" i="1"/>
  <c r="B7580" i="1"/>
  <c r="C7580" i="1"/>
  <c r="A1828" i="1"/>
  <c r="B1828" i="1"/>
  <c r="C1828" i="1"/>
  <c r="A11446" i="1"/>
  <c r="B11446" i="1"/>
  <c r="C11446" i="1"/>
  <c r="A13309" i="1"/>
  <c r="B13309" i="1"/>
  <c r="C13309" i="1"/>
  <c r="A3547" i="1"/>
  <c r="B3547" i="1"/>
  <c r="C3547" i="1"/>
  <c r="A3804" i="1"/>
  <c r="B3804" i="1"/>
  <c r="C3804" i="1"/>
  <c r="A10031" i="1"/>
  <c r="B10031" i="1"/>
  <c r="C10031" i="1"/>
  <c r="A11211" i="1"/>
  <c r="B11211" i="1"/>
  <c r="C11211" i="1"/>
  <c r="A4284" i="1"/>
  <c r="B4284" i="1"/>
  <c r="C4284" i="1"/>
  <c r="A6037" i="1"/>
  <c r="B6037" i="1"/>
  <c r="C6037" i="1"/>
  <c r="A7234" i="1"/>
  <c r="B7234" i="1"/>
  <c r="C7234" i="1"/>
  <c r="A4834" i="1"/>
  <c r="B4834" i="1"/>
  <c r="C4834" i="1"/>
  <c r="A9677" i="1"/>
  <c r="B9677" i="1"/>
  <c r="C9677" i="1"/>
  <c r="A5809" i="1"/>
  <c r="B5809" i="1"/>
  <c r="C5809" i="1"/>
  <c r="A12496" i="1"/>
  <c r="B12496" i="1"/>
  <c r="C12496" i="1"/>
  <c r="A4565" i="1"/>
  <c r="B4565" i="1"/>
  <c r="C4565" i="1"/>
  <c r="A4566" i="1"/>
  <c r="B4566" i="1"/>
  <c r="C4566" i="1"/>
  <c r="A4567" i="1"/>
  <c r="B4567" i="1"/>
  <c r="C4567" i="1"/>
  <c r="A4568" i="1"/>
  <c r="B4568" i="1"/>
  <c r="C4568" i="1"/>
  <c r="A4569" i="1"/>
  <c r="B4569" i="1"/>
  <c r="C4569" i="1"/>
  <c r="A4570" i="1"/>
  <c r="B4570" i="1"/>
  <c r="C4570" i="1"/>
  <c r="A4571" i="1"/>
  <c r="B4571" i="1"/>
  <c r="C4571" i="1"/>
  <c r="A4572" i="1"/>
  <c r="B4572" i="1"/>
  <c r="C4572" i="1"/>
  <c r="A4573" i="1"/>
  <c r="B4573" i="1"/>
  <c r="C4573" i="1"/>
  <c r="A4574" i="1"/>
  <c r="B4574" i="1"/>
  <c r="C4574" i="1"/>
  <c r="A4575" i="1"/>
  <c r="B4575" i="1"/>
  <c r="C4575" i="1"/>
  <c r="A4576" i="1"/>
  <c r="B4576" i="1"/>
  <c r="C4576" i="1"/>
  <c r="A2747" i="1"/>
  <c r="B2747" i="1"/>
  <c r="C2747" i="1"/>
  <c r="A13938" i="1"/>
  <c r="B13938" i="1"/>
  <c r="C13938" i="1"/>
  <c r="A12604" i="1"/>
  <c r="B12604" i="1"/>
  <c r="C12604" i="1"/>
  <c r="A800" i="1"/>
  <c r="B800" i="1"/>
  <c r="C800" i="1"/>
  <c r="A12132" i="1"/>
  <c r="B12132" i="1"/>
  <c r="C12132" i="1"/>
  <c r="A12760" i="1"/>
  <c r="B12760" i="1"/>
  <c r="C12760" i="1"/>
  <c r="A12686" i="1"/>
  <c r="B12686" i="1"/>
  <c r="C12686" i="1"/>
  <c r="A812" i="1"/>
  <c r="B812" i="1"/>
  <c r="C812" i="1"/>
  <c r="A1487" i="1"/>
  <c r="B1487" i="1"/>
  <c r="C1487" i="1"/>
  <c r="A4595" i="1"/>
  <c r="B4595" i="1"/>
  <c r="C4595" i="1"/>
  <c r="A9709" i="1"/>
  <c r="B9709" i="1"/>
  <c r="C9709" i="1"/>
  <c r="A4668" i="1"/>
  <c r="B4668" i="1"/>
  <c r="C4668" i="1"/>
  <c r="A8418" i="1"/>
  <c r="B8418" i="1"/>
  <c r="C8418" i="1"/>
  <c r="A3612" i="1"/>
  <c r="B3612" i="1"/>
  <c r="C3612" i="1"/>
  <c r="A7977" i="1"/>
  <c r="B7977" i="1"/>
  <c r="C7977" i="1"/>
  <c r="A2948" i="1"/>
  <c r="B2948" i="1"/>
  <c r="C2948" i="1"/>
  <c r="A8509" i="1"/>
  <c r="B8509" i="1"/>
  <c r="C8509" i="1"/>
  <c r="A10843" i="1"/>
  <c r="B10843" i="1"/>
  <c r="C10843" i="1"/>
  <c r="A4577" i="1"/>
  <c r="B4577" i="1"/>
  <c r="C4577" i="1"/>
  <c r="A4578" i="1"/>
  <c r="B4578" i="1"/>
  <c r="C4578" i="1"/>
  <c r="A4579" i="1"/>
  <c r="B4579" i="1"/>
  <c r="C4579" i="1"/>
  <c r="A10120" i="1"/>
  <c r="B10120" i="1"/>
  <c r="C10120" i="1"/>
  <c r="A13955" i="1"/>
  <c r="B13955" i="1"/>
  <c r="C13955" i="1"/>
  <c r="A3988" i="1"/>
  <c r="B3988" i="1"/>
  <c r="C3988" i="1"/>
  <c r="A12216" i="1"/>
  <c r="B12216" i="1"/>
  <c r="C12216" i="1"/>
  <c r="A4086" i="1"/>
  <c r="B4086" i="1"/>
  <c r="C4086" i="1"/>
  <c r="A805" i="1"/>
  <c r="B805" i="1"/>
  <c r="C805" i="1"/>
  <c r="A2409" i="1"/>
  <c r="B2409" i="1"/>
  <c r="C2409" i="1"/>
  <c r="A2967" i="1"/>
  <c r="B2967" i="1"/>
  <c r="C2967" i="1"/>
  <c r="A9522" i="1"/>
  <c r="B9522" i="1"/>
  <c r="C9522" i="1"/>
  <c r="A4515" i="1"/>
  <c r="B4515" i="1"/>
  <c r="C4515" i="1"/>
  <c r="A427" i="1"/>
  <c r="B427" i="1"/>
  <c r="C427" i="1"/>
  <c r="A956" i="1"/>
  <c r="B956" i="1"/>
  <c r="C956" i="1"/>
  <c r="A2695" i="1"/>
  <c r="B2695" i="1"/>
  <c r="C2695" i="1"/>
  <c r="A960" i="1"/>
  <c r="B960" i="1"/>
  <c r="C960" i="1"/>
  <c r="A2472" i="1"/>
  <c r="B2472" i="1"/>
  <c r="C2472" i="1"/>
  <c r="A9218" i="1"/>
  <c r="B9218" i="1"/>
  <c r="C9218" i="1"/>
  <c r="A10419" i="1"/>
  <c r="B10419" i="1"/>
  <c r="C10419" i="1"/>
  <c r="A7106" i="1"/>
  <c r="B7106" i="1"/>
  <c r="C7106" i="1"/>
  <c r="A13067" i="1"/>
  <c r="B13067" i="1"/>
  <c r="C13067" i="1"/>
  <c r="A11540" i="1"/>
  <c r="B11540" i="1"/>
  <c r="C11540" i="1"/>
  <c r="A3186" i="1"/>
  <c r="B3186" i="1"/>
  <c r="C3186" i="1"/>
  <c r="A13190" i="1"/>
  <c r="B13190" i="1"/>
  <c r="C13190" i="1"/>
  <c r="A6500" i="1"/>
  <c r="B6500" i="1"/>
  <c r="C6500" i="1"/>
  <c r="A9862" i="1"/>
  <c r="B9862" i="1"/>
  <c r="C9862" i="1"/>
  <c r="A3252" i="1"/>
  <c r="B3252" i="1"/>
  <c r="C3252" i="1"/>
  <c r="A9823" i="1"/>
  <c r="B9823" i="1"/>
  <c r="C9823" i="1"/>
  <c r="A1425" i="1"/>
  <c r="B1425" i="1"/>
  <c r="C1425" i="1"/>
  <c r="A7069" i="1"/>
  <c r="B7069" i="1"/>
  <c r="C7069" i="1"/>
  <c r="A7170" i="1"/>
  <c r="B7170" i="1"/>
  <c r="C7170" i="1"/>
  <c r="A12183" i="1"/>
  <c r="B12183" i="1"/>
  <c r="C12183" i="1"/>
  <c r="A7998" i="1"/>
  <c r="B7998" i="1"/>
  <c r="C7998" i="1"/>
  <c r="A6446" i="1"/>
  <c r="B6446" i="1"/>
  <c r="C6446" i="1"/>
  <c r="A11860" i="1"/>
  <c r="B11860" i="1"/>
  <c r="C11860" i="1"/>
  <c r="A12119" i="1"/>
  <c r="B12119" i="1"/>
  <c r="C12119" i="1"/>
  <c r="A12120" i="1"/>
  <c r="B12120" i="1"/>
  <c r="C12120" i="1"/>
  <c r="A8158" i="1"/>
  <c r="B8158" i="1"/>
  <c r="C8158" i="1"/>
  <c r="A547" i="1"/>
  <c r="B547" i="1"/>
  <c r="C547" i="1"/>
  <c r="A7096" i="1"/>
  <c r="B7096" i="1"/>
  <c r="C7096" i="1"/>
  <c r="A4241" i="1"/>
  <c r="B4241" i="1"/>
  <c r="C4241" i="1"/>
  <c r="A9751" i="1"/>
  <c r="B9751" i="1"/>
  <c r="C9751" i="1"/>
  <c r="A8087" i="1"/>
  <c r="B8087" i="1"/>
  <c r="C8087" i="1"/>
  <c r="A9744" i="1"/>
  <c r="B9744" i="1"/>
  <c r="C9744" i="1"/>
  <c r="A3856" i="1"/>
  <c r="B3856" i="1"/>
  <c r="C3856" i="1"/>
  <c r="A5276" i="1"/>
  <c r="B5276" i="1"/>
  <c r="C5276" i="1"/>
  <c r="A10484" i="1"/>
  <c r="B10484" i="1"/>
  <c r="C10484" i="1"/>
  <c r="A8826" i="1"/>
  <c r="B8826" i="1"/>
  <c r="C8826" i="1"/>
  <c r="A3734" i="1"/>
  <c r="B3734" i="1"/>
  <c r="C3734" i="1"/>
  <c r="A772" i="1"/>
  <c r="B772" i="1"/>
  <c r="C772" i="1"/>
  <c r="A4052" i="1"/>
  <c r="B4052" i="1"/>
  <c r="C4052" i="1"/>
  <c r="A10234" i="1"/>
  <c r="B10234" i="1"/>
  <c r="C10234" i="1"/>
  <c r="A13340" i="1"/>
  <c r="B13340" i="1"/>
  <c r="C13340" i="1"/>
  <c r="A261" i="1"/>
  <c r="B261" i="1"/>
  <c r="C261" i="1"/>
  <c r="A10914" i="1"/>
  <c r="B10914" i="1"/>
  <c r="C10914" i="1"/>
  <c r="A12242" i="1"/>
  <c r="B12242" i="1"/>
  <c r="C12242" i="1"/>
  <c r="A10733" i="1"/>
  <c r="B10733" i="1"/>
  <c r="C10733" i="1"/>
  <c r="A249" i="1"/>
  <c r="B249" i="1"/>
  <c r="C249" i="1"/>
  <c r="A10440" i="1"/>
  <c r="B10440" i="1"/>
  <c r="C10440" i="1"/>
  <c r="A11626" i="1"/>
  <c r="B11626" i="1"/>
  <c r="C11626" i="1"/>
  <c r="A4590" i="1"/>
  <c r="B4590" i="1"/>
  <c r="C4590" i="1"/>
  <c r="A6702" i="1"/>
  <c r="B6702" i="1"/>
  <c r="C6702" i="1"/>
  <c r="A12857" i="1"/>
  <c r="B12857" i="1"/>
  <c r="C12857" i="1"/>
  <c r="A5576" i="1"/>
  <c r="B5576" i="1"/>
  <c r="C5576" i="1"/>
  <c r="A961" i="1"/>
  <c r="B961" i="1"/>
  <c r="C961" i="1"/>
  <c r="A9702" i="1"/>
  <c r="B9702" i="1"/>
  <c r="C9702" i="1"/>
  <c r="A8528" i="1"/>
  <c r="B8528" i="1"/>
  <c r="C8528" i="1"/>
  <c r="A11927" i="1"/>
  <c r="B11927" i="1"/>
  <c r="C11927" i="1"/>
  <c r="A6209" i="1"/>
  <c r="B6209" i="1"/>
  <c r="C6209" i="1"/>
  <c r="A12562" i="1"/>
  <c r="B12562" i="1"/>
  <c r="C12562" i="1"/>
  <c r="A13259" i="1"/>
  <c r="B13259" i="1"/>
  <c r="C13259" i="1"/>
  <c r="A7708" i="1"/>
  <c r="B7708" i="1"/>
  <c r="C7708" i="1"/>
  <c r="A11862" i="1"/>
  <c r="B11862" i="1"/>
  <c r="C11862" i="1"/>
  <c r="A7959" i="1"/>
  <c r="B7959" i="1"/>
  <c r="C7959" i="1"/>
  <c r="A4916" i="1"/>
  <c r="B4916" i="1"/>
  <c r="C4916" i="1"/>
  <c r="A11502" i="1"/>
  <c r="B11502" i="1"/>
  <c r="C11502" i="1"/>
  <c r="A8085" i="1"/>
  <c r="B8085" i="1"/>
  <c r="C8085" i="1"/>
  <c r="A10394" i="1"/>
  <c r="B10394" i="1"/>
  <c r="C10394" i="1"/>
  <c r="A8313" i="1"/>
  <c r="B8313" i="1"/>
  <c r="C8313" i="1"/>
  <c r="A11830" i="1"/>
  <c r="B11830" i="1"/>
  <c r="C11830" i="1"/>
  <c r="A9446" i="1"/>
  <c r="B9446" i="1"/>
  <c r="C9446" i="1"/>
  <c r="A8978" i="1"/>
  <c r="B8978" i="1"/>
  <c r="C8978" i="1"/>
  <c r="A11018" i="1"/>
  <c r="B11018" i="1"/>
  <c r="C11018" i="1"/>
  <c r="A4528" i="1"/>
  <c r="B4528" i="1"/>
  <c r="C4528" i="1"/>
  <c r="A1405" i="1"/>
  <c r="B1405" i="1"/>
  <c r="C1405" i="1"/>
  <c r="A5932" i="1"/>
  <c r="B5932" i="1"/>
  <c r="C5932" i="1"/>
  <c r="A1474" i="1"/>
  <c r="B1474" i="1"/>
  <c r="C1474" i="1"/>
  <c r="A3992" i="1"/>
  <c r="B3992" i="1"/>
  <c r="C3992" i="1"/>
  <c r="A6236" i="1"/>
  <c r="B6236" i="1"/>
  <c r="C6236" i="1"/>
  <c r="A1131" i="1"/>
  <c r="B1131" i="1"/>
  <c r="C1131" i="1"/>
  <c r="A8206" i="1"/>
  <c r="B8206" i="1"/>
  <c r="C8206" i="1"/>
  <c r="A11191" i="1"/>
  <c r="B11191" i="1"/>
  <c r="C11191" i="1"/>
  <c r="A3687" i="1"/>
  <c r="B3687" i="1"/>
  <c r="C3687" i="1"/>
  <c r="A10378" i="1"/>
  <c r="B10378" i="1"/>
  <c r="C10378" i="1"/>
  <c r="A4095" i="1"/>
  <c r="B4095" i="1"/>
  <c r="C4095" i="1"/>
  <c r="A1177" i="1"/>
  <c r="B1177" i="1"/>
  <c r="C1177" i="1"/>
  <c r="A10921" i="1"/>
  <c r="B10921" i="1"/>
  <c r="C10921" i="1"/>
  <c r="A10418" i="1"/>
  <c r="B10418" i="1"/>
  <c r="C10418" i="1"/>
  <c r="A1270" i="1"/>
  <c r="B1270" i="1"/>
  <c r="C1270" i="1"/>
  <c r="A361" i="1"/>
  <c r="B361" i="1"/>
  <c r="C361" i="1"/>
  <c r="A362" i="1"/>
  <c r="B362" i="1"/>
  <c r="C362" i="1"/>
  <c r="A2474" i="1"/>
  <c r="B2474" i="1"/>
  <c r="C2474" i="1"/>
  <c r="A10235" i="1"/>
  <c r="B10235" i="1"/>
  <c r="C10235" i="1"/>
  <c r="A10236" i="1"/>
  <c r="B10236" i="1"/>
  <c r="C10236" i="1"/>
  <c r="A13627" i="1"/>
  <c r="B13627" i="1"/>
  <c r="C13627" i="1"/>
  <c r="A146" i="1"/>
  <c r="B146" i="1"/>
  <c r="C146" i="1"/>
  <c r="A2654" i="1"/>
  <c r="B2654" i="1"/>
  <c r="C2654" i="1"/>
  <c r="A13666" i="1"/>
  <c r="B13666" i="1"/>
  <c r="C13666" i="1"/>
  <c r="A5616" i="1"/>
  <c r="B5616" i="1"/>
  <c r="C5616" i="1"/>
  <c r="A924" i="1"/>
  <c r="B924" i="1"/>
  <c r="C924" i="1"/>
  <c r="A12618" i="1"/>
  <c r="B12618" i="1"/>
  <c r="C12618" i="1"/>
  <c r="A12903" i="1"/>
  <c r="B12903" i="1"/>
  <c r="C12903" i="1"/>
  <c r="A13482" i="1"/>
  <c r="B13482" i="1"/>
  <c r="C13482" i="1"/>
  <c r="A2093" i="1"/>
  <c r="B2093" i="1"/>
  <c r="C2093" i="1"/>
  <c r="A4407" i="1"/>
  <c r="B4407" i="1"/>
  <c r="C4407" i="1"/>
  <c r="A5825" i="1"/>
  <c r="B5825" i="1"/>
  <c r="C5825" i="1"/>
  <c r="A10367" i="1"/>
  <c r="B10367" i="1"/>
  <c r="C10367" i="1"/>
  <c r="A10806" i="1"/>
  <c r="B10806" i="1"/>
  <c r="C10806" i="1"/>
  <c r="A7302" i="1"/>
  <c r="B7302" i="1"/>
  <c r="C7302" i="1"/>
  <c r="A11085" i="1"/>
  <c r="B11085" i="1"/>
  <c r="C11085" i="1"/>
  <c r="A8586" i="1"/>
  <c r="B8586" i="1"/>
  <c r="C8586" i="1"/>
  <c r="A11616" i="1"/>
  <c r="B11616" i="1"/>
  <c r="C11616" i="1"/>
  <c r="A6988" i="1"/>
  <c r="B6988" i="1"/>
  <c r="C6988" i="1"/>
  <c r="A1977" i="1"/>
  <c r="B1977" i="1"/>
  <c r="C1977" i="1"/>
  <c r="A4420" i="1"/>
  <c r="B4420" i="1"/>
  <c r="C4420" i="1"/>
  <c r="A12421" i="1"/>
  <c r="B12421" i="1"/>
  <c r="C12421" i="1"/>
  <c r="A5329" i="1"/>
  <c r="B5329" i="1"/>
  <c r="C5329" i="1"/>
  <c r="A9565" i="1"/>
  <c r="B9565" i="1"/>
  <c r="C9565" i="1"/>
  <c r="A8714" i="1"/>
  <c r="B8714" i="1"/>
  <c r="C8714" i="1"/>
  <c r="A5949" i="1"/>
  <c r="B5949" i="1"/>
  <c r="C5949" i="1"/>
  <c r="A7744" i="1"/>
  <c r="B7744" i="1"/>
  <c r="C7744" i="1"/>
  <c r="A12479" i="1"/>
  <c r="B12479" i="1"/>
  <c r="C12479" i="1"/>
  <c r="A5373" i="1"/>
  <c r="B5373" i="1"/>
  <c r="C5373" i="1"/>
  <c r="A3425" i="1"/>
  <c r="B3425" i="1"/>
  <c r="C3425" i="1"/>
  <c r="A12619" i="1"/>
  <c r="B12619" i="1"/>
  <c r="C12619" i="1"/>
  <c r="A12116" i="1"/>
  <c r="B12116" i="1"/>
  <c r="C12116" i="1"/>
  <c r="A2962" i="1"/>
  <c r="B2962" i="1"/>
  <c r="C2962" i="1"/>
  <c r="A8022" i="1"/>
  <c r="B8022" i="1"/>
  <c r="C8022" i="1"/>
  <c r="A9871" i="1"/>
  <c r="B9871" i="1"/>
  <c r="C9871" i="1"/>
  <c r="A12960" i="1"/>
  <c r="B12960" i="1"/>
  <c r="C12960" i="1"/>
  <c r="A6806" i="1"/>
  <c r="B6806" i="1"/>
  <c r="C6806" i="1"/>
  <c r="A13753" i="1"/>
  <c r="B13753" i="1"/>
  <c r="C13753" i="1"/>
  <c r="A3699" i="1"/>
  <c r="B3699" i="1"/>
  <c r="C3699" i="1"/>
  <c r="A12418" i="1"/>
  <c r="B12418" i="1"/>
  <c r="A12419" i="1"/>
  <c r="B12419" i="1"/>
  <c r="A2668" i="1"/>
  <c r="B2668" i="1"/>
  <c r="C2668" i="1"/>
  <c r="A8836" i="1"/>
  <c r="B8836" i="1"/>
  <c r="C8836" i="1"/>
  <c r="A1812" i="1"/>
  <c r="B1812" i="1"/>
  <c r="C1812" i="1"/>
  <c r="A3374" i="1"/>
  <c r="B3374" i="1"/>
  <c r="C3374" i="1"/>
  <c r="A13729" i="1"/>
  <c r="B13729" i="1"/>
  <c r="C13729" i="1"/>
  <c r="A6589" i="1"/>
  <c r="B6589" i="1"/>
  <c r="C6589" i="1"/>
  <c r="A13425" i="1"/>
  <c r="B13425" i="1"/>
  <c r="C13425" i="1"/>
  <c r="A3313" i="1"/>
  <c r="B3313" i="1"/>
  <c r="C3313" i="1"/>
  <c r="A3392" i="1"/>
  <c r="B3392" i="1"/>
  <c r="C3392" i="1"/>
  <c r="A2875" i="1"/>
  <c r="B2875" i="1"/>
  <c r="C2875" i="1"/>
  <c r="A4800" i="1"/>
  <c r="B4800" i="1"/>
  <c r="C4800" i="1"/>
  <c r="A10215" i="1"/>
  <c r="B10215" i="1"/>
  <c r="C10215" i="1"/>
  <c r="A7218" i="1"/>
  <c r="B7218" i="1"/>
  <c r="C7218" i="1"/>
  <c r="A12639" i="1"/>
  <c r="B12639" i="1"/>
  <c r="C12639" i="1"/>
  <c r="A3909" i="1"/>
  <c r="B3909" i="1"/>
  <c r="C3909" i="1"/>
  <c r="A3942" i="1"/>
  <c r="B3942" i="1"/>
  <c r="C3942" i="1"/>
  <c r="A7616" i="1"/>
  <c r="B7616" i="1"/>
  <c r="C7616" i="1"/>
  <c r="A7617" i="1"/>
  <c r="B7617" i="1"/>
  <c r="C7617" i="1"/>
  <c r="A7618" i="1"/>
  <c r="B7618" i="1"/>
  <c r="C7618" i="1"/>
  <c r="A7619" i="1"/>
  <c r="B7619" i="1"/>
  <c r="C7619" i="1"/>
  <c r="A7620" i="1"/>
  <c r="B7620" i="1"/>
  <c r="C7620" i="1"/>
  <c r="A7855" i="1"/>
  <c r="B7855" i="1"/>
  <c r="C7855" i="1"/>
  <c r="A7565" i="1"/>
  <c r="B7565" i="1"/>
  <c r="C7565" i="1"/>
  <c r="A1634" i="1"/>
  <c r="B1634" i="1"/>
  <c r="C1634" i="1"/>
  <c r="A2515" i="1"/>
  <c r="B2515" i="1"/>
  <c r="C2515" i="1"/>
  <c r="A5289" i="1"/>
  <c r="B5289" i="1"/>
  <c r="C5289" i="1"/>
  <c r="A5290" i="1"/>
  <c r="B5290" i="1"/>
  <c r="C5290" i="1"/>
  <c r="A5291" i="1"/>
  <c r="B5291" i="1"/>
  <c r="C5291" i="1"/>
  <c r="A5292" i="1"/>
  <c r="B5292" i="1"/>
  <c r="C5292" i="1"/>
  <c r="A5293" i="1"/>
  <c r="B5293" i="1"/>
  <c r="C5293" i="1"/>
  <c r="A5187" i="1"/>
  <c r="B5187" i="1"/>
  <c r="C5187" i="1"/>
  <c r="A1123" i="1"/>
  <c r="B1123" i="1"/>
  <c r="C1123" i="1"/>
  <c r="A11280" i="1"/>
  <c r="B11280" i="1"/>
  <c r="C11280" i="1"/>
  <c r="A3342" i="1"/>
  <c r="B3342" i="1"/>
  <c r="C3342" i="1"/>
  <c r="A4817" i="1"/>
  <c r="B4817" i="1"/>
  <c r="C4817" i="1"/>
  <c r="A169" i="1"/>
  <c r="B169" i="1"/>
  <c r="C169" i="1"/>
  <c r="A8254" i="1"/>
  <c r="B8254" i="1"/>
  <c r="C8254" i="1"/>
  <c r="A3875" i="1"/>
  <c r="B3875" i="1"/>
  <c r="C3875" i="1"/>
  <c r="A6960" i="1"/>
  <c r="B6960" i="1"/>
  <c r="C6960" i="1"/>
  <c r="A6294" i="1"/>
  <c r="B6294" i="1"/>
  <c r="C6294" i="1"/>
  <c r="A2812" i="1"/>
  <c r="B2812" i="1"/>
  <c r="C2812" i="1"/>
  <c r="A7229" i="1"/>
  <c r="B7229" i="1"/>
  <c r="C7229" i="1"/>
  <c r="A8585" i="1"/>
  <c r="B8585" i="1"/>
  <c r="C8585" i="1"/>
  <c r="A6249" i="1"/>
  <c r="B6249" i="1"/>
  <c r="C6249" i="1"/>
  <c r="A11457" i="1"/>
  <c r="B11457" i="1"/>
  <c r="C11457" i="1"/>
  <c r="A9557" i="1"/>
  <c r="B9557" i="1"/>
  <c r="C9557" i="1"/>
  <c r="A4787" i="1"/>
  <c r="B4787" i="1"/>
  <c r="C4787" i="1"/>
  <c r="A9229" i="1"/>
  <c r="B9229" i="1"/>
  <c r="C9229" i="1"/>
  <c r="A9880" i="1"/>
  <c r="B9880" i="1"/>
  <c r="C9880" i="1"/>
  <c r="A9881" i="1"/>
  <c r="B9881" i="1"/>
  <c r="C9881" i="1"/>
  <c r="A8642" i="1"/>
  <c r="B8642" i="1"/>
  <c r="C8642" i="1"/>
  <c r="A9581" i="1"/>
  <c r="B9581" i="1"/>
  <c r="C9581" i="1"/>
  <c r="A6198" i="1"/>
  <c r="B6198" i="1"/>
  <c r="C6198" i="1"/>
  <c r="A4196" i="1"/>
  <c r="B4196" i="1"/>
  <c r="C4196" i="1"/>
  <c r="A11379" i="1"/>
  <c r="B11379" i="1"/>
  <c r="C11379" i="1"/>
  <c r="A114" i="1"/>
  <c r="B114" i="1"/>
  <c r="C114" i="1"/>
  <c r="A11303" i="1"/>
  <c r="B11303" i="1"/>
  <c r="C11303" i="1"/>
  <c r="A4316" i="1"/>
  <c r="B4316" i="1"/>
  <c r="C4316" i="1"/>
  <c r="A7023" i="1"/>
  <c r="B7023" i="1"/>
  <c r="C7023" i="1"/>
  <c r="A6630" i="1"/>
  <c r="B6630" i="1"/>
  <c r="C6630" i="1"/>
  <c r="A1543" i="1"/>
  <c r="B1543" i="1"/>
  <c r="C1543" i="1"/>
  <c r="A4992" i="1"/>
  <c r="B4992" i="1"/>
  <c r="C4992" i="1"/>
  <c r="A2973" i="1"/>
  <c r="B2973" i="1"/>
  <c r="C2973" i="1"/>
  <c r="A1773" i="1"/>
  <c r="B1773" i="1"/>
  <c r="C1773" i="1"/>
  <c r="A12187" i="1"/>
  <c r="B12187" i="1"/>
  <c r="C12187" i="1"/>
  <c r="A13324" i="1"/>
  <c r="B13324" i="1"/>
  <c r="C13324" i="1"/>
  <c r="A496" i="1"/>
  <c r="B496" i="1"/>
  <c r="C496" i="1"/>
  <c r="A1500" i="1"/>
  <c r="B1500" i="1"/>
  <c r="C1500" i="1"/>
  <c r="A7370" i="1"/>
  <c r="B7370" i="1"/>
  <c r="C7370" i="1"/>
  <c r="A13252" i="1"/>
  <c r="B13252" i="1"/>
  <c r="C13252" i="1"/>
  <c r="A10580" i="1"/>
  <c r="B10580" i="1"/>
  <c r="C10580" i="1"/>
  <c r="A9331" i="1"/>
  <c r="B9331" i="1"/>
  <c r="C9331" i="1"/>
  <c r="A10282" i="1"/>
  <c r="B10282" i="1"/>
  <c r="C10282" i="1"/>
  <c r="A6978" i="1"/>
  <c r="B6978" i="1"/>
  <c r="C6978" i="1"/>
  <c r="A3941" i="1"/>
  <c r="B3941" i="1"/>
  <c r="C3941" i="1"/>
  <c r="A4213" i="1"/>
  <c r="B4213" i="1"/>
  <c r="C4213" i="1"/>
  <c r="A6202" i="1"/>
  <c r="B6202" i="1"/>
  <c r="C6202" i="1"/>
  <c r="A11226" i="1"/>
  <c r="B11226" i="1"/>
  <c r="C11226" i="1"/>
  <c r="A3525" i="1"/>
  <c r="B3525" i="1"/>
  <c r="C3525" i="1"/>
  <c r="A3526" i="1"/>
  <c r="B3526" i="1"/>
  <c r="C3526" i="1"/>
  <c r="A6370" i="1"/>
  <c r="B6370" i="1"/>
  <c r="C6370" i="1"/>
  <c r="A5703" i="1"/>
  <c r="B5703" i="1"/>
  <c r="C5703" i="1"/>
  <c r="A902" i="1"/>
  <c r="B902" i="1"/>
  <c r="C902" i="1"/>
  <c r="A762" i="1"/>
  <c r="B762" i="1"/>
  <c r="C762" i="1"/>
  <c r="A1804" i="1"/>
  <c r="B1804" i="1"/>
  <c r="C1804" i="1"/>
  <c r="A4092" i="1"/>
  <c r="B4092" i="1"/>
  <c r="C4092" i="1"/>
  <c r="A6475" i="1"/>
  <c r="B6475" i="1"/>
  <c r="C6475" i="1"/>
  <c r="A2718" i="1"/>
  <c r="B2718" i="1"/>
  <c r="C2718" i="1"/>
  <c r="A11899" i="1"/>
  <c r="B11899" i="1"/>
  <c r="C11899" i="1"/>
  <c r="A1904" i="1"/>
  <c r="B1904" i="1"/>
  <c r="C1904" i="1"/>
  <c r="A12966" i="1"/>
  <c r="B12966" i="1"/>
  <c r="C12966" i="1"/>
  <c r="A8115" i="1"/>
  <c r="B8115" i="1"/>
  <c r="C8115" i="1"/>
  <c r="A6017" i="1"/>
  <c r="B6017" i="1"/>
  <c r="C6017" i="1"/>
  <c r="A13725" i="1"/>
  <c r="B13725" i="1"/>
  <c r="C13725" i="1"/>
  <c r="A668" i="1"/>
  <c r="B668" i="1"/>
  <c r="C668" i="1"/>
  <c r="A1894" i="1"/>
  <c r="B1894" i="1"/>
  <c r="C1894" i="1"/>
  <c r="A11100" i="1"/>
  <c r="B11100" i="1"/>
  <c r="C11100" i="1"/>
  <c r="A1960" i="1"/>
  <c r="B1960" i="1"/>
  <c r="C1960" i="1"/>
  <c r="A2820" i="1"/>
  <c r="B2820" i="1"/>
  <c r="C2820" i="1"/>
  <c r="A1019" i="1"/>
  <c r="B1019" i="1"/>
  <c r="C1019" i="1"/>
  <c r="A616" i="1"/>
  <c r="B616" i="1"/>
  <c r="C616" i="1"/>
  <c r="A6567" i="1"/>
  <c r="B6567" i="1"/>
  <c r="C6567" i="1"/>
  <c r="A557" i="1"/>
  <c r="B557" i="1"/>
  <c r="C557" i="1"/>
  <c r="A4499" i="1"/>
  <c r="B4499" i="1"/>
  <c r="C4499" i="1"/>
  <c r="A8322" i="1"/>
  <c r="B8322" i="1"/>
  <c r="C8322" i="1"/>
  <c r="A9987" i="1"/>
  <c r="B9987" i="1"/>
  <c r="C9987" i="1"/>
  <c r="A5264" i="1"/>
  <c r="B5264" i="1"/>
  <c r="C5264" i="1"/>
  <c r="A5774" i="1"/>
  <c r="B5774" i="1"/>
  <c r="C5774" i="1"/>
  <c r="A11039" i="1"/>
  <c r="B11039" i="1"/>
  <c r="C11039" i="1"/>
  <c r="A12840" i="1"/>
  <c r="B12840" i="1"/>
  <c r="C12840" i="1"/>
  <c r="A5404" i="1"/>
  <c r="B5404" i="1"/>
  <c r="C5404" i="1"/>
  <c r="A5119" i="1"/>
  <c r="B5119" i="1"/>
  <c r="C5119" i="1"/>
  <c r="A227" i="1"/>
  <c r="B227" i="1"/>
  <c r="C227" i="1"/>
  <c r="A10817" i="1"/>
  <c r="B10817" i="1"/>
  <c r="C10817" i="1"/>
  <c r="A1877" i="1"/>
  <c r="B1877" i="1"/>
  <c r="C1877" i="1"/>
  <c r="A1437" i="1"/>
  <c r="B1437" i="1"/>
  <c r="C1437" i="1"/>
  <c r="A6563" i="1"/>
  <c r="B6563" i="1"/>
  <c r="C6563" i="1"/>
  <c r="A2375" i="1"/>
  <c r="B2375" i="1"/>
  <c r="C2375" i="1"/>
  <c r="A8468" i="1"/>
  <c r="B8468" i="1"/>
  <c r="C8468" i="1"/>
  <c r="A2704" i="1"/>
  <c r="B2704" i="1"/>
  <c r="C2704" i="1"/>
  <c r="A5948" i="1"/>
  <c r="B5948" i="1"/>
  <c r="C5948" i="1"/>
  <c r="A2628" i="1"/>
  <c r="B2628" i="1"/>
  <c r="C2628" i="1"/>
  <c r="A10368" i="1"/>
  <c r="B10368" i="1"/>
  <c r="C10368" i="1"/>
  <c r="A10205" i="1"/>
  <c r="B10205" i="1"/>
  <c r="C10205" i="1"/>
  <c r="A2186" i="1"/>
  <c r="B2186" i="1"/>
  <c r="C2186" i="1"/>
  <c r="A6269" i="1"/>
  <c r="B6269" i="1"/>
  <c r="C6269" i="1"/>
  <c r="A12289" i="1"/>
  <c r="B12289" i="1"/>
  <c r="C12289" i="1"/>
  <c r="A10679" i="1"/>
  <c r="B10679" i="1"/>
  <c r="C10679" i="1"/>
  <c r="A2509" i="1"/>
  <c r="B2509" i="1"/>
  <c r="C2509" i="1"/>
  <c r="A1655" i="1"/>
  <c r="B1655" i="1"/>
  <c r="C1655" i="1"/>
  <c r="A1175" i="1"/>
  <c r="B1175" i="1"/>
  <c r="C1175" i="1"/>
  <c r="A13607" i="1"/>
  <c r="B13607" i="1"/>
  <c r="C13607" i="1"/>
  <c r="A12560" i="1"/>
  <c r="B12560" i="1"/>
  <c r="C12560" i="1"/>
  <c r="A1908" i="1"/>
  <c r="B1908" i="1"/>
  <c r="C1908" i="1"/>
  <c r="A2353" i="1"/>
  <c r="B2353" i="1"/>
  <c r="C2353" i="1"/>
  <c r="A3578" i="1"/>
  <c r="B3578" i="1"/>
  <c r="C3578" i="1"/>
  <c r="A7445" i="1"/>
  <c r="B7445" i="1"/>
  <c r="C7445" i="1"/>
  <c r="A13272" i="1"/>
  <c r="B13272" i="1"/>
  <c r="C13272" i="1"/>
  <c r="A8086" i="1"/>
  <c r="B8086" i="1"/>
  <c r="C8086" i="1"/>
  <c r="A11630" i="1"/>
  <c r="B11630" i="1"/>
  <c r="C11630" i="1"/>
  <c r="A7461" i="1"/>
  <c r="B7461" i="1"/>
  <c r="C7461" i="1"/>
  <c r="A9663" i="1"/>
  <c r="B9663" i="1"/>
  <c r="C9663" i="1"/>
  <c r="A6504" i="1"/>
  <c r="B6504" i="1"/>
  <c r="C6504" i="1"/>
  <c r="A12268" i="1"/>
  <c r="B12268" i="1"/>
  <c r="C12268" i="1"/>
  <c r="A240" i="1"/>
  <c r="B240" i="1"/>
  <c r="C240" i="1"/>
  <c r="A241" i="1"/>
  <c r="B241" i="1"/>
  <c r="C241" i="1"/>
  <c r="A242" i="1"/>
  <c r="B242" i="1"/>
  <c r="C242" i="1"/>
  <c r="A243" i="1"/>
  <c r="B243" i="1"/>
  <c r="C243" i="1"/>
  <c r="A9362" i="1"/>
  <c r="B9362" i="1"/>
  <c r="C9362" i="1"/>
  <c r="A1075" i="1"/>
  <c r="B1075" i="1"/>
  <c r="C1075" i="1"/>
  <c r="A7991" i="1"/>
  <c r="B7991" i="1"/>
  <c r="C7991" i="1"/>
  <c r="A344" i="1"/>
  <c r="B344" i="1"/>
  <c r="C344" i="1"/>
  <c r="A9788" i="1"/>
  <c r="B9788" i="1"/>
  <c r="C9788" i="1"/>
  <c r="A7510" i="1"/>
  <c r="B7510" i="1"/>
  <c r="C7510" i="1"/>
  <c r="A5577" i="1"/>
  <c r="B5577" i="1"/>
  <c r="C5577" i="1"/>
  <c r="A1350" i="1"/>
  <c r="B1350" i="1"/>
  <c r="C1350" i="1"/>
  <c r="A11716" i="1"/>
  <c r="B11716" i="1"/>
  <c r="C11716" i="1"/>
  <c r="A2578" i="1"/>
  <c r="B2578" i="1"/>
  <c r="C2578" i="1"/>
  <c r="A10753" i="1"/>
  <c r="B10753" i="1"/>
  <c r="C10753" i="1"/>
  <c r="A682" i="1"/>
  <c r="B682" i="1"/>
  <c r="C682" i="1"/>
  <c r="A13695" i="1"/>
  <c r="B13695" i="1"/>
  <c r="C13695" i="1"/>
  <c r="A7028" i="1"/>
  <c r="B7028" i="1"/>
  <c r="C7028" i="1"/>
  <c r="A12635" i="1"/>
  <c r="B12635" i="1"/>
  <c r="C12635" i="1"/>
  <c r="A3563" i="1"/>
  <c r="B3563" i="1"/>
  <c r="C3563" i="1"/>
  <c r="A6162" i="1"/>
  <c r="B6162" i="1"/>
  <c r="C6162" i="1"/>
  <c r="A8733" i="1"/>
  <c r="B8733" i="1"/>
  <c r="C8733" i="1"/>
  <c r="A8565" i="1"/>
  <c r="B8565" i="1"/>
  <c r="C8565" i="1"/>
  <c r="A13818" i="1"/>
  <c r="B13818" i="1"/>
  <c r="C13818" i="1"/>
  <c r="A8140" i="1"/>
  <c r="B8140" i="1"/>
  <c r="C8140" i="1"/>
  <c r="A6904" i="1"/>
  <c r="B6904" i="1"/>
  <c r="C6904" i="1"/>
  <c r="A11439" i="1"/>
  <c r="B11439" i="1"/>
  <c r="C11439" i="1"/>
  <c r="A2953" i="1"/>
  <c r="B2953" i="1"/>
  <c r="C2953" i="1"/>
  <c r="A1243" i="1"/>
  <c r="B1243" i="1"/>
  <c r="C1243" i="1"/>
  <c r="A13882" i="1"/>
  <c r="B13882" i="1"/>
  <c r="C13882" i="1"/>
  <c r="A6089" i="1"/>
  <c r="B6089" i="1"/>
  <c r="C6089" i="1"/>
  <c r="A1391" i="1"/>
  <c r="B1391" i="1"/>
  <c r="C1391" i="1"/>
  <c r="A5440" i="1"/>
  <c r="B5440" i="1"/>
  <c r="C5440" i="1"/>
  <c r="A7093" i="1"/>
  <c r="B7093" i="1"/>
  <c r="C7093" i="1"/>
  <c r="A8647" i="1"/>
  <c r="B8647" i="1"/>
  <c r="C8647" i="1"/>
  <c r="A2118" i="1"/>
  <c r="B2118" i="1"/>
  <c r="C2118" i="1"/>
  <c r="A11641" i="1"/>
  <c r="B11641" i="1"/>
  <c r="C11641" i="1"/>
  <c r="A9993" i="1"/>
  <c r="B9993" i="1"/>
  <c r="C9993" i="1"/>
  <c r="A1556" i="1"/>
  <c r="B1556" i="1"/>
  <c r="C1556" i="1"/>
  <c r="A4820" i="1"/>
  <c r="B4820" i="1"/>
  <c r="C4820" i="1"/>
  <c r="A3545" i="1"/>
  <c r="B3545" i="1"/>
  <c r="C3545" i="1"/>
  <c r="A950" i="1"/>
  <c r="B950" i="1"/>
  <c r="C950" i="1"/>
  <c r="A11237" i="1"/>
  <c r="B11237" i="1"/>
  <c r="C11237" i="1"/>
  <c r="A13564" i="1"/>
  <c r="B13564" i="1"/>
  <c r="C13564" i="1"/>
  <c r="A250" i="1"/>
  <c r="B250" i="1"/>
  <c r="C250" i="1"/>
  <c r="A5114" i="1"/>
  <c r="B5114" i="1"/>
  <c r="C5114" i="1"/>
  <c r="A2645" i="1"/>
  <c r="B2645" i="1"/>
  <c r="C2645" i="1"/>
  <c r="A2081" i="1"/>
  <c r="B2081" i="1"/>
  <c r="C2081" i="1"/>
  <c r="A2646" i="1"/>
  <c r="B2646" i="1"/>
  <c r="C2646" i="1"/>
  <c r="A2013" i="1"/>
  <c r="B2013" i="1"/>
  <c r="C2013" i="1"/>
  <c r="A2014" i="1"/>
  <c r="B2014" i="1"/>
  <c r="C2014" i="1"/>
  <c r="A11637" i="1"/>
  <c r="B11637" i="1"/>
  <c r="C11637" i="1"/>
  <c r="A10756" i="1"/>
  <c r="B10756" i="1"/>
  <c r="C10756" i="1"/>
  <c r="A12425" i="1"/>
  <c r="B12425" i="1"/>
  <c r="C12425" i="1"/>
  <c r="A9705" i="1"/>
  <c r="B9705" i="1"/>
  <c r="C9705" i="1"/>
  <c r="A6227" i="1"/>
  <c r="B6227" i="1"/>
  <c r="C6227" i="1"/>
  <c r="A6228" i="1"/>
  <c r="B6228" i="1"/>
  <c r="C6228" i="1"/>
  <c r="A5062" i="1"/>
  <c r="B5062" i="1"/>
  <c r="C5062" i="1"/>
  <c r="A12054" i="1"/>
  <c r="B12054" i="1"/>
  <c r="C12054" i="1"/>
  <c r="A3103" i="1"/>
  <c r="B3103" i="1"/>
  <c r="C3103" i="1"/>
  <c r="A12613" i="1"/>
  <c r="B12613" i="1"/>
  <c r="C12613" i="1"/>
  <c r="A4783" i="1"/>
  <c r="B4783" i="1"/>
  <c r="C4783" i="1"/>
  <c r="A8588" i="1"/>
  <c r="B8588" i="1"/>
  <c r="C8588" i="1"/>
  <c r="A8837" i="1"/>
  <c r="B8837" i="1"/>
  <c r="C8837" i="1"/>
  <c r="A6713" i="1"/>
  <c r="B6713" i="1"/>
  <c r="C6713" i="1"/>
  <c r="A10457" i="1"/>
  <c r="B10457" i="1"/>
  <c r="C10457" i="1"/>
  <c r="A7240" i="1"/>
  <c r="B7240" i="1"/>
  <c r="C7240" i="1"/>
  <c r="A10507" i="1"/>
  <c r="B10507" i="1"/>
  <c r="C10507" i="1"/>
  <c r="A1893" i="1"/>
  <c r="B1893" i="1"/>
  <c r="C1893" i="1"/>
  <c r="A6163" i="1"/>
  <c r="B6163" i="1"/>
  <c r="C6163" i="1"/>
  <c r="A3904" i="1"/>
  <c r="B3904" i="1"/>
  <c r="C3904" i="1"/>
  <c r="A1973" i="1"/>
  <c r="B1973" i="1"/>
  <c r="C1973" i="1"/>
  <c r="A7126" i="1"/>
  <c r="B7126" i="1"/>
  <c r="C7126" i="1"/>
  <c r="A4847" i="1"/>
  <c r="B4847" i="1"/>
  <c r="C4847" i="1"/>
  <c r="A6703" i="1"/>
  <c r="B6703" i="1"/>
  <c r="C6703" i="1"/>
  <c r="A12176" i="1"/>
  <c r="B12176" i="1"/>
  <c r="C12176" i="1"/>
  <c r="A7847" i="1"/>
  <c r="B7847" i="1"/>
  <c r="C7847" i="1"/>
  <c r="A3393" i="1"/>
  <c r="B3393" i="1"/>
  <c r="C3393" i="1"/>
  <c r="A2593" i="1"/>
  <c r="B2593" i="1"/>
  <c r="C2593" i="1"/>
  <c r="A6078" i="1"/>
  <c r="B6078" i="1"/>
  <c r="C6078" i="1"/>
  <c r="A5819" i="1"/>
  <c r="B5819" i="1"/>
  <c r="C5819" i="1"/>
  <c r="A6400" i="1"/>
  <c r="B6400" i="1"/>
  <c r="C6400" i="1"/>
  <c r="A8408" i="1"/>
  <c r="B8408" i="1"/>
  <c r="C8408" i="1"/>
  <c r="A985" i="1"/>
  <c r="B985" i="1"/>
  <c r="C985" i="1"/>
  <c r="A7603" i="1"/>
  <c r="B7603" i="1"/>
  <c r="C7603" i="1"/>
  <c r="A7141" i="1"/>
  <c r="B7141" i="1"/>
  <c r="C7141" i="1"/>
  <c r="A10548" i="1"/>
  <c r="B10548" i="1"/>
  <c r="C10548" i="1"/>
  <c r="A9034" i="1"/>
  <c r="B9034" i="1"/>
  <c r="C9034" i="1"/>
  <c r="A7562" i="1"/>
  <c r="B7562" i="1"/>
  <c r="C7562" i="1"/>
  <c r="A9843" i="1"/>
  <c r="B9843" i="1"/>
  <c r="C9843" i="1"/>
  <c r="A4500" i="1"/>
  <c r="B4500" i="1"/>
  <c r="C4500" i="1"/>
  <c r="A7826" i="1"/>
  <c r="B7826" i="1"/>
  <c r="C7826" i="1"/>
  <c r="A3470" i="1"/>
  <c r="B3470" i="1"/>
  <c r="C3470" i="1"/>
  <c r="A11138" i="1"/>
  <c r="B11138" i="1"/>
  <c r="C11138" i="1"/>
  <c r="A9591" i="1"/>
  <c r="B9591" i="1"/>
  <c r="C9591" i="1"/>
  <c r="A11076" i="1"/>
  <c r="B11076" i="1"/>
  <c r="C11076" i="1"/>
  <c r="A13822" i="1"/>
  <c r="B13822" i="1"/>
  <c r="C13822" i="1"/>
  <c r="A12761" i="1"/>
  <c r="B12761" i="1"/>
  <c r="C12761" i="1"/>
  <c r="A4489" i="1"/>
  <c r="B4489" i="1"/>
  <c r="C4489" i="1"/>
  <c r="A3246" i="1"/>
  <c r="B3246" i="1"/>
  <c r="C3246" i="1"/>
  <c r="A13573" i="1"/>
  <c r="B13573" i="1"/>
  <c r="C13573" i="1"/>
  <c r="A6984" i="1"/>
  <c r="B6984" i="1"/>
  <c r="C6984" i="1"/>
  <c r="A3808" i="1"/>
  <c r="B3808" i="1"/>
  <c r="A2984" i="1"/>
  <c r="B2984" i="1"/>
  <c r="C2984" i="1"/>
  <c r="A11579" i="1"/>
  <c r="B11579" i="1"/>
  <c r="C11579" i="1"/>
  <c r="A3656" i="1"/>
  <c r="B3656" i="1"/>
  <c r="C3656" i="1"/>
  <c r="A6858" i="1"/>
  <c r="B6858" i="1"/>
  <c r="C6858" i="1"/>
  <c r="A8026" i="1"/>
  <c r="B8026" i="1"/>
  <c r="C8026" i="1"/>
  <c r="A1040" i="1"/>
  <c r="B1040" i="1"/>
  <c r="C1040" i="1"/>
  <c r="A13705" i="1"/>
  <c r="B13705" i="1"/>
  <c r="C13705" i="1"/>
  <c r="A2674" i="1"/>
  <c r="B2674" i="1"/>
  <c r="C2674" i="1"/>
  <c r="A3241" i="1"/>
  <c r="B3241" i="1"/>
  <c r="C3241" i="1"/>
  <c r="A10742" i="1"/>
  <c r="B10742" i="1"/>
  <c r="C10742" i="1"/>
  <c r="A2273" i="1"/>
  <c r="B2273" i="1"/>
  <c r="C2273" i="1"/>
  <c r="A1917" i="1"/>
  <c r="B1917" i="1"/>
  <c r="C1917" i="1"/>
  <c r="A6100" i="1"/>
  <c r="B6100" i="1"/>
  <c r="C6100" i="1"/>
  <c r="A5116" i="1"/>
  <c r="B5116" i="1"/>
  <c r="C5116" i="1"/>
  <c r="A4176" i="1"/>
  <c r="B4176" i="1"/>
  <c r="C4176" i="1"/>
  <c r="A468" i="1"/>
  <c r="B468" i="1"/>
  <c r="A778" i="1"/>
  <c r="B778" i="1"/>
  <c r="C778" i="1"/>
  <c r="A385" i="1"/>
  <c r="B385" i="1"/>
  <c r="C385" i="1"/>
  <c r="A1011" i="1"/>
  <c r="B1011" i="1"/>
  <c r="C1011" i="1"/>
  <c r="A1378" i="1"/>
  <c r="B1378" i="1"/>
  <c r="C1378" i="1"/>
  <c r="A6010" i="1"/>
  <c r="B6010" i="1"/>
  <c r="C6010" i="1"/>
  <c r="A8126" i="1"/>
  <c r="B8126" i="1"/>
  <c r="C8126" i="1"/>
  <c r="A2720" i="1"/>
  <c r="B2720" i="1"/>
  <c r="C2720" i="1"/>
  <c r="A9852" i="1"/>
  <c r="B9852" i="1"/>
  <c r="C9852" i="1"/>
  <c r="A9853" i="1"/>
  <c r="B9853" i="1"/>
  <c r="C9853" i="1"/>
  <c r="A7455" i="1"/>
  <c r="B7455" i="1"/>
  <c r="C7455" i="1"/>
  <c r="A3781" i="1"/>
  <c r="B3781" i="1"/>
  <c r="C3781" i="1"/>
  <c r="A5491" i="1"/>
  <c r="B5491" i="1"/>
  <c r="C5491" i="1"/>
  <c r="A10762" i="1"/>
  <c r="B10762" i="1"/>
  <c r="C10762" i="1"/>
  <c r="A612" i="1"/>
  <c r="B612" i="1"/>
  <c r="C612" i="1"/>
  <c r="A3523" i="1"/>
  <c r="B3523" i="1"/>
  <c r="C3523" i="1"/>
  <c r="A3521" i="1"/>
  <c r="B3521" i="1"/>
  <c r="C3521" i="1"/>
  <c r="A2517" i="1"/>
  <c r="B2517" i="1"/>
  <c r="C2517" i="1"/>
  <c r="A2145" i="1"/>
  <c r="B2145" i="1"/>
  <c r="C2145" i="1"/>
  <c r="A1370" i="1"/>
  <c r="B1370" i="1"/>
  <c r="C1370" i="1"/>
  <c r="A3396" i="1"/>
  <c r="B3396" i="1"/>
  <c r="C3396" i="1"/>
  <c r="A2448" i="1"/>
  <c r="B2448" i="1"/>
  <c r="C2448" i="1"/>
  <c r="A1509" i="1"/>
  <c r="B1509" i="1"/>
  <c r="C1509" i="1"/>
  <c r="A8628" i="1"/>
  <c r="B8628" i="1"/>
  <c r="C8628" i="1"/>
  <c r="A12642" i="1"/>
  <c r="B12642" i="1"/>
  <c r="C12642" i="1"/>
  <c r="A4319" i="1"/>
  <c r="B4319" i="1"/>
  <c r="C4319" i="1"/>
  <c r="A1323" i="1"/>
  <c r="B1323" i="1"/>
  <c r="C1323" i="1"/>
  <c r="A10151" i="1"/>
  <c r="B10151" i="1"/>
  <c r="C10151" i="1"/>
  <c r="A10029" i="1"/>
  <c r="B10029" i="1"/>
  <c r="C10029" i="1"/>
  <c r="A5683" i="1"/>
  <c r="B5683" i="1"/>
  <c r="C5683" i="1"/>
  <c r="A4943" i="1"/>
  <c r="B4943" i="1"/>
  <c r="C4943" i="1"/>
  <c r="A7553" i="1"/>
  <c r="B7553" i="1"/>
  <c r="C7553" i="1"/>
  <c r="A4740" i="1"/>
  <c r="B4740" i="1"/>
  <c r="C4740" i="1"/>
  <c r="A10911" i="1"/>
  <c r="B10911" i="1"/>
  <c r="C10911" i="1"/>
  <c r="A10912" i="1"/>
  <c r="B10912" i="1"/>
  <c r="C10912" i="1"/>
  <c r="A688" i="1"/>
  <c r="B688" i="1"/>
  <c r="C688" i="1"/>
  <c r="A5097" i="1"/>
  <c r="B5097" i="1"/>
  <c r="C5097" i="1"/>
  <c r="A3797" i="1"/>
  <c r="B3797" i="1"/>
  <c r="C3797" i="1"/>
  <c r="A13298" i="1"/>
  <c r="B13298" i="1"/>
  <c r="C13298" i="1"/>
  <c r="A9745" i="1"/>
  <c r="B9745" i="1"/>
  <c r="C9745" i="1"/>
  <c r="A13921" i="1"/>
  <c r="B13921" i="1"/>
  <c r="C13921" i="1"/>
  <c r="A8457" i="1"/>
  <c r="B8457" i="1"/>
  <c r="C8457" i="1"/>
  <c r="A6547" i="1"/>
  <c r="B6547" i="1"/>
  <c r="C6547" i="1"/>
  <c r="A6548" i="1"/>
  <c r="B6548" i="1"/>
  <c r="C6548" i="1"/>
  <c r="A9944" i="1"/>
  <c r="B9944" i="1"/>
  <c r="C9944" i="1"/>
  <c r="A9402" i="1"/>
  <c r="B9402" i="1"/>
  <c r="C9402" i="1"/>
  <c r="A6578" i="1"/>
  <c r="B6578" i="1"/>
  <c r="C6578" i="1"/>
  <c r="A1714" i="1"/>
  <c r="B1714" i="1"/>
  <c r="C1714" i="1"/>
  <c r="A6790" i="1"/>
  <c r="B6790" i="1"/>
  <c r="C6790" i="1"/>
  <c r="A9606" i="1"/>
  <c r="B9606" i="1"/>
  <c r="C9606" i="1"/>
  <c r="A12715" i="1"/>
  <c r="B12715" i="1"/>
  <c r="C12715" i="1"/>
  <c r="A7024" i="1"/>
  <c r="B7024" i="1"/>
  <c r="C7024" i="1"/>
  <c r="A5634" i="1"/>
  <c r="B5634" i="1"/>
  <c r="C5634" i="1"/>
  <c r="A13489" i="1"/>
  <c r="B13489" i="1"/>
  <c r="C13489" i="1"/>
  <c r="A7902" i="1"/>
  <c r="B7902" i="1"/>
  <c r="C7902" i="1"/>
  <c r="A10620" i="1"/>
  <c r="B10620" i="1"/>
  <c r="C10620" i="1"/>
  <c r="A5975" i="1"/>
  <c r="B5975" i="1"/>
  <c r="C5975" i="1"/>
  <c r="A1325" i="1"/>
  <c r="B1325" i="1"/>
  <c r="C1325" i="1"/>
  <c r="A1555" i="1"/>
  <c r="B1555" i="1"/>
  <c r="C1555" i="1"/>
  <c r="A1126" i="1"/>
  <c r="B1126" i="1"/>
  <c r="C1126" i="1"/>
  <c r="A3655" i="1"/>
  <c r="B3655" i="1"/>
  <c r="C3655" i="1"/>
  <c r="A5767" i="1"/>
  <c r="B5767" i="1"/>
  <c r="C5767" i="1"/>
  <c r="A9344" i="1"/>
  <c r="B9344" i="1"/>
  <c r="C9344" i="1"/>
  <c r="A2117" i="1"/>
  <c r="B2117" i="1"/>
  <c r="C2117" i="1"/>
  <c r="A297" i="1"/>
  <c r="B297" i="1"/>
  <c r="C297" i="1"/>
  <c r="A1817" i="1"/>
  <c r="B1817" i="1"/>
  <c r="C1817" i="1"/>
  <c r="A947" i="1"/>
  <c r="B947" i="1"/>
  <c r="C947" i="1"/>
  <c r="A2923" i="1"/>
  <c r="B2923" i="1"/>
  <c r="C2923" i="1"/>
  <c r="A8332" i="1"/>
  <c r="B8332" i="1"/>
  <c r="C8332" i="1"/>
  <c r="A10567" i="1"/>
  <c r="B10567" i="1"/>
  <c r="C10567" i="1"/>
  <c r="A3593" i="1"/>
  <c r="B3593" i="1"/>
  <c r="C3593" i="1"/>
  <c r="A251" i="1"/>
  <c r="B251" i="1"/>
  <c r="C251" i="1"/>
  <c r="A13357" i="1"/>
  <c r="B13357" i="1"/>
  <c r="C13357" i="1"/>
  <c r="A4055" i="1"/>
  <c r="B4055" i="1"/>
  <c r="C4055" i="1"/>
  <c r="A842" i="1"/>
  <c r="B842" i="1"/>
  <c r="C842" i="1"/>
  <c r="A13935" i="1"/>
  <c r="B13935" i="1"/>
  <c r="C13935" i="1"/>
  <c r="A6595" i="1"/>
  <c r="B6595" i="1"/>
  <c r="C6595" i="1"/>
  <c r="A3323" i="1"/>
  <c r="B3323" i="1"/>
  <c r="C3323" i="1"/>
  <c r="A10116" i="1"/>
  <c r="B10116" i="1"/>
  <c r="C10116" i="1"/>
  <c r="A11189" i="1"/>
  <c r="B11189" i="1"/>
  <c r="C11189" i="1"/>
  <c r="A13894" i="1"/>
  <c r="B13894" i="1"/>
  <c r="C13894" i="1"/>
  <c r="A2669" i="1"/>
  <c r="B2669" i="1"/>
  <c r="C2669" i="1"/>
  <c r="A12053" i="1"/>
  <c r="B12053" i="1"/>
  <c r="C12053" i="1"/>
  <c r="A10054" i="1"/>
  <c r="B10054" i="1"/>
  <c r="C10054" i="1"/>
  <c r="A10288" i="1"/>
  <c r="B10288" i="1"/>
  <c r="C10288" i="1"/>
  <c r="A5967" i="1"/>
  <c r="B5967" i="1"/>
  <c r="C5967" i="1"/>
  <c r="A2174" i="1"/>
  <c r="B2174" i="1"/>
  <c r="C2174" i="1"/>
  <c r="A13356" i="1"/>
  <c r="B13356" i="1"/>
  <c r="C13356" i="1"/>
  <c r="A1246" i="1"/>
  <c r="B1246" i="1"/>
  <c r="C1246" i="1"/>
  <c r="A7464" i="1"/>
  <c r="B7464" i="1"/>
  <c r="C7464" i="1"/>
  <c r="A968" i="1"/>
  <c r="B968" i="1"/>
  <c r="C968" i="1"/>
  <c r="A6647" i="1"/>
  <c r="B6647" i="1"/>
  <c r="C6647" i="1"/>
  <c r="A8751" i="1"/>
  <c r="B8751" i="1"/>
  <c r="C8751" i="1"/>
  <c r="A10937" i="1"/>
  <c r="B10937" i="1"/>
  <c r="C10937" i="1"/>
  <c r="A417" i="1"/>
  <c r="B417" i="1"/>
  <c r="C417" i="1"/>
  <c r="A418" i="1"/>
  <c r="B418" i="1"/>
  <c r="C418" i="1"/>
  <c r="A12246" i="1"/>
  <c r="B12246" i="1"/>
  <c r="C12246" i="1"/>
  <c r="A2863" i="1"/>
  <c r="B2863" i="1"/>
  <c r="C2863" i="1"/>
  <c r="A5300" i="1"/>
  <c r="B5300" i="1"/>
  <c r="C5300" i="1"/>
  <c r="A13154" i="1"/>
  <c r="B13154" i="1"/>
  <c r="C13154" i="1"/>
  <c r="A13155" i="1"/>
  <c r="B13155" i="1"/>
  <c r="C13155" i="1"/>
  <c r="A13156" i="1"/>
  <c r="B13156" i="1"/>
  <c r="C13156" i="1"/>
  <c r="A13157" i="1"/>
  <c r="B13157" i="1"/>
  <c r="C13157" i="1"/>
  <c r="A13158" i="1"/>
  <c r="B13158" i="1"/>
  <c r="C13158" i="1"/>
  <c r="A13159" i="1"/>
  <c r="B13159" i="1"/>
  <c r="C13159" i="1"/>
  <c r="A8889" i="1"/>
  <c r="B8889" i="1"/>
  <c r="C8889" i="1"/>
  <c r="A7482" i="1"/>
  <c r="B7482" i="1"/>
  <c r="C7482" i="1"/>
  <c r="A1909" i="1"/>
  <c r="B1909" i="1"/>
  <c r="C1909" i="1"/>
  <c r="A11455" i="1"/>
  <c r="B11455" i="1"/>
  <c r="C11455" i="1"/>
  <c r="A3363" i="1"/>
  <c r="B3363" i="1"/>
  <c r="C3363" i="1"/>
  <c r="A10515" i="1"/>
  <c r="B10515" i="1"/>
  <c r="C10515" i="1"/>
  <c r="A1906" i="1"/>
  <c r="B1906" i="1"/>
  <c r="C1906" i="1"/>
  <c r="A4888" i="1"/>
  <c r="B4888" i="1"/>
  <c r="C4888" i="1"/>
  <c r="A3407" i="1"/>
  <c r="B3407" i="1"/>
  <c r="C3407" i="1"/>
  <c r="A3408" i="1"/>
  <c r="B3408" i="1"/>
  <c r="C3408" i="1"/>
  <c r="A3409" i="1"/>
  <c r="B3409" i="1"/>
  <c r="C3409" i="1"/>
  <c r="A9612" i="1"/>
  <c r="B9612" i="1"/>
  <c r="C9612" i="1"/>
  <c r="A9656" i="1"/>
  <c r="B9656" i="1"/>
  <c r="C9656" i="1"/>
  <c r="A4266" i="1"/>
  <c r="B4266" i="1"/>
  <c r="C4266" i="1"/>
  <c r="A265" i="1"/>
  <c r="B265" i="1"/>
  <c r="C265" i="1"/>
  <c r="A13749" i="1"/>
  <c r="B13749" i="1"/>
  <c r="C13749" i="1"/>
  <c r="A3573" i="1"/>
  <c r="B3573" i="1"/>
  <c r="C3573" i="1"/>
  <c r="A3574" i="1"/>
  <c r="B3574" i="1"/>
  <c r="C3574" i="1"/>
  <c r="A5063" i="1"/>
  <c r="B5063" i="1"/>
  <c r="C5063" i="1"/>
  <c r="A12406" i="1"/>
  <c r="B12406" i="1"/>
  <c r="C12406" i="1"/>
  <c r="A11120" i="1"/>
  <c r="B11120" i="1"/>
  <c r="C11120" i="1"/>
  <c r="A13108" i="1"/>
  <c r="B13108" i="1"/>
  <c r="C13108" i="1"/>
  <c r="A1792" i="1"/>
  <c r="B1792" i="1"/>
  <c r="C1792" i="1"/>
  <c r="A13829" i="1"/>
  <c r="B13829" i="1"/>
  <c r="C13829" i="1"/>
  <c r="A12271" i="1"/>
  <c r="B12271" i="1"/>
  <c r="C12271" i="1"/>
  <c r="A548" i="1"/>
  <c r="B548" i="1"/>
  <c r="C548" i="1"/>
  <c r="A12599" i="1"/>
  <c r="B12599" i="1"/>
  <c r="C12599" i="1"/>
  <c r="A11264" i="1"/>
  <c r="B11264" i="1"/>
  <c r="C11264" i="1"/>
  <c r="A6959" i="1"/>
  <c r="B6959" i="1"/>
  <c r="C6959" i="1"/>
  <c r="A784" i="1"/>
  <c r="B784" i="1"/>
  <c r="C784" i="1"/>
  <c r="A9410" i="1"/>
  <c r="B9410" i="1"/>
  <c r="C9410" i="1"/>
  <c r="A6816" i="1"/>
  <c r="B6816" i="1"/>
  <c r="C6816" i="1"/>
  <c r="A4204" i="1"/>
  <c r="B4204" i="1"/>
  <c r="C4204" i="1"/>
  <c r="A6007" i="1"/>
  <c r="B6007" i="1"/>
  <c r="C6007" i="1"/>
  <c r="A10182" i="1"/>
  <c r="B10182" i="1"/>
  <c r="C10182" i="1"/>
  <c r="A5447" i="1"/>
  <c r="B5447" i="1"/>
  <c r="C5447" i="1"/>
  <c r="A5551" i="1"/>
  <c r="B5551" i="1"/>
  <c r="C5551" i="1"/>
  <c r="A4078" i="1"/>
  <c r="B4078" i="1"/>
  <c r="C4078" i="1"/>
  <c r="A12780" i="1"/>
  <c r="B12780" i="1"/>
  <c r="C12780" i="1"/>
  <c r="A6120" i="1"/>
  <c r="B6120" i="1"/>
  <c r="C6120" i="1"/>
  <c r="A2725" i="1"/>
  <c r="B2725" i="1"/>
  <c r="C2725" i="1"/>
  <c r="A11217" i="1"/>
  <c r="B11217" i="1"/>
  <c r="C11217" i="1"/>
  <c r="A12610" i="1"/>
  <c r="B12610" i="1"/>
  <c r="C12610" i="1"/>
  <c r="A8317" i="1"/>
  <c r="B8317" i="1"/>
  <c r="C8317" i="1"/>
  <c r="A2545" i="1"/>
  <c r="B2545" i="1"/>
  <c r="C2545" i="1"/>
  <c r="A12541" i="1"/>
  <c r="B12541" i="1"/>
  <c r="C12541" i="1"/>
  <c r="A898" i="1"/>
  <c r="B898" i="1"/>
  <c r="C898" i="1"/>
  <c r="A6420" i="1"/>
  <c r="B6420" i="1"/>
  <c r="C6420" i="1"/>
  <c r="A12924" i="1"/>
  <c r="B12924" i="1"/>
  <c r="C12924" i="1"/>
  <c r="A2116" i="1"/>
  <c r="B2116" i="1"/>
  <c r="C2116" i="1"/>
  <c r="A1544" i="1"/>
  <c r="B1544" i="1"/>
  <c r="C1544" i="1"/>
  <c r="A7718" i="1"/>
  <c r="B7718" i="1"/>
  <c r="C7718" i="1"/>
  <c r="A12422" i="1"/>
  <c r="B12422" i="1"/>
  <c r="C12422" i="1"/>
  <c r="A7073" i="1"/>
  <c r="B7073" i="1"/>
  <c r="C7073" i="1"/>
  <c r="A10141" i="1"/>
  <c r="B10141" i="1"/>
  <c r="C10141" i="1"/>
  <c r="A10549" i="1"/>
  <c r="B10549" i="1"/>
  <c r="C10549" i="1"/>
  <c r="A10550" i="1"/>
  <c r="B10550" i="1"/>
  <c r="C10550" i="1"/>
  <c r="A2229" i="1"/>
  <c r="B2229" i="1"/>
  <c r="C2229" i="1"/>
  <c r="A9844" i="1"/>
  <c r="B9844" i="1"/>
  <c r="C9844" i="1"/>
  <c r="A7745" i="1"/>
  <c r="B7745" i="1"/>
  <c r="C7745" i="1"/>
  <c r="A9841" i="1"/>
  <c r="B9841" i="1"/>
  <c r="C9841" i="1"/>
  <c r="A11700" i="1"/>
  <c r="B11700" i="1"/>
  <c r="C11700" i="1"/>
  <c r="A9352" i="1"/>
  <c r="B9352" i="1"/>
  <c r="C9352" i="1"/>
  <c r="A12691" i="1"/>
  <c r="B12691" i="1"/>
  <c r="C12691" i="1"/>
  <c r="A5770" i="1"/>
  <c r="B5770" i="1"/>
  <c r="C5770" i="1"/>
  <c r="A5771" i="1"/>
  <c r="B5771" i="1"/>
  <c r="C5771" i="1"/>
  <c r="A10379" i="1"/>
  <c r="B10379" i="1"/>
  <c r="A11951" i="1"/>
  <c r="B11951" i="1"/>
  <c r="C11951" i="1"/>
  <c r="A3516" i="1"/>
  <c r="B3516" i="1"/>
  <c r="C3516" i="1"/>
  <c r="A6731" i="1"/>
  <c r="B6731" i="1"/>
  <c r="C6731" i="1"/>
  <c r="A13047" i="1"/>
  <c r="B13047" i="1"/>
  <c r="C13047" i="1"/>
  <c r="A2788" i="1"/>
  <c r="B2788" i="1"/>
  <c r="C2788" i="1"/>
  <c r="A305" i="1"/>
  <c r="B305" i="1"/>
  <c r="C305" i="1"/>
  <c r="A5342" i="1"/>
  <c r="B5342" i="1"/>
  <c r="C5342" i="1"/>
  <c r="A7031" i="1"/>
  <c r="B7031" i="1"/>
  <c r="C7031" i="1"/>
  <c r="A12536" i="1"/>
  <c r="B12536" i="1"/>
  <c r="C12536" i="1"/>
  <c r="A9289" i="1"/>
  <c r="B9289" i="1"/>
  <c r="C9289" i="1"/>
  <c r="A10992" i="1"/>
  <c r="B10992" i="1"/>
  <c r="C10992" i="1"/>
  <c r="A10815" i="1"/>
  <c r="B10815" i="1"/>
  <c r="C10815" i="1"/>
  <c r="A9072" i="1"/>
  <c r="B9072" i="1"/>
  <c r="C9072" i="1"/>
  <c r="A10183" i="1"/>
  <c r="B10183" i="1"/>
  <c r="C10183" i="1"/>
  <c r="A7215" i="1"/>
  <c r="B7215" i="1"/>
  <c r="C7215" i="1"/>
  <c r="A5889" i="1"/>
  <c r="B5889" i="1"/>
  <c r="C5889" i="1"/>
  <c r="A12300" i="1"/>
  <c r="B12300" i="1"/>
  <c r="C12300" i="1"/>
  <c r="A9822" i="1"/>
  <c r="B9822" i="1"/>
  <c r="C9822" i="1"/>
  <c r="A5280" i="1"/>
  <c r="B5280" i="1"/>
  <c r="C5280" i="1"/>
  <c r="A3316" i="1"/>
  <c r="B3316" i="1"/>
  <c r="C3316" i="1"/>
  <c r="A2550" i="1"/>
  <c r="B2550" i="1"/>
  <c r="C2550" i="1"/>
  <c r="A6852" i="1"/>
  <c r="B6852" i="1"/>
  <c r="C6852" i="1"/>
  <c r="A7820" i="1"/>
  <c r="B7820" i="1"/>
  <c r="C7820" i="1"/>
  <c r="A6137" i="1"/>
  <c r="B6137" i="1"/>
  <c r="C6137" i="1"/>
  <c r="A3296" i="1"/>
  <c r="B3296" i="1"/>
  <c r="C3296" i="1"/>
  <c r="A6911" i="1"/>
  <c r="B6911" i="1"/>
  <c r="C6911" i="1"/>
  <c r="A11306" i="1"/>
  <c r="B11306" i="1"/>
  <c r="C11306" i="1"/>
  <c r="A1519" i="1"/>
  <c r="B1519" i="1"/>
  <c r="C1519" i="1"/>
  <c r="A5432" i="1"/>
  <c r="B5432" i="1"/>
  <c r="C5432" i="1"/>
  <c r="A4063" i="1"/>
  <c r="B4063" i="1"/>
  <c r="C4063" i="1"/>
  <c r="A11400" i="1"/>
  <c r="B11400" i="1"/>
  <c r="C11400" i="1"/>
  <c r="A6148" i="1"/>
  <c r="B6148" i="1"/>
  <c r="C6148" i="1"/>
  <c r="A3982" i="1"/>
  <c r="B3982" i="1"/>
  <c r="C3982" i="1"/>
  <c r="A9599" i="1"/>
  <c r="B9599" i="1"/>
  <c r="C9599" i="1"/>
  <c r="A5693" i="1"/>
  <c r="B5693" i="1"/>
  <c r="C5693" i="1"/>
  <c r="A8106" i="1"/>
  <c r="B8106" i="1"/>
  <c r="C8106" i="1"/>
  <c r="A9197" i="1"/>
  <c r="B9197" i="1"/>
  <c r="C9197" i="1"/>
  <c r="A6611" i="1"/>
  <c r="B6611" i="1"/>
  <c r="C6611" i="1"/>
  <c r="A4476" i="1"/>
  <c r="B4476" i="1"/>
  <c r="C4476" i="1"/>
  <c r="A9624" i="1"/>
  <c r="B9624" i="1"/>
  <c r="C9624" i="1"/>
  <c r="A4738" i="1"/>
  <c r="B4738" i="1"/>
  <c r="C4738" i="1"/>
  <c r="A6156" i="1"/>
  <c r="B6156" i="1"/>
  <c r="C6156" i="1"/>
  <c r="A4233" i="1"/>
  <c r="B4233" i="1"/>
  <c r="C4233" i="1"/>
  <c r="A4587" i="1"/>
  <c r="B4587" i="1"/>
  <c r="C4587" i="1"/>
  <c r="A12442" i="1"/>
  <c r="B12442" i="1"/>
  <c r="C12442" i="1"/>
  <c r="A13717" i="1"/>
  <c r="B13717" i="1"/>
  <c r="C13717" i="1"/>
  <c r="A11315" i="1"/>
  <c r="B11315" i="1"/>
  <c r="C11315" i="1"/>
  <c r="A11106" i="1"/>
  <c r="B11106" i="1"/>
  <c r="C11106" i="1"/>
  <c r="A234" i="1"/>
  <c r="B234" i="1"/>
  <c r="C234" i="1"/>
  <c r="A12983" i="1"/>
  <c r="B12983" i="1"/>
  <c r="C12983" i="1"/>
  <c r="A1068" i="1"/>
  <c r="B1068" i="1"/>
  <c r="C1068" i="1"/>
  <c r="A4788" i="1"/>
  <c r="B4788" i="1"/>
  <c r="C4788" i="1"/>
  <c r="A5461" i="1"/>
  <c r="B5461" i="1"/>
  <c r="C5461" i="1"/>
  <c r="A5336" i="1"/>
  <c r="B5336" i="1"/>
  <c r="C5336" i="1"/>
  <c r="A5180" i="1"/>
  <c r="B5180" i="1"/>
  <c r="C5180" i="1"/>
  <c r="A3688" i="1"/>
  <c r="B3688" i="1"/>
  <c r="C3688" i="1"/>
  <c r="A7476" i="1"/>
  <c r="B7476" i="1"/>
  <c r="C7476" i="1"/>
  <c r="A1182" i="1"/>
  <c r="B1182" i="1"/>
  <c r="C1182" i="1"/>
  <c r="A4906" i="1"/>
  <c r="B4906" i="1"/>
  <c r="C4906" i="1"/>
  <c r="A2746" i="1"/>
  <c r="B2746" i="1"/>
  <c r="C2746" i="1"/>
  <c r="A3723" i="1"/>
  <c r="B3723" i="1"/>
  <c r="C3723" i="1"/>
  <c r="A2200" i="1"/>
  <c r="B2200" i="1"/>
  <c r="C2200" i="1"/>
  <c r="A6942" i="1"/>
  <c r="B6942" i="1"/>
  <c r="C6942" i="1"/>
  <c r="A6943" i="1"/>
  <c r="B6943" i="1"/>
  <c r="C6943" i="1"/>
  <c r="A11232" i="1"/>
  <c r="B11232" i="1"/>
  <c r="C11232" i="1"/>
  <c r="A718" i="1"/>
  <c r="B718" i="1"/>
  <c r="C718" i="1"/>
  <c r="A266" i="1"/>
  <c r="B266" i="1"/>
  <c r="C266" i="1"/>
  <c r="A6134" i="1"/>
  <c r="B6134" i="1"/>
  <c r="C6134" i="1"/>
  <c r="A8475" i="1"/>
  <c r="B8475" i="1"/>
  <c r="C8475" i="1"/>
  <c r="A12864" i="1"/>
  <c r="B12864" i="1"/>
  <c r="C12864" i="1"/>
  <c r="A11675" i="1"/>
  <c r="B11675" i="1"/>
  <c r="C11675" i="1"/>
  <c r="A4501" i="1"/>
  <c r="B4501" i="1"/>
  <c r="C4501" i="1"/>
  <c r="A8016" i="1"/>
  <c r="B8016" i="1"/>
  <c r="C8016" i="1"/>
  <c r="A10997" i="1"/>
  <c r="B10997" i="1"/>
  <c r="C10997" i="1"/>
  <c r="A11788" i="1"/>
  <c r="B11788" i="1"/>
  <c r="C11788" i="1"/>
  <c r="A11789" i="1"/>
  <c r="B11789" i="1"/>
  <c r="C11789" i="1"/>
  <c r="A1695" i="1"/>
  <c r="B1695" i="1"/>
  <c r="C1695" i="1"/>
  <c r="A862" i="1"/>
  <c r="B862" i="1"/>
  <c r="C862" i="1"/>
  <c r="A8884" i="1"/>
  <c r="B8884" i="1"/>
  <c r="C8884" i="1"/>
  <c r="A5954" i="1"/>
  <c r="B5954" i="1"/>
  <c r="C5954" i="1"/>
  <c r="A7274" i="1"/>
  <c r="B7274" i="1"/>
  <c r="C7274" i="1"/>
  <c r="A12916" i="1"/>
  <c r="B12916" i="1"/>
  <c r="C12916" i="1"/>
  <c r="A4708" i="1"/>
  <c r="B4708" i="1"/>
  <c r="C4708" i="1"/>
  <c r="A5131" i="1"/>
  <c r="B5131" i="1"/>
  <c r="C5131" i="1"/>
  <c r="A4713" i="1"/>
  <c r="B4713" i="1"/>
  <c r="C4713" i="1"/>
  <c r="A3328" i="1"/>
  <c r="B3328" i="1"/>
  <c r="C3328" i="1"/>
  <c r="A1865" i="1"/>
  <c r="B1865" i="1"/>
  <c r="C1865" i="1"/>
  <c r="A1517" i="1"/>
  <c r="B1517" i="1"/>
  <c r="C1517" i="1"/>
  <c r="A7967" i="1"/>
  <c r="B7967" i="1"/>
  <c r="C7967" i="1"/>
  <c r="A13537" i="1"/>
  <c r="B13537" i="1"/>
  <c r="C13537" i="1"/>
  <c r="A12532" i="1"/>
  <c r="B12532" i="1"/>
  <c r="C12532" i="1"/>
  <c r="A6246" i="1"/>
  <c r="B6246" i="1"/>
  <c r="C6246" i="1"/>
  <c r="A6870" i="1"/>
  <c r="B6870" i="1"/>
  <c r="C6870" i="1"/>
  <c r="A2" i="1"/>
  <c r="B2" i="1"/>
  <c r="C2" i="1"/>
  <c r="A6871" i="1"/>
  <c r="B6871" i="1"/>
  <c r="C6871" i="1"/>
  <c r="A8629" i="1"/>
  <c r="B8629" i="1"/>
  <c r="C8629" i="1"/>
  <c r="A9161" i="1"/>
  <c r="B9161" i="1"/>
  <c r="C9161" i="1"/>
  <c r="A9162" i="1"/>
  <c r="B9162" i="1"/>
  <c r="C9162" i="1"/>
  <c r="A9163" i="1"/>
  <c r="B9163" i="1"/>
  <c r="C9163" i="1"/>
  <c r="A10696" i="1"/>
  <c r="B10696" i="1"/>
  <c r="C10696" i="1"/>
  <c r="A3178" i="1"/>
  <c r="B3178" i="1"/>
  <c r="C3178" i="1"/>
  <c r="A8910" i="1"/>
  <c r="B8910" i="1"/>
  <c r="C8910" i="1"/>
  <c r="A3" i="1"/>
  <c r="B3" i="1"/>
  <c r="C3" i="1"/>
  <c r="A10557" i="1"/>
  <c r="B10557" i="1"/>
  <c r="C10557" i="1"/>
  <c r="A10505" i="1"/>
  <c r="B10505" i="1"/>
  <c r="C10505" i="1"/>
  <c r="A6855" i="1"/>
  <c r="B6855" i="1"/>
  <c r="C6855" i="1"/>
  <c r="A3410" i="1"/>
  <c r="B3410" i="1"/>
  <c r="C3410" i="1"/>
  <c r="A5498" i="1"/>
  <c r="B5498" i="1"/>
  <c r="C5498" i="1"/>
  <c r="A7175" i="1"/>
  <c r="B7175" i="1"/>
  <c r="C7175" i="1"/>
  <c r="A11427" i="1"/>
  <c r="B11427" i="1"/>
  <c r="C11427" i="1"/>
  <c r="A3570" i="1"/>
  <c r="B3570" i="1"/>
  <c r="C3570" i="1"/>
  <c r="A13830" i="1"/>
  <c r="B13830" i="1"/>
  <c r="C13830" i="1"/>
  <c r="A9006" i="1"/>
  <c r="B9006" i="1"/>
  <c r="C9006" i="1"/>
  <c r="A8496" i="1"/>
  <c r="B8496" i="1"/>
  <c r="C8496" i="1"/>
  <c r="A2099" i="1"/>
  <c r="B2099" i="1"/>
  <c r="C2099" i="1"/>
  <c r="A9105" i="1"/>
  <c r="B9105" i="1"/>
  <c r="C9105" i="1"/>
  <c r="A10521" i="1"/>
  <c r="B10521" i="1"/>
  <c r="C10521" i="1"/>
  <c r="A11082" i="1"/>
  <c r="B11082" i="1"/>
  <c r="C11082" i="1"/>
  <c r="A6450" i="1"/>
  <c r="B6450" i="1"/>
  <c r="C6450" i="1"/>
  <c r="A8271" i="1"/>
  <c r="B8271" i="1"/>
  <c r="C8271" i="1"/>
  <c r="A12478" i="1"/>
  <c r="B12478" i="1"/>
  <c r="C12478" i="1"/>
  <c r="A4292" i="1"/>
  <c r="B4292" i="1"/>
  <c r="C4292" i="1"/>
  <c r="A10452" i="1"/>
  <c r="B10452" i="1"/>
  <c r="C10452" i="1"/>
  <c r="A12687" i="1"/>
  <c r="B12687" i="1"/>
  <c r="C12687" i="1"/>
  <c r="A11430" i="1"/>
  <c r="B11430" i="1"/>
  <c r="C11430" i="1"/>
  <c r="A5375" i="1"/>
  <c r="B5375" i="1"/>
  <c r="C5375" i="1"/>
  <c r="A8141" i="1"/>
  <c r="B8141" i="1"/>
  <c r="C8141" i="1"/>
  <c r="A4766" i="1"/>
  <c r="B4766" i="1"/>
  <c r="C4766" i="1"/>
  <c r="A13150" i="1"/>
  <c r="B13150" i="1"/>
  <c r="C13150" i="1"/>
  <c r="A5871" i="1"/>
  <c r="B5871" i="1"/>
  <c r="C5871" i="1"/>
  <c r="A7465" i="1"/>
  <c r="B7465" i="1"/>
  <c r="C7465" i="1"/>
  <c r="A6354" i="1"/>
  <c r="B6354" i="1"/>
  <c r="C6354" i="1"/>
  <c r="A537" i="1"/>
  <c r="B537" i="1"/>
  <c r="C537" i="1"/>
  <c r="A4007" i="1"/>
  <c r="B4007" i="1"/>
  <c r="C4007" i="1"/>
  <c r="A7021" i="1"/>
  <c r="B7021" i="1"/>
  <c r="C7021" i="1"/>
  <c r="A1558" i="1"/>
  <c r="B1558" i="1"/>
  <c r="C1558" i="1"/>
  <c r="A7123" i="1"/>
  <c r="B7123" i="1"/>
  <c r="C7123" i="1"/>
  <c r="A2536" i="1"/>
  <c r="B2536" i="1"/>
  <c r="C2536" i="1"/>
  <c r="A7189" i="1"/>
  <c r="B7189" i="1"/>
  <c r="C7189" i="1"/>
  <c r="A3635" i="1"/>
  <c r="B3635" i="1"/>
  <c r="C3635" i="1"/>
  <c r="A1179" i="1"/>
  <c r="B1179" i="1"/>
  <c r="C1179" i="1"/>
  <c r="A9854" i="1"/>
  <c r="B9854" i="1"/>
  <c r="C9854" i="1"/>
  <c r="A566" i="1"/>
  <c r="B566" i="1"/>
  <c r="C566" i="1"/>
  <c r="A2830" i="1"/>
  <c r="B2830" i="1"/>
  <c r="C2830" i="1"/>
  <c r="A4891" i="1"/>
  <c r="B4891" i="1"/>
  <c r="C4891" i="1"/>
  <c r="A9425" i="1"/>
  <c r="B9425" i="1"/>
  <c r="C9425" i="1"/>
  <c r="A3045" i="1"/>
  <c r="B3045" i="1"/>
  <c r="C3045" i="1"/>
  <c r="A6804" i="1"/>
  <c r="B6804" i="1"/>
  <c r="C6804" i="1"/>
  <c r="A2238" i="1"/>
  <c r="B2238" i="1"/>
  <c r="C2238" i="1"/>
  <c r="A4490" i="1"/>
  <c r="B4490" i="1"/>
  <c r="C4490" i="1"/>
  <c r="A2698" i="1"/>
  <c r="B2698" i="1"/>
  <c r="C2698" i="1"/>
  <c r="A9314" i="1"/>
  <c r="B9314" i="1"/>
  <c r="C9314" i="1"/>
  <c r="A2760" i="1"/>
  <c r="B2760" i="1"/>
  <c r="C2760" i="1"/>
  <c r="A11011" i="1"/>
  <c r="B11011" i="1"/>
  <c r="C11011" i="1"/>
  <c r="A5572" i="1"/>
  <c r="B5572" i="1"/>
  <c r="C5572" i="1"/>
  <c r="A5995" i="1"/>
  <c r="B5995" i="1"/>
  <c r="C5995" i="1"/>
  <c r="A7975" i="1"/>
  <c r="B7975" i="1"/>
  <c r="C7975" i="1"/>
  <c r="A8734" i="1"/>
  <c r="B8734" i="1"/>
  <c r="C8734" i="1"/>
  <c r="A1349" i="1"/>
  <c r="B1349" i="1"/>
  <c r="C1349" i="1"/>
  <c r="A11110" i="1"/>
  <c r="B11110" i="1"/>
  <c r="C11110" i="1"/>
  <c r="A13263" i="1"/>
  <c r="B13263" i="1"/>
  <c r="C13263" i="1"/>
  <c r="A9088" i="1"/>
  <c r="B9088" i="1"/>
  <c r="C9088" i="1"/>
  <c r="A11898" i="1"/>
  <c r="B11898" i="1"/>
  <c r="C11898" i="1"/>
  <c r="A6203" i="1"/>
  <c r="B6203" i="1"/>
  <c r="C6203" i="1"/>
  <c r="A1624" i="1"/>
  <c r="B1624" i="1"/>
  <c r="C1624" i="1"/>
  <c r="A7173" i="1"/>
  <c r="B7173" i="1"/>
  <c r="C7173" i="1"/>
  <c r="A1635" i="1"/>
  <c r="B1635" i="1"/>
  <c r="C1635" i="1"/>
  <c r="A7582" i="1"/>
  <c r="B7582" i="1"/>
  <c r="C7582" i="1"/>
  <c r="A10461" i="1"/>
  <c r="B10461" i="1"/>
  <c r="C10461" i="1"/>
  <c r="A6229" i="1"/>
  <c r="B6229" i="1"/>
  <c r="C6229" i="1"/>
  <c r="A8391" i="1"/>
  <c r="B8391" i="1"/>
  <c r="C8391" i="1"/>
  <c r="A4504" i="1"/>
  <c r="B4504" i="1"/>
  <c r="C4504" i="1"/>
  <c r="A9337" i="1"/>
  <c r="B9337" i="1"/>
  <c r="C9337" i="1"/>
  <c r="A1966" i="1"/>
  <c r="B1966" i="1"/>
  <c r="C1966" i="1"/>
  <c r="A8010" i="1"/>
  <c r="B8010" i="1"/>
  <c r="C8010" i="1"/>
  <c r="A6859" i="1"/>
  <c r="B6859" i="1"/>
  <c r="C6859" i="1"/>
  <c r="A5664" i="1"/>
  <c r="B5664" i="1"/>
  <c r="C5664" i="1"/>
  <c r="A10801" i="1"/>
  <c r="B10801" i="1"/>
  <c r="C10801" i="1"/>
  <c r="A10802" i="1"/>
  <c r="B10802" i="1"/>
  <c r="C10802" i="1"/>
  <c r="A1407" i="1"/>
  <c r="B1407" i="1"/>
  <c r="C1407" i="1"/>
  <c r="A10853" i="1"/>
  <c r="B10853" i="1"/>
  <c r="C10853" i="1"/>
  <c r="A10854" i="1"/>
  <c r="B10854" i="1"/>
  <c r="C10854" i="1"/>
  <c r="A2254" i="1"/>
  <c r="B2254" i="1"/>
  <c r="C2254" i="1"/>
  <c r="A3306" i="1"/>
  <c r="B3306" i="1"/>
  <c r="C3306" i="1"/>
  <c r="A12987" i="1"/>
  <c r="B12987" i="1"/>
  <c r="C12987" i="1"/>
  <c r="A1401" i="1"/>
  <c r="B1401" i="1"/>
  <c r="C1401" i="1"/>
  <c r="A12158" i="1"/>
  <c r="B12158" i="1"/>
  <c r="C12158" i="1"/>
  <c r="A13000" i="1"/>
  <c r="B13000" i="1"/>
  <c r="C13000" i="1"/>
  <c r="A11749" i="1"/>
  <c r="B11749" i="1"/>
  <c r="C11749" i="1"/>
  <c r="A6030" i="1"/>
  <c r="B6030" i="1"/>
  <c r="C6030" i="1"/>
  <c r="A1829" i="1"/>
  <c r="B1829" i="1"/>
  <c r="C1829" i="1"/>
  <c r="A13244" i="1"/>
  <c r="B13244" i="1"/>
  <c r="C13244" i="1"/>
  <c r="A2779" i="1"/>
  <c r="B2779" i="1"/>
  <c r="C2779" i="1"/>
  <c r="A5245" i="1"/>
  <c r="B5245" i="1"/>
  <c r="C5245" i="1"/>
  <c r="A3772" i="1"/>
  <c r="B3772" i="1"/>
  <c r="C3772" i="1"/>
  <c r="A5112" i="1"/>
  <c r="B5112" i="1"/>
  <c r="C5112" i="1"/>
  <c r="A1080" i="1"/>
  <c r="B1080" i="1"/>
  <c r="C1080" i="1"/>
  <c r="A13193" i="1"/>
  <c r="B13193" i="1"/>
  <c r="C13193" i="1"/>
  <c r="A13194" i="1"/>
  <c r="B13194" i="1"/>
  <c r="C13194" i="1"/>
  <c r="A8564" i="1"/>
  <c r="B8564" i="1"/>
  <c r="C8564" i="1"/>
  <c r="A3637" i="1"/>
  <c r="B3637" i="1"/>
  <c r="C3637" i="1"/>
  <c r="A2406" i="1"/>
  <c r="B2406" i="1"/>
  <c r="C2406" i="1"/>
  <c r="A6832" i="1"/>
  <c r="B6832" i="1"/>
  <c r="C6832" i="1"/>
  <c r="A7049" i="1"/>
  <c r="B7049" i="1"/>
  <c r="C7049" i="1"/>
  <c r="A5092" i="1"/>
  <c r="B5092" i="1"/>
  <c r="C5092" i="1"/>
  <c r="A5127" i="1"/>
  <c r="B5127" i="1"/>
  <c r="C5127" i="1"/>
  <c r="A3910" i="1"/>
  <c r="B3910" i="1"/>
  <c r="C3910" i="1"/>
  <c r="A9655" i="1"/>
  <c r="B9655" i="1"/>
  <c r="C9655" i="1"/>
  <c r="A5333" i="1"/>
  <c r="B5333" i="1"/>
  <c r="C5333" i="1"/>
  <c r="A4554" i="1"/>
  <c r="B4554" i="1"/>
  <c r="C4554" i="1"/>
  <c r="A13097" i="1"/>
  <c r="B13097" i="1"/>
  <c r="C13097" i="1"/>
  <c r="A3588" i="1"/>
  <c r="B3588" i="1"/>
  <c r="C3588" i="1"/>
  <c r="A2248" i="1"/>
  <c r="B2248" i="1"/>
  <c r="C2248" i="1"/>
  <c r="A2249" i="1"/>
  <c r="B2249" i="1"/>
  <c r="C2249" i="1"/>
  <c r="A5850" i="1"/>
  <c r="B5850" i="1"/>
  <c r="C5850" i="1"/>
  <c r="A5840" i="1"/>
  <c r="B5840" i="1"/>
  <c r="C5840" i="1"/>
  <c r="A5054" i="1"/>
  <c r="B5054" i="1"/>
  <c r="C5054" i="1"/>
  <c r="A12950" i="1"/>
  <c r="B12950" i="1"/>
  <c r="C12950" i="1"/>
  <c r="A3128" i="1"/>
  <c r="B3128" i="1"/>
  <c r="C3128" i="1"/>
  <c r="A13087" i="1"/>
  <c r="B13087" i="1"/>
  <c r="C13087" i="1"/>
  <c r="A12558" i="1"/>
  <c r="B12558" i="1"/>
  <c r="C12558" i="1"/>
  <c r="A2045" i="1"/>
  <c r="B2045" i="1"/>
  <c r="C2045" i="1"/>
  <c r="A8329" i="1"/>
  <c r="B8329" i="1"/>
  <c r="C8329" i="1"/>
  <c r="A13079" i="1"/>
  <c r="B13079" i="1"/>
  <c r="C13079" i="1"/>
  <c r="A5746" i="1"/>
  <c r="B5746" i="1"/>
  <c r="C5746" i="1"/>
  <c r="A4021" i="1"/>
  <c r="B4021" i="1"/>
  <c r="C4021" i="1"/>
  <c r="A12270" i="1"/>
  <c r="B12270" i="1"/>
  <c r="C12270" i="1"/>
  <c r="A6631" i="1"/>
  <c r="B6631" i="1"/>
  <c r="C6631" i="1"/>
  <c r="A6632" i="1"/>
  <c r="B6632" i="1"/>
  <c r="C6632" i="1"/>
  <c r="A12146" i="1"/>
  <c r="B12146" i="1"/>
  <c r="C12146" i="1"/>
  <c r="A10964" i="1"/>
  <c r="B10964" i="1"/>
  <c r="C10964" i="1"/>
  <c r="A2652" i="1"/>
  <c r="B2652" i="1"/>
  <c r="C2652" i="1"/>
  <c r="A1330" i="1"/>
  <c r="B1330" i="1"/>
  <c r="C1330" i="1"/>
  <c r="A6027" i="1"/>
  <c r="B6027" i="1"/>
  <c r="C6027" i="1"/>
  <c r="A2089" i="1"/>
  <c r="B2089" i="1"/>
  <c r="C2089" i="1"/>
  <c r="A3215" i="1"/>
  <c r="B3215" i="1"/>
  <c r="C3215" i="1"/>
  <c r="A7892" i="1"/>
  <c r="B7892" i="1"/>
  <c r="C7892" i="1"/>
  <c r="A2203" i="1"/>
  <c r="B2203" i="1"/>
  <c r="C2203" i="1"/>
  <c r="A10348" i="1"/>
  <c r="B10348" i="1"/>
  <c r="C10348" i="1"/>
  <c r="A7606" i="1"/>
  <c r="B7606" i="1"/>
  <c r="C7606" i="1"/>
  <c r="A1411" i="1"/>
  <c r="B1411" i="1"/>
  <c r="C1411" i="1"/>
  <c r="A4299" i="1"/>
  <c r="B4299" i="1"/>
  <c r="C4299" i="1"/>
  <c r="A1900" i="1"/>
  <c r="B1900" i="1"/>
  <c r="C1900" i="1"/>
  <c r="A5196" i="1"/>
  <c r="B5196" i="1"/>
  <c r="C5196" i="1"/>
  <c r="A12731" i="1"/>
  <c r="B12731" i="1"/>
  <c r="C12731" i="1"/>
  <c r="A13433" i="1"/>
  <c r="B13433" i="1"/>
  <c r="C13433" i="1"/>
  <c r="A2196" i="1"/>
  <c r="B2196" i="1"/>
  <c r="C2196" i="1"/>
  <c r="A10883" i="1"/>
  <c r="B10883" i="1"/>
  <c r="C10883" i="1"/>
  <c r="A7006" i="1"/>
  <c r="B7006" i="1"/>
  <c r="C7006" i="1"/>
  <c r="A5353" i="1"/>
  <c r="B5353" i="1"/>
  <c r="C5353" i="1"/>
  <c r="A1547" i="1"/>
  <c r="B1547" i="1"/>
  <c r="C1547" i="1"/>
  <c r="A1506" i="1"/>
  <c r="B1506" i="1"/>
  <c r="C1506" i="1"/>
  <c r="A13922" i="1"/>
  <c r="B13922" i="1"/>
  <c r="C13922" i="1"/>
  <c r="A1957" i="1"/>
  <c r="B1957" i="1"/>
  <c r="C1957" i="1"/>
  <c r="A6851" i="1"/>
  <c r="B6851" i="1"/>
  <c r="C6851" i="1"/>
  <c r="A4002" i="1"/>
  <c r="B4002" i="1"/>
  <c r="C4002" i="1"/>
  <c r="A601" i="1"/>
  <c r="B601" i="1"/>
  <c r="C601" i="1"/>
  <c r="A12634" i="1"/>
  <c r="B12634" i="1"/>
  <c r="C12634" i="1"/>
  <c r="A10137" i="1"/>
  <c r="B10137" i="1"/>
  <c r="C10137" i="1"/>
  <c r="A10909" i="1"/>
  <c r="B10909" i="1"/>
  <c r="C10909" i="1"/>
  <c r="A7467" i="1"/>
  <c r="B7467" i="1"/>
  <c r="C7467" i="1"/>
  <c r="A12710" i="1"/>
  <c r="B12710" i="1"/>
  <c r="C12710" i="1"/>
  <c r="A7387" i="1"/>
  <c r="B7387" i="1"/>
  <c r="C7387" i="1"/>
  <c r="A12749" i="1"/>
  <c r="B12749" i="1"/>
  <c r="C12749" i="1"/>
  <c r="A6837" i="1"/>
  <c r="B6837" i="1"/>
  <c r="C6837" i="1"/>
  <c r="A13445" i="1"/>
  <c r="B13445" i="1"/>
  <c r="C13445" i="1"/>
  <c r="A4466" i="1"/>
  <c r="B4466" i="1"/>
  <c r="C4466" i="1"/>
  <c r="A6353" i="1"/>
  <c r="B6353" i="1"/>
  <c r="C6353" i="1"/>
  <c r="A9267" i="1"/>
  <c r="B9267" i="1"/>
  <c r="C9267" i="1"/>
  <c r="A13865" i="1"/>
  <c r="B13865" i="1"/>
  <c r="C13865" i="1"/>
  <c r="A6177" i="1"/>
  <c r="B6177" i="1"/>
  <c r="C6177" i="1"/>
  <c r="A3689" i="1"/>
  <c r="B3689" i="1"/>
  <c r="C3689" i="1"/>
  <c r="A12557" i="1"/>
  <c r="B12557" i="1"/>
  <c r="C12557" i="1"/>
  <c r="A6523" i="1"/>
  <c r="B6523" i="1"/>
  <c r="C6523" i="1"/>
  <c r="A7393" i="1"/>
  <c r="B7393" i="1"/>
  <c r="C7393" i="1"/>
  <c r="A1048" i="1"/>
  <c r="B1048" i="1"/>
  <c r="C1048" i="1"/>
  <c r="A3217" i="1"/>
  <c r="B3217" i="1"/>
  <c r="C3217" i="1"/>
  <c r="A3993" i="1"/>
  <c r="B3993" i="1"/>
  <c r="C3993" i="1"/>
  <c r="A4968" i="1"/>
  <c r="B4968" i="1"/>
  <c r="C4968" i="1"/>
  <c r="A3160" i="1"/>
  <c r="B3160" i="1"/>
  <c r="C3160" i="1"/>
  <c r="A3730" i="1"/>
  <c r="B3730" i="1"/>
  <c r="C3730" i="1"/>
  <c r="A267" i="1"/>
  <c r="B267" i="1"/>
  <c r="C267" i="1"/>
  <c r="A2954" i="1"/>
  <c r="B2954" i="1"/>
  <c r="C2954" i="1"/>
  <c r="A5780" i="1"/>
  <c r="B5780" i="1"/>
  <c r="C5780" i="1"/>
  <c r="A7084" i="1"/>
  <c r="B7084" i="1"/>
  <c r="C7084" i="1"/>
  <c r="A7533" i="1"/>
  <c r="B7533" i="1"/>
  <c r="C7533" i="1"/>
  <c r="A4170" i="1"/>
  <c r="B4170" i="1"/>
  <c r="C4170" i="1"/>
  <c r="A3636" i="1"/>
  <c r="B3636" i="1"/>
  <c r="C3636" i="1"/>
  <c r="A1688" i="1"/>
  <c r="B1688" i="1"/>
  <c r="C1688" i="1"/>
  <c r="A6251" i="1"/>
  <c r="B6251" i="1"/>
  <c r="C6251" i="1"/>
  <c r="A3114" i="1"/>
  <c r="B3114" i="1"/>
  <c r="C3114" i="1"/>
  <c r="A4283" i="1"/>
  <c r="B4283" i="1"/>
  <c r="C4283" i="1"/>
  <c r="A11223" i="1"/>
  <c r="B11223" i="1"/>
  <c r="C11223" i="1"/>
  <c r="A9231" i="1"/>
  <c r="B9231" i="1"/>
  <c r="C9231" i="1"/>
  <c r="A10621" i="1"/>
  <c r="B10621" i="1"/>
  <c r="C10621" i="1"/>
  <c r="A12139" i="1"/>
  <c r="B12139" i="1"/>
  <c r="C12139" i="1"/>
  <c r="A2974" i="1"/>
  <c r="B2974" i="1"/>
  <c r="C2974" i="1"/>
  <c r="A2994" i="1"/>
  <c r="B2994" i="1"/>
  <c r="C2994" i="1"/>
  <c r="A3116" i="1"/>
  <c r="B3116" i="1"/>
  <c r="C3116" i="1"/>
  <c r="A10187" i="1"/>
  <c r="B10187" i="1"/>
  <c r="C10187" i="1"/>
  <c r="A13446" i="1"/>
  <c r="B13446" i="1"/>
  <c r="C13446" i="1"/>
  <c r="A9264" i="1"/>
  <c r="B9264" i="1"/>
  <c r="C9264" i="1"/>
  <c r="A9945" i="1"/>
  <c r="B9945" i="1"/>
  <c r="C9945" i="1"/>
  <c r="A462" i="1"/>
  <c r="B462" i="1"/>
  <c r="C462" i="1"/>
  <c r="A8112" i="1"/>
  <c r="B8112" i="1"/>
  <c r="C8112" i="1"/>
  <c r="A1930" i="1"/>
  <c r="B1930" i="1"/>
  <c r="C1930" i="1"/>
  <c r="A8234" i="1"/>
  <c r="B8234" i="1"/>
  <c r="C8234" i="1"/>
  <c r="A3295" i="1"/>
  <c r="B3295" i="1"/>
  <c r="C3295" i="1"/>
  <c r="A6746" i="1"/>
  <c r="B6746" i="1"/>
  <c r="C6746" i="1"/>
  <c r="A6747" i="1"/>
  <c r="B6747" i="1"/>
  <c r="C6747" i="1"/>
  <c r="A6748" i="1"/>
  <c r="B6748" i="1"/>
  <c r="C6748" i="1"/>
  <c r="A1897" i="1"/>
  <c r="B1897" i="1"/>
  <c r="C1897" i="1"/>
  <c r="A11060" i="1"/>
  <c r="B11060" i="1"/>
  <c r="C11060" i="1"/>
  <c r="A1213" i="1"/>
  <c r="B1213" i="1"/>
  <c r="C1213" i="1"/>
  <c r="A6985" i="1"/>
  <c r="B6985" i="1"/>
  <c r="C6985" i="1"/>
  <c r="A3666" i="1"/>
  <c r="B3666" i="1"/>
  <c r="C3666" i="1"/>
  <c r="A11300" i="1"/>
  <c r="B11300" i="1"/>
  <c r="C11300" i="1"/>
  <c r="A4251" i="1"/>
  <c r="B4251" i="1"/>
  <c r="C4251" i="1"/>
  <c r="A6682" i="1"/>
  <c r="B6682" i="1"/>
  <c r="C6682" i="1"/>
  <c r="A7350" i="1"/>
  <c r="B7350" i="1"/>
  <c r="C7350" i="1"/>
  <c r="A2301" i="1"/>
  <c r="B2301" i="1"/>
  <c r="C2301" i="1"/>
  <c r="A10820" i="1"/>
  <c r="B10820" i="1"/>
  <c r="C10820" i="1"/>
  <c r="A8284" i="1"/>
  <c r="B8284" i="1"/>
  <c r="C8284" i="1"/>
  <c r="A10859" i="1"/>
  <c r="B10859" i="1"/>
  <c r="C10859" i="1"/>
  <c r="A6515" i="1"/>
  <c r="B6515" i="1"/>
  <c r="C6515" i="1"/>
  <c r="A1990" i="1"/>
  <c r="B1990" i="1"/>
  <c r="C1990" i="1"/>
  <c r="A619" i="1"/>
  <c r="B619" i="1"/>
  <c r="C619" i="1"/>
  <c r="A13913" i="1"/>
  <c r="B13913" i="1"/>
  <c r="C13913" i="1"/>
  <c r="A2662" i="1"/>
  <c r="B2662" i="1"/>
  <c r="C2662" i="1"/>
  <c r="A13825" i="1"/>
  <c r="B13825" i="1"/>
  <c r="C13825" i="1"/>
  <c r="A12168" i="1"/>
  <c r="B12168" i="1"/>
  <c r="C12168" i="1"/>
  <c r="A13879" i="1"/>
  <c r="B13879" i="1"/>
  <c r="C13879" i="1"/>
  <c r="A288" i="1"/>
  <c r="B288" i="1"/>
  <c r="C288" i="1"/>
  <c r="A13464" i="1"/>
  <c r="B13464" i="1"/>
  <c r="C13464" i="1"/>
  <c r="A2800" i="1"/>
  <c r="B2800" i="1"/>
  <c r="C2800" i="1"/>
  <c r="A13589" i="1"/>
  <c r="B13589" i="1"/>
  <c r="C13589" i="1"/>
  <c r="A10680" i="1"/>
  <c r="B10680" i="1"/>
  <c r="C10680" i="1"/>
  <c r="A6405" i="1"/>
  <c r="B6405" i="1"/>
  <c r="C6405" i="1"/>
  <c r="A2276" i="1"/>
  <c r="B2276" i="1"/>
  <c r="C2276" i="1"/>
  <c r="A3974" i="1"/>
  <c r="B3974" i="1"/>
  <c r="C3974" i="1"/>
  <c r="A9413" i="1"/>
  <c r="B9413" i="1"/>
  <c r="C9413" i="1"/>
  <c r="A10451" i="1"/>
  <c r="B10451" i="1"/>
  <c r="C10451" i="1"/>
  <c r="A2909" i="1"/>
  <c r="B2909" i="1"/>
  <c r="C2909" i="1"/>
  <c r="A10664" i="1"/>
  <c r="B10664" i="1"/>
  <c r="C10664" i="1"/>
  <c r="A2584" i="1"/>
  <c r="B2584" i="1"/>
  <c r="C2584" i="1"/>
  <c r="A12534" i="1"/>
  <c r="B12534" i="1"/>
  <c r="C12534" i="1"/>
  <c r="A9712" i="1"/>
  <c r="B9712" i="1"/>
  <c r="C9712" i="1"/>
  <c r="A4993" i="1"/>
  <c r="B4993" i="1"/>
  <c r="C4993" i="1"/>
  <c r="A10949" i="1"/>
  <c r="B10949" i="1"/>
  <c r="C10949" i="1"/>
  <c r="A6654" i="1"/>
  <c r="B6654" i="1"/>
  <c r="C6654" i="1"/>
  <c r="A7841" i="1"/>
  <c r="B7841" i="1"/>
  <c r="C7841" i="1"/>
  <c r="A2306" i="1"/>
  <c r="B2306" i="1"/>
  <c r="C2306" i="1"/>
  <c r="A2837" i="1"/>
  <c r="B2837" i="1"/>
  <c r="C2837" i="1"/>
  <c r="A808" i="1"/>
  <c r="B808" i="1"/>
  <c r="C808" i="1"/>
  <c r="A7483" i="1"/>
  <c r="B7483" i="1"/>
  <c r="C7483" i="1"/>
  <c r="A8098" i="1"/>
  <c r="B8098" i="1"/>
  <c r="C8098" i="1"/>
  <c r="A5841" i="1"/>
  <c r="B5841" i="1"/>
  <c r="C5841" i="1"/>
  <c r="A5243" i="1"/>
  <c r="B5243" i="1"/>
  <c r="C5243" i="1"/>
  <c r="A13363" i="1"/>
  <c r="B13363" i="1"/>
  <c r="C13363" i="1"/>
  <c r="A2944" i="1"/>
  <c r="B2944" i="1"/>
  <c r="C2944" i="1"/>
  <c r="A4273" i="1"/>
  <c r="B4273" i="1"/>
  <c r="C4273" i="1"/>
  <c r="A5197" i="1"/>
  <c r="B5197" i="1"/>
  <c r="C5197" i="1"/>
  <c r="A3021" i="1"/>
  <c r="B3021" i="1"/>
  <c r="C3021" i="1"/>
  <c r="A1265" i="1"/>
  <c r="B1265" i="1"/>
  <c r="C1265" i="1"/>
  <c r="A5662" i="1"/>
  <c r="B5662" i="1"/>
  <c r="C5662" i="1"/>
  <c r="A13389" i="1"/>
  <c r="B13389" i="1"/>
  <c r="C13389" i="1"/>
  <c r="A12407" i="1"/>
  <c r="B12407" i="1"/>
  <c r="C12407" i="1"/>
  <c r="A9073" i="1"/>
  <c r="B9073" i="1"/>
  <c r="C9073" i="1"/>
  <c r="A8367" i="1"/>
  <c r="B8367" i="1"/>
  <c r="C8367" i="1"/>
  <c r="A1636" i="1"/>
  <c r="B1636" i="1"/>
  <c r="C1636" i="1"/>
  <c r="A9787" i="1"/>
  <c r="B9787" i="1"/>
  <c r="C9787" i="1"/>
  <c r="A10267" i="1"/>
  <c r="B10267" i="1"/>
  <c r="C10267" i="1"/>
  <c r="A2546" i="1"/>
  <c r="B2546" i="1"/>
  <c r="C2546" i="1"/>
  <c r="A11152" i="1"/>
  <c r="B11152" i="1"/>
  <c r="C11152" i="1"/>
  <c r="A5525" i="1"/>
  <c r="B5525" i="1"/>
  <c r="C5525" i="1"/>
  <c r="A11595" i="1"/>
  <c r="B11595" i="1"/>
  <c r="C11595" i="1"/>
  <c r="A2374" i="1"/>
  <c r="B2374" i="1"/>
  <c r="C2374" i="1"/>
  <c r="A10248" i="1"/>
  <c r="B10248" i="1"/>
  <c r="C10248" i="1"/>
  <c r="A5552" i="1"/>
  <c r="B5552" i="1"/>
  <c r="C5552" i="1"/>
  <c r="A3784" i="1"/>
  <c r="B3784" i="1"/>
  <c r="C3784" i="1"/>
  <c r="A9301" i="1"/>
  <c r="B9301" i="1"/>
  <c r="C9301" i="1"/>
  <c r="A11213" i="1"/>
  <c r="B11213" i="1"/>
  <c r="C11213" i="1"/>
  <c r="A5325" i="1"/>
  <c r="B5325" i="1"/>
  <c r="C5325" i="1"/>
  <c r="A2010" i="1"/>
  <c r="B2010" i="1"/>
  <c r="C2010" i="1"/>
  <c r="A2011" i="1"/>
  <c r="B2011" i="1"/>
  <c r="C2011" i="1"/>
  <c r="A5859" i="1"/>
  <c r="B5859" i="1"/>
  <c r="C5859" i="1"/>
  <c r="A13579" i="1"/>
  <c r="B13579" i="1"/>
  <c r="C13579" i="1"/>
  <c r="A4688" i="1"/>
  <c r="B4688" i="1"/>
  <c r="C4688" i="1"/>
  <c r="A7592" i="1"/>
  <c r="B7592" i="1"/>
  <c r="C7592" i="1"/>
  <c r="A4025" i="1"/>
  <c r="B4025" i="1"/>
  <c r="C4025" i="1"/>
  <c r="A9113" i="1"/>
  <c r="B9113" i="1"/>
  <c r="C9113" i="1"/>
  <c r="A6913" i="1"/>
  <c r="B6913" i="1"/>
  <c r="C6913" i="1"/>
  <c r="A12690" i="1"/>
  <c r="B12690" i="1"/>
  <c r="C12690" i="1"/>
  <c r="A6841" i="1"/>
  <c r="B6841" i="1"/>
  <c r="C6841" i="1"/>
  <c r="A1658" i="1"/>
  <c r="B1658" i="1"/>
  <c r="C1658" i="1"/>
  <c r="A1344" i="1"/>
  <c r="B1344" i="1"/>
  <c r="C1344" i="1"/>
  <c r="A3008" i="1"/>
  <c r="B3008" i="1"/>
  <c r="C3008" i="1"/>
  <c r="A8561" i="1"/>
  <c r="B8561" i="1"/>
  <c r="C8561" i="1"/>
  <c r="A6954" i="1"/>
  <c r="B6954" i="1"/>
  <c r="C6954" i="1"/>
  <c r="A13952" i="1"/>
  <c r="B13952" i="1"/>
  <c r="C13952" i="1"/>
  <c r="A2657" i="1"/>
  <c r="B2657" i="1"/>
  <c r="C2657" i="1"/>
  <c r="A2658" i="1"/>
  <c r="B2658" i="1"/>
  <c r="C2658" i="1"/>
  <c r="A12225" i="1"/>
  <c r="B12225" i="1"/>
  <c r="C12225" i="1"/>
  <c r="A10005" i="1"/>
  <c r="B10005" i="1"/>
  <c r="C10005" i="1"/>
  <c r="A2102" i="1"/>
  <c r="B2102" i="1"/>
  <c r="C2102" i="1"/>
  <c r="A5567" i="1"/>
  <c r="B5567" i="1"/>
  <c r="C5567" i="1"/>
  <c r="A8194" i="1"/>
  <c r="B8194" i="1"/>
  <c r="C8194" i="1"/>
  <c r="A1006" i="1"/>
  <c r="B1006" i="1"/>
  <c r="C1006" i="1"/>
  <c r="A4885" i="1"/>
  <c r="B4885" i="1"/>
  <c r="C4885" i="1"/>
  <c r="A7074" i="1"/>
  <c r="B7074" i="1"/>
  <c r="C7074" i="1"/>
  <c r="A994" i="1"/>
  <c r="B994" i="1"/>
  <c r="C994" i="1"/>
  <c r="A13009" i="1"/>
  <c r="B13009" i="1"/>
  <c r="C13009" i="1"/>
  <c r="A6388" i="1"/>
  <c r="B6388" i="1"/>
  <c r="C6388" i="1"/>
  <c r="A9906" i="1"/>
  <c r="B9906" i="1"/>
  <c r="C9906" i="1"/>
  <c r="A5842" i="1"/>
  <c r="B5842" i="1"/>
  <c r="C5842" i="1"/>
  <c r="A10441" i="1"/>
  <c r="B10441" i="1"/>
  <c r="C10441" i="1"/>
  <c r="A7398" i="1"/>
  <c r="B7398" i="1"/>
  <c r="C7398" i="1"/>
  <c r="A7399" i="1"/>
  <c r="B7399" i="1"/>
  <c r="C7399" i="1"/>
  <c r="A7400" i="1"/>
  <c r="B7400" i="1"/>
  <c r="C7400" i="1"/>
  <c r="A873" i="1"/>
  <c r="B873" i="1"/>
  <c r="C873" i="1"/>
  <c r="A12063" i="1"/>
  <c r="B12063" i="1"/>
  <c r="C12063" i="1"/>
  <c r="A3005" i="1"/>
  <c r="B3005" i="1"/>
  <c r="C3005" i="1"/>
  <c r="A4340" i="1"/>
  <c r="B4340" i="1"/>
  <c r="C4340" i="1"/>
  <c r="A611" i="1"/>
  <c r="B611" i="1"/>
  <c r="C611" i="1"/>
  <c r="A323" i="1"/>
  <c r="B323" i="1"/>
  <c r="C323" i="1"/>
  <c r="A4557" i="1"/>
  <c r="B4557" i="1"/>
  <c r="C4557" i="1"/>
  <c r="A4507" i="1"/>
  <c r="B4507" i="1"/>
  <c r="C4507" i="1"/>
  <c r="A1294" i="1"/>
  <c r="B1294" i="1"/>
  <c r="C1294" i="1"/>
  <c r="A11620" i="1"/>
  <c r="B11620" i="1"/>
  <c r="C11620" i="1"/>
  <c r="A2525" i="1"/>
  <c r="B2525" i="1"/>
  <c r="C2525" i="1"/>
  <c r="A10757" i="1"/>
  <c r="B10757" i="1"/>
  <c r="C10757" i="1"/>
  <c r="A4855" i="1"/>
  <c r="B4855" i="1"/>
  <c r="C4855" i="1"/>
  <c r="A12087" i="1"/>
  <c r="B12087" i="1"/>
  <c r="C12087" i="1"/>
  <c r="A940" i="1"/>
  <c r="B940" i="1"/>
  <c r="C940" i="1"/>
  <c r="A8486" i="1"/>
  <c r="B8486" i="1"/>
  <c r="C8486" i="1"/>
  <c r="A498" i="1"/>
  <c r="B498" i="1"/>
  <c r="A7970" i="1"/>
  <c r="B7970" i="1"/>
  <c r="C7970" i="1"/>
  <c r="A7971" i="1"/>
  <c r="B7971" i="1"/>
  <c r="C7971" i="1"/>
  <c r="A7972" i="1"/>
  <c r="B7972" i="1"/>
  <c r="C7972" i="1"/>
  <c r="A7973" i="1"/>
  <c r="B7973" i="1"/>
  <c r="C7973" i="1"/>
  <c r="A7974" i="1"/>
  <c r="B7974" i="1"/>
  <c r="C7974" i="1"/>
  <c r="A7710" i="1"/>
  <c r="B7710" i="1"/>
  <c r="C7710" i="1"/>
  <c r="A13137" i="1"/>
  <c r="B13137" i="1"/>
  <c r="C13137" i="1"/>
  <c r="A13909" i="1"/>
  <c r="B13909" i="1"/>
  <c r="C13909" i="1"/>
  <c r="A1667" i="1"/>
  <c r="B1667" i="1"/>
  <c r="C1667" i="1"/>
  <c r="A2511" i="1"/>
  <c r="B2511" i="1"/>
  <c r="C2511" i="1"/>
  <c r="A6794" i="1"/>
  <c r="B6794" i="1"/>
  <c r="C6794" i="1"/>
  <c r="A7732" i="1"/>
  <c r="B7732" i="1"/>
  <c r="C7732" i="1"/>
  <c r="A8432" i="1"/>
  <c r="B8432" i="1"/>
  <c r="C8432" i="1"/>
  <c r="A94" i="1"/>
  <c r="B94" i="1"/>
  <c r="C94" i="1"/>
  <c r="A1415" i="1"/>
  <c r="B1415" i="1"/>
  <c r="C1415" i="1"/>
  <c r="A13382" i="1"/>
  <c r="B13382" i="1"/>
  <c r="C13382" i="1"/>
  <c r="A43" i="1"/>
  <c r="B43" i="1"/>
  <c r="C43" i="1"/>
  <c r="A12147" i="1"/>
  <c r="B12147" i="1"/>
  <c r="C12147" i="1"/>
  <c r="A13234" i="1"/>
  <c r="B13234" i="1"/>
  <c r="C13234" i="1"/>
  <c r="A10603" i="1"/>
  <c r="B10603" i="1"/>
  <c r="C10603" i="1"/>
  <c r="A13945" i="1"/>
  <c r="B13945" i="1"/>
  <c r="C13945" i="1"/>
  <c r="A11078" i="1"/>
  <c r="B11078" i="1"/>
  <c r="C11078" i="1"/>
  <c r="A5512" i="1"/>
  <c r="B5512" i="1"/>
  <c r="C5512" i="1"/>
  <c r="A3054" i="1"/>
  <c r="B3054" i="1"/>
  <c r="C3054" i="1"/>
  <c r="A12945" i="1"/>
  <c r="B12945" i="1"/>
  <c r="C12945" i="1"/>
  <c r="A6711" i="1"/>
  <c r="B6711" i="1"/>
  <c r="C6711" i="1"/>
  <c r="A2915" i="1"/>
  <c r="B2915" i="1"/>
  <c r="C2915" i="1"/>
  <c r="A11702" i="1"/>
  <c r="B11702" i="1"/>
  <c r="C11702" i="1"/>
  <c r="A2447" i="1"/>
  <c r="B2447" i="1"/>
  <c r="C2447" i="1"/>
  <c r="A2187" i="1"/>
  <c r="B2187" i="1"/>
  <c r="C2187" i="1"/>
  <c r="A7468" i="1"/>
  <c r="B7468" i="1"/>
  <c r="C7468" i="1"/>
  <c r="A7484" i="1"/>
  <c r="B7484" i="1"/>
  <c r="C7484" i="1"/>
  <c r="A1872" i="1"/>
  <c r="B1872" i="1"/>
  <c r="C1872" i="1"/>
  <c r="A1044" i="1"/>
  <c r="B1044" i="1"/>
  <c r="C1044" i="1"/>
  <c r="A1756" i="1"/>
  <c r="B1756" i="1"/>
  <c r="C1756" i="1"/>
  <c r="A12226" i="1"/>
  <c r="B12226" i="1"/>
  <c r="C12226" i="1"/>
  <c r="A11725" i="1"/>
  <c r="B11725" i="1"/>
  <c r="C11725" i="1"/>
  <c r="A5161" i="1"/>
  <c r="B5161" i="1"/>
  <c r="C5161" i="1"/>
  <c r="A8995" i="1"/>
  <c r="B8995" i="1"/>
  <c r="C8995" i="1"/>
  <c r="A298" i="1"/>
  <c r="B298" i="1"/>
  <c r="C298" i="1"/>
  <c r="A10732" i="1"/>
  <c r="B10732" i="1"/>
  <c r="C10732" i="1"/>
  <c r="A6460" i="1"/>
  <c r="B6460" i="1"/>
  <c r="C6460" i="1"/>
  <c r="A3690" i="1"/>
  <c r="B3690" i="1"/>
  <c r="C3690" i="1"/>
  <c r="A9268" i="1"/>
  <c r="B9268" i="1"/>
  <c r="C9268" i="1"/>
  <c r="A6245" i="1"/>
  <c r="B6245" i="1"/>
  <c r="C6245" i="1"/>
  <c r="A12598" i="1"/>
  <c r="B12598" i="1"/>
  <c r="C12598" i="1"/>
  <c r="A6574" i="1"/>
  <c r="B6574" i="1"/>
  <c r="C6574" i="1"/>
  <c r="A2481" i="1"/>
  <c r="B2481" i="1"/>
  <c r="C2481" i="1"/>
  <c r="A13843" i="1"/>
  <c r="B13843" i="1"/>
  <c r="C13843" i="1"/>
  <c r="A11786" i="1"/>
  <c r="B11786" i="1"/>
  <c r="C11786" i="1"/>
  <c r="A9633" i="1"/>
  <c r="B9633" i="1"/>
  <c r="C9633" i="1"/>
  <c r="A4215" i="1"/>
  <c r="B4215" i="1"/>
  <c r="C4215" i="1"/>
  <c r="A703" i="1"/>
  <c r="B703" i="1"/>
  <c r="C703" i="1"/>
  <c r="A9574" i="1"/>
  <c r="B9574" i="1"/>
  <c r="C9574" i="1"/>
  <c r="A12341" i="1"/>
  <c r="B12341" i="1"/>
  <c r="C12341" i="1"/>
  <c r="A13565" i="1"/>
  <c r="B13565" i="1"/>
  <c r="C13565" i="1"/>
  <c r="A3927" i="1"/>
  <c r="B3927" i="1"/>
  <c r="C3927" i="1"/>
  <c r="A2495" i="1"/>
  <c r="B2495" i="1"/>
  <c r="C2495" i="1"/>
  <c r="A5821" i="1"/>
  <c r="B5821" i="1"/>
  <c r="C5821" i="1"/>
  <c r="A11251" i="1"/>
  <c r="B11251" i="1"/>
  <c r="C11251" i="1"/>
  <c r="A10501" i="1"/>
  <c r="B10501" i="1"/>
  <c r="C10501" i="1"/>
  <c r="A11434" i="1"/>
  <c r="B11434" i="1"/>
  <c r="C11434" i="1"/>
  <c r="A1588" i="1"/>
  <c r="B1588" i="1"/>
  <c r="C1588" i="1"/>
  <c r="A2790" i="1"/>
  <c r="B2790" i="1"/>
  <c r="C2790" i="1"/>
  <c r="A11535" i="1"/>
  <c r="B11535" i="1"/>
  <c r="C11535" i="1"/>
  <c r="A9972" i="1"/>
  <c r="B9972" i="1"/>
  <c r="C9972" i="1"/>
  <c r="A2874" i="1"/>
  <c r="B2874" i="1"/>
  <c r="C2874" i="1"/>
  <c r="A4829" i="1"/>
  <c r="B4829" i="1"/>
  <c r="C4829" i="1"/>
  <c r="A2438" i="1"/>
  <c r="B2438" i="1"/>
  <c r="C2438" i="1"/>
  <c r="A3936" i="1"/>
  <c r="B3936" i="1"/>
  <c r="C3936" i="1"/>
  <c r="A4415" i="1"/>
  <c r="B4415" i="1"/>
  <c r="C4415" i="1"/>
  <c r="A6485" i="1"/>
  <c r="B6485" i="1"/>
  <c r="C6485" i="1"/>
  <c r="A8696" i="1"/>
  <c r="B8696" i="1"/>
  <c r="C8696" i="1"/>
  <c r="A11551" i="1"/>
  <c r="B11551" i="1"/>
  <c r="C11551" i="1"/>
  <c r="A7560" i="1"/>
  <c r="B7560" i="1"/>
  <c r="C7560" i="1"/>
  <c r="A4258" i="1"/>
  <c r="B4258" i="1"/>
  <c r="C4258" i="1"/>
  <c r="A13397" i="1"/>
  <c r="B13397" i="1"/>
  <c r="C13397" i="1"/>
  <c r="A2370" i="1"/>
  <c r="B2370" i="1"/>
  <c r="C2370" i="1"/>
  <c r="A10462" i="1"/>
  <c r="B10462" i="1"/>
  <c r="C10462" i="1"/>
  <c r="A2659" i="1"/>
  <c r="B2659" i="1"/>
  <c r="C2659" i="1"/>
  <c r="A13135" i="1"/>
  <c r="B13135" i="1"/>
  <c r="C13135" i="1"/>
  <c r="A5801" i="1"/>
  <c r="B5801" i="1"/>
  <c r="C5801" i="1"/>
  <c r="A5564" i="1"/>
  <c r="B5564" i="1"/>
  <c r="C5564" i="1"/>
  <c r="A1253" i="1"/>
  <c r="B1253" i="1"/>
  <c r="C1253" i="1"/>
  <c r="A10435" i="1"/>
  <c r="B10435" i="1"/>
  <c r="C10435" i="1"/>
  <c r="A5677" i="1"/>
  <c r="B5677" i="1"/>
  <c r="C5677" i="1"/>
  <c r="A1043" i="1"/>
  <c r="B1043" i="1"/>
  <c r="C1043" i="1"/>
  <c r="A13650" i="1"/>
  <c r="B13650" i="1"/>
  <c r="C13650" i="1"/>
  <c r="A2307" i="1"/>
  <c r="B2307" i="1"/>
  <c r="C2307" i="1"/>
  <c r="A11803" i="1"/>
  <c r="B11803" i="1"/>
  <c r="C11803" i="1"/>
  <c r="A3753" i="1"/>
  <c r="B3753" i="1"/>
  <c r="C3753" i="1"/>
  <c r="A1806" i="1"/>
  <c r="B1806" i="1"/>
  <c r="C1806" i="1"/>
  <c r="A4978" i="1"/>
  <c r="B4978" i="1"/>
  <c r="C4978" i="1"/>
  <c r="A1432" i="1"/>
  <c r="B1432" i="1"/>
  <c r="C1432" i="1"/>
  <c r="A8856" i="1"/>
  <c r="B8856" i="1"/>
  <c r="C8856" i="1"/>
  <c r="A9046" i="1"/>
  <c r="B9046" i="1"/>
  <c r="C9046" i="1"/>
  <c r="A2925" i="1"/>
  <c r="B2925" i="1"/>
  <c r="C2925" i="1"/>
  <c r="A80" i="1"/>
  <c r="B80" i="1"/>
  <c r="C80" i="1"/>
  <c r="A8575" i="1"/>
  <c r="B8575" i="1"/>
  <c r="C8575" i="1"/>
  <c r="A9063" i="1"/>
  <c r="B9063" i="1"/>
  <c r="C9063" i="1"/>
  <c r="A10491" i="1"/>
  <c r="B10491" i="1"/>
  <c r="C10491" i="1"/>
  <c r="A4896" i="1"/>
  <c r="B4896" i="1"/>
  <c r="C4896" i="1"/>
  <c r="A10975" i="1"/>
  <c r="B10975" i="1"/>
  <c r="C10975" i="1"/>
  <c r="A5037" i="1"/>
  <c r="B5037" i="1"/>
  <c r="C5037" i="1"/>
  <c r="A11732" i="1"/>
  <c r="B11732" i="1"/>
  <c r="C11732" i="1"/>
  <c r="A1158" i="1"/>
  <c r="B1158" i="1"/>
  <c r="C1158" i="1"/>
  <c r="A3300" i="1"/>
  <c r="B3300" i="1"/>
  <c r="C3300" i="1"/>
  <c r="A12333" i="1"/>
  <c r="B12333" i="1"/>
  <c r="C12333" i="1"/>
  <c r="A12867" i="1"/>
  <c r="B12867" i="1"/>
  <c r="C12867" i="1"/>
  <c r="A3973" i="1"/>
  <c r="B3973" i="1"/>
  <c r="C3973" i="1"/>
  <c r="A13634" i="1"/>
  <c r="B13634" i="1"/>
  <c r="C13634" i="1"/>
  <c r="A9079" i="1"/>
  <c r="B9079" i="1"/>
  <c r="C9079" i="1"/>
  <c r="A3182" i="1"/>
  <c r="B3182" i="1"/>
  <c r="C3182" i="1"/>
  <c r="A4619" i="1"/>
  <c r="B4619" i="1"/>
  <c r="C4619" i="1"/>
  <c r="A1319" i="1"/>
  <c r="B1319" i="1"/>
  <c r="C1319" i="1"/>
  <c r="A4044" i="1"/>
  <c r="B4044" i="1"/>
  <c r="C4044" i="1"/>
  <c r="A11139" i="1"/>
  <c r="B11139" i="1"/>
  <c r="C11139" i="1"/>
  <c r="A12782" i="1"/>
  <c r="B12782" i="1"/>
  <c r="C12782" i="1"/>
  <c r="A4505" i="1"/>
  <c r="B4505" i="1"/>
  <c r="C4505" i="1"/>
  <c r="A2651" i="1"/>
  <c r="B2651" i="1"/>
  <c r="C2651" i="1"/>
  <c r="A12325" i="1"/>
  <c r="B12325" i="1"/>
  <c r="C12325" i="1"/>
  <c r="A12904" i="1"/>
  <c r="B12904" i="1"/>
  <c r="C12904" i="1"/>
  <c r="A5339" i="1"/>
  <c r="B5339" i="1"/>
  <c r="C5339" i="1"/>
  <c r="A1967" i="1"/>
  <c r="B1967" i="1"/>
  <c r="C1967" i="1"/>
  <c r="A13643" i="1"/>
  <c r="B13643" i="1"/>
  <c r="C13643" i="1"/>
  <c r="A1021" i="1"/>
  <c r="B1021" i="1"/>
  <c r="C1021" i="1"/>
  <c r="A13426" i="1"/>
  <c r="B13426" i="1"/>
  <c r="C13426" i="1"/>
  <c r="A13756" i="1"/>
  <c r="B13756" i="1"/>
  <c r="C13756" i="1"/>
  <c r="A13793" i="1"/>
  <c r="B13793" i="1"/>
  <c r="C13793" i="1"/>
  <c r="A7976" i="1"/>
  <c r="B7976" i="1"/>
  <c r="C7976" i="1"/>
  <c r="A10023" i="1"/>
  <c r="B10023" i="1"/>
  <c r="C10023" i="1"/>
  <c r="A7980" i="1"/>
  <c r="B7980" i="1"/>
  <c r="C7980" i="1"/>
  <c r="A7442" i="1"/>
  <c r="B7442" i="1"/>
  <c r="C7442" i="1"/>
  <c r="A4742" i="1"/>
  <c r="B4742" i="1"/>
  <c r="C4742" i="1"/>
  <c r="A9968" i="1"/>
  <c r="B9968" i="1"/>
  <c r="C9968" i="1"/>
  <c r="A5829" i="1"/>
  <c r="B5829" i="1"/>
  <c r="C5829" i="1"/>
  <c r="A1343" i="1"/>
  <c r="B1343" i="1"/>
  <c r="C1343" i="1"/>
  <c r="A7167" i="1"/>
  <c r="B7167" i="1"/>
  <c r="C7167" i="1"/>
  <c r="A6284" i="1"/>
  <c r="B6284" i="1"/>
  <c r="C6284" i="1"/>
  <c r="A2777" i="1"/>
  <c r="B2777" i="1"/>
  <c r="C2777" i="1"/>
  <c r="A11218" i="1"/>
  <c r="B11218" i="1"/>
  <c r="C11218" i="1"/>
  <c r="A8042" i="1"/>
  <c r="B8042" i="1"/>
  <c r="C8042" i="1"/>
  <c r="A8273" i="1"/>
  <c r="B8273" i="1"/>
  <c r="C8273" i="1"/>
  <c r="A7763" i="1"/>
  <c r="B7763" i="1"/>
  <c r="C7763" i="1"/>
  <c r="A7140" i="1"/>
  <c r="B7140" i="1"/>
  <c r="C7140" i="1"/>
  <c r="A6709" i="1"/>
  <c r="B6709" i="1"/>
  <c r="C6709" i="1"/>
  <c r="A10166" i="1"/>
  <c r="B10166" i="1"/>
  <c r="C10166" i="1"/>
  <c r="A39" i="1"/>
  <c r="B39" i="1"/>
  <c r="C39" i="1"/>
  <c r="A11187" i="1"/>
  <c r="B11187" i="1"/>
  <c r="C11187" i="1"/>
  <c r="A1871" i="1"/>
  <c r="B1871" i="1"/>
  <c r="C1871" i="1"/>
  <c r="A10551" i="1"/>
  <c r="B10551" i="1"/>
  <c r="C10551" i="1"/>
  <c r="A4323" i="1"/>
  <c r="B4323" i="1"/>
  <c r="C4323" i="1"/>
  <c r="A12632" i="1"/>
  <c r="B12632" i="1"/>
  <c r="C12632" i="1"/>
  <c r="A2867" i="1"/>
  <c r="B2867" i="1"/>
  <c r="C2867" i="1"/>
  <c r="A7746" i="1"/>
  <c r="B7746" i="1"/>
  <c r="C7746" i="1"/>
  <c r="A7747" i="1"/>
  <c r="B7747" i="1"/>
  <c r="C7747" i="1"/>
  <c r="A1992" i="1"/>
  <c r="B1992" i="1"/>
  <c r="C1992" i="1"/>
  <c r="A12829" i="1"/>
  <c r="B12829" i="1"/>
  <c r="C12829" i="1"/>
  <c r="A7894" i="1"/>
  <c r="B7894" i="1"/>
  <c r="C7894" i="1"/>
  <c r="A7895" i="1"/>
  <c r="B7895" i="1"/>
  <c r="C7895" i="1"/>
  <c r="A8043" i="1"/>
  <c r="B8043" i="1"/>
  <c r="C8043" i="1"/>
  <c r="A2015" i="1"/>
  <c r="B2015" i="1"/>
  <c r="C2015" i="1"/>
  <c r="A4881" i="1"/>
  <c r="B4881" i="1"/>
  <c r="C4881" i="1"/>
  <c r="A12039" i="1"/>
  <c r="B12039" i="1"/>
  <c r="C12039" i="1"/>
  <c r="A8844" i="1"/>
  <c r="B8844" i="1"/>
  <c r="C8844" i="1"/>
  <c r="A8732" i="1"/>
  <c r="B8732" i="1"/>
  <c r="C8732" i="1"/>
  <c r="A5023" i="1"/>
  <c r="B5023" i="1"/>
  <c r="C5023" i="1"/>
  <c r="A4591" i="1"/>
  <c r="B4591" i="1"/>
  <c r="C4591" i="1"/>
  <c r="A13427" i="1"/>
  <c r="B13427" i="1"/>
  <c r="C13427" i="1"/>
  <c r="A8366" i="1"/>
  <c r="B8366" i="1"/>
  <c r="C8366" i="1"/>
  <c r="A8077" i="1"/>
  <c r="B8077" i="1"/>
  <c r="C8077" i="1"/>
  <c r="A8830" i="1"/>
  <c r="B8830" i="1"/>
  <c r="C8830" i="1"/>
  <c r="A12941" i="1"/>
  <c r="B12941" i="1"/>
  <c r="C12941" i="1"/>
  <c r="A6254" i="1"/>
  <c r="B6254" i="1"/>
  <c r="C6254" i="1"/>
  <c r="A8688" i="1"/>
  <c r="B8688" i="1"/>
  <c r="C8688" i="1"/>
  <c r="A1321" i="1"/>
  <c r="B1321" i="1"/>
  <c r="C1321" i="1"/>
  <c r="A13066" i="1"/>
  <c r="B13066" i="1"/>
  <c r="C13066" i="1"/>
  <c r="A13429" i="1"/>
  <c r="B13429" i="1"/>
  <c r="C13429" i="1"/>
  <c r="A3802" i="1"/>
  <c r="B3802" i="1"/>
  <c r="C3802" i="1"/>
  <c r="A13064" i="1"/>
  <c r="B13064" i="1"/>
  <c r="C13064" i="1"/>
  <c r="A7561" i="1"/>
  <c r="B7561" i="1"/>
  <c r="C7561" i="1"/>
  <c r="A7554" i="1"/>
  <c r="B7554" i="1"/>
  <c r="C7554" i="1"/>
  <c r="A3619" i="1"/>
  <c r="B3619" i="1"/>
  <c r="C3619" i="1"/>
  <c r="A8614" i="1"/>
  <c r="B8614" i="1"/>
  <c r="C8614" i="1"/>
  <c r="A8615" i="1"/>
  <c r="B8615" i="1"/>
  <c r="C8615" i="1"/>
  <c r="A12951" i="1"/>
  <c r="B12951" i="1"/>
  <c r="C12951" i="1"/>
  <c r="A7207" i="1"/>
  <c r="B7207" i="1"/>
  <c r="C7207" i="1"/>
  <c r="A13024" i="1"/>
  <c r="B13024" i="1"/>
  <c r="C13024" i="1"/>
  <c r="A11098" i="1"/>
  <c r="B11098" i="1"/>
  <c r="C11098" i="1"/>
  <c r="A10754" i="1"/>
  <c r="B10754" i="1"/>
  <c r="C10754" i="1"/>
  <c r="A10121" i="1"/>
  <c r="B10121" i="1"/>
  <c r="C10121" i="1"/>
  <c r="A1172" i="1"/>
  <c r="B1172" i="1"/>
  <c r="C1172" i="1"/>
  <c r="A6872" i="1"/>
  <c r="B6872" i="1"/>
  <c r="C6872" i="1"/>
  <c r="A13448" i="1"/>
  <c r="B13448" i="1"/>
  <c r="C13448" i="1"/>
  <c r="A10792" i="1"/>
  <c r="B10792" i="1"/>
  <c r="C10792" i="1"/>
  <c r="A12671" i="1"/>
  <c r="B12671" i="1"/>
  <c r="C12671" i="1"/>
  <c r="A7598" i="1"/>
  <c r="B7598" i="1"/>
  <c r="C7598" i="1"/>
  <c r="A11499" i="1"/>
  <c r="B11499" i="1"/>
  <c r="C11499" i="1"/>
  <c r="A37" i="1"/>
  <c r="B37" i="1"/>
  <c r="C37" i="1"/>
  <c r="A4663" i="1"/>
  <c r="B4663" i="1"/>
  <c r="C4663" i="1"/>
  <c r="A8894" i="1"/>
  <c r="B8894" i="1"/>
  <c r="C8894" i="1"/>
  <c r="A6431" i="1"/>
  <c r="B6431" i="1"/>
  <c r="C6431" i="1"/>
  <c r="A10323" i="1"/>
  <c r="B10323" i="1"/>
  <c r="C10323" i="1"/>
  <c r="A282" i="1"/>
  <c r="B282" i="1"/>
  <c r="C282" i="1"/>
  <c r="A2182" i="1"/>
  <c r="B2182" i="1"/>
  <c r="C2182" i="1"/>
  <c r="A9741" i="1"/>
  <c r="B9741" i="1"/>
  <c r="C9741" i="1"/>
  <c r="A746" i="1"/>
  <c r="B746" i="1"/>
  <c r="C746" i="1"/>
  <c r="A1980" i="1"/>
  <c r="B1980" i="1"/>
  <c r="C1980" i="1"/>
  <c r="A8286" i="1"/>
  <c r="B8286" i="1"/>
  <c r="C8286" i="1"/>
  <c r="A12036" i="1"/>
  <c r="B12036" i="1"/>
  <c r="C12036" i="1"/>
  <c r="A8297" i="1"/>
  <c r="B8297" i="1"/>
  <c r="C8297" i="1"/>
  <c r="A5488" i="1"/>
  <c r="B5488" i="1"/>
  <c r="C5488" i="1"/>
  <c r="A5018" i="1"/>
  <c r="B5018" i="1"/>
  <c r="C5018" i="1"/>
  <c r="A88" i="1"/>
  <c r="B88" i="1"/>
  <c r="C88" i="1"/>
  <c r="A2636" i="1"/>
  <c r="B2636" i="1"/>
  <c r="C2636" i="1"/>
  <c r="A1548" i="1"/>
  <c r="B1548" i="1"/>
  <c r="C1548" i="1"/>
  <c r="A9925" i="1"/>
  <c r="B9925" i="1"/>
  <c r="C9925" i="1"/>
  <c r="A2025" i="1"/>
  <c r="B2025" i="1"/>
  <c r="C2025" i="1"/>
  <c r="A11416" i="1"/>
  <c r="B11416" i="1"/>
  <c r="C11416" i="1"/>
  <c r="A12310" i="1"/>
  <c r="B12310" i="1"/>
  <c r="C12310" i="1"/>
  <c r="A13898" i="1"/>
  <c r="B13898" i="1"/>
  <c r="C13898" i="1"/>
  <c r="A7893" i="1"/>
  <c r="B7893" i="1"/>
  <c r="C7893" i="1"/>
  <c r="A7981" i="1"/>
  <c r="B7981" i="1"/>
  <c r="C7981" i="1"/>
  <c r="A11721" i="1"/>
  <c r="B11721" i="1"/>
  <c r="C11721" i="1"/>
  <c r="A5642" i="1"/>
  <c r="B5642" i="1"/>
  <c r="C5642" i="1"/>
  <c r="A12890" i="1"/>
  <c r="B12890" i="1"/>
  <c r="C12890" i="1"/>
  <c r="A5109" i="1"/>
  <c r="B5109" i="1"/>
  <c r="C5109" i="1"/>
  <c r="A4061" i="1"/>
  <c r="B4061" i="1"/>
  <c r="C4061" i="1"/>
  <c r="A4866" i="1"/>
  <c r="B4866" i="1"/>
  <c r="C4866" i="1"/>
  <c r="A1146" i="1"/>
  <c r="B1146" i="1"/>
  <c r="C1146" i="1"/>
  <c r="A8849" i="1"/>
  <c r="B8849" i="1"/>
  <c r="C8849" i="1"/>
  <c r="A8406" i="1"/>
  <c r="B8406" i="1"/>
  <c r="C8406" i="1"/>
  <c r="A1127" i="1"/>
  <c r="B1127" i="1"/>
  <c r="C1127" i="1"/>
  <c r="A1534" i="1"/>
  <c r="B1534" i="1"/>
  <c r="C1534" i="1"/>
  <c r="A860" i="1"/>
  <c r="B860" i="1"/>
  <c r="C860" i="1"/>
  <c r="A9356" i="1"/>
  <c r="B9356" i="1"/>
  <c r="C9356" i="1"/>
  <c r="A4518" i="1"/>
  <c r="B4518" i="1"/>
  <c r="C4518" i="1"/>
  <c r="A12808" i="1"/>
  <c r="B12808" i="1"/>
  <c r="C12808" i="1"/>
  <c r="A7364" i="1"/>
  <c r="B7364" i="1"/>
  <c r="C7364" i="1"/>
  <c r="A12554" i="1"/>
  <c r="B12554" i="1"/>
  <c r="C12554" i="1"/>
  <c r="A1769" i="1"/>
  <c r="B1769" i="1"/>
  <c r="C1769" i="1"/>
  <c r="A4253" i="1"/>
  <c r="B4253" i="1"/>
  <c r="C4253" i="1"/>
  <c r="A6912" i="1"/>
  <c r="B6912" i="1"/>
  <c r="C6912" i="1"/>
  <c r="A6204" i="1"/>
  <c r="B6204" i="1"/>
  <c r="C6204" i="1"/>
  <c r="A5284" i="1"/>
  <c r="B5284" i="1"/>
  <c r="C5284" i="1"/>
  <c r="A9125" i="1"/>
  <c r="B9125" i="1"/>
  <c r="C9125" i="1"/>
  <c r="A3594" i="1"/>
  <c r="B3594" i="1"/>
  <c r="C3594" i="1"/>
  <c r="A4957" i="1"/>
  <c r="B4957" i="1"/>
  <c r="C4957" i="1"/>
  <c r="A3798" i="1"/>
  <c r="B3798" i="1"/>
  <c r="C3798" i="1"/>
  <c r="A7898" i="1"/>
  <c r="B7898" i="1"/>
  <c r="C7898" i="1"/>
  <c r="A5132" i="1"/>
  <c r="B5132" i="1"/>
  <c r="C5132" i="1"/>
  <c r="A4338" i="1"/>
  <c r="B4338" i="1"/>
  <c r="C4338" i="1"/>
  <c r="A10222" i="1"/>
  <c r="B10222" i="1"/>
  <c r="C10222" i="1"/>
  <c r="A10824" i="1"/>
  <c r="B10824" i="1"/>
  <c r="C10824" i="1"/>
  <c r="A10743" i="1"/>
  <c r="B10743" i="1"/>
  <c r="C10743" i="1"/>
  <c r="A10744" i="1"/>
  <c r="B10744" i="1"/>
  <c r="C10744" i="1"/>
  <c r="A6603" i="1"/>
  <c r="B6603" i="1"/>
  <c r="C6603" i="1"/>
  <c r="A13871" i="1"/>
  <c r="B13871" i="1"/>
  <c r="C13871" i="1"/>
  <c r="A11863" i="1"/>
  <c r="B11863" i="1"/>
  <c r="C11863" i="1"/>
  <c r="A11864" i="1"/>
  <c r="B11864" i="1"/>
  <c r="C11864" i="1"/>
  <c r="A10249" i="1"/>
  <c r="B10249" i="1"/>
  <c r="C10249" i="1"/>
  <c r="A2699" i="1"/>
  <c r="B2699" i="1"/>
  <c r="C2699" i="1"/>
  <c r="A1202" i="1"/>
  <c r="B1202" i="1"/>
  <c r="C1202" i="1"/>
  <c r="A13690" i="1"/>
  <c r="B13690" i="1"/>
  <c r="C13690" i="1"/>
  <c r="A10009" i="1"/>
  <c r="B10009" i="1"/>
  <c r="C10009" i="1"/>
  <c r="A13684" i="1"/>
  <c r="B13684" i="1"/>
  <c r="C13684" i="1"/>
  <c r="A1898" i="1"/>
  <c r="B1898" i="1"/>
  <c r="C1898" i="1"/>
  <c r="A284" i="1"/>
  <c r="B284" i="1"/>
  <c r="C284" i="1"/>
  <c r="A312" i="1"/>
  <c r="B312" i="1"/>
  <c r="C312" i="1"/>
  <c r="A6047" i="1"/>
  <c r="B6047" i="1"/>
  <c r="C6047" i="1"/>
  <c r="A3391" i="1"/>
  <c r="B3391" i="1"/>
  <c r="C3391" i="1"/>
  <c r="A6993" i="1"/>
  <c r="B6993" i="1"/>
  <c r="C6993" i="1"/>
  <c r="A11301" i="1"/>
  <c r="B11301" i="1"/>
  <c r="C11301" i="1"/>
  <c r="A2016" i="1"/>
  <c r="B2016" i="1"/>
  <c r="C2016" i="1"/>
  <c r="A13839" i="1"/>
  <c r="B13839" i="1"/>
  <c r="C13839" i="1"/>
  <c r="A7604" i="1"/>
  <c r="B7604" i="1"/>
  <c r="C7604" i="1"/>
  <c r="A5356" i="1"/>
  <c r="B5356" i="1"/>
  <c r="C5356" i="1"/>
  <c r="A9355" i="1"/>
  <c r="B9355" i="1"/>
  <c r="C9355" i="1"/>
  <c r="A1763" i="1"/>
  <c r="B1763" i="1"/>
  <c r="C1763" i="1"/>
  <c r="A9065" i="1"/>
  <c r="B9065" i="1"/>
  <c r="C9065" i="1"/>
  <c r="A3448" i="1"/>
  <c r="B3448" i="1"/>
  <c r="C3448" i="1"/>
  <c r="A11589" i="1"/>
  <c r="B11589" i="1"/>
  <c r="C11589" i="1"/>
  <c r="A6492" i="1"/>
  <c r="B6492" i="1"/>
  <c r="C6492" i="1"/>
  <c r="A7663" i="1"/>
  <c r="B7663" i="1"/>
  <c r="C7663" i="1"/>
  <c r="A2376" i="1"/>
  <c r="B2376" i="1"/>
  <c r="C2376" i="1"/>
  <c r="A2067" i="1"/>
  <c r="B2067" i="1"/>
  <c r="C2067" i="1"/>
  <c r="A1944" i="1"/>
  <c r="B1944" i="1"/>
  <c r="C1944" i="1"/>
  <c r="A10913" i="1"/>
  <c r="B10913" i="1"/>
  <c r="C10913" i="1"/>
  <c r="A5563" i="1"/>
  <c r="B5563" i="1"/>
  <c r="C5563" i="1"/>
  <c r="A6289" i="1"/>
  <c r="B6289" i="1"/>
  <c r="C6289" i="1"/>
  <c r="A6290" i="1"/>
  <c r="B6290" i="1"/>
  <c r="C6290" i="1"/>
  <c r="A9351" i="1"/>
  <c r="B9351" i="1"/>
  <c r="C9351" i="1"/>
  <c r="A1380" i="1"/>
  <c r="B1380" i="1"/>
  <c r="C1380" i="1"/>
  <c r="A4821" i="1"/>
  <c r="B4821" i="1"/>
  <c r="C4821" i="1"/>
  <c r="A2284" i="1"/>
  <c r="B2284" i="1"/>
  <c r="C2284" i="1"/>
  <c r="A9776" i="1"/>
  <c r="B9776" i="1"/>
  <c r="C9776" i="1"/>
  <c r="A558" i="1"/>
  <c r="B558" i="1"/>
  <c r="C558" i="1"/>
  <c r="A13561" i="1"/>
  <c r="B13561" i="1"/>
  <c r="C13561" i="1"/>
  <c r="A4979" i="1"/>
  <c r="B4979" i="1"/>
  <c r="C4979" i="1"/>
  <c r="A3527" i="1"/>
  <c r="B3527" i="1"/>
  <c r="C3527" i="1"/>
  <c r="A2889" i="1"/>
  <c r="B2889" i="1"/>
  <c r="C2889" i="1"/>
  <c r="A5847" i="1"/>
  <c r="B5847" i="1"/>
  <c r="C5847" i="1"/>
  <c r="A8202" i="1"/>
  <c r="B8202" i="1"/>
  <c r="C8202" i="1"/>
  <c r="A7748" i="1"/>
  <c r="B7748" i="1"/>
  <c r="C7748" i="1"/>
  <c r="A5950" i="1"/>
  <c r="B5950" i="1"/>
  <c r="C5950" i="1"/>
  <c r="A13081" i="1"/>
  <c r="B13081" i="1"/>
  <c r="C13081" i="1"/>
  <c r="A2647" i="1"/>
  <c r="B2647" i="1"/>
  <c r="C2647" i="1"/>
  <c r="A2648" i="1"/>
  <c r="B2648" i="1"/>
  <c r="C2648" i="1"/>
  <c r="A4267" i="1"/>
  <c r="B4267" i="1"/>
  <c r="C4267" i="1"/>
  <c r="A2416" i="1"/>
  <c r="B2416" i="1"/>
  <c r="C2416" i="1"/>
  <c r="A8755" i="1"/>
  <c r="B8755" i="1"/>
  <c r="C8755" i="1"/>
  <c r="A4046" i="1"/>
  <c r="B4046" i="1"/>
  <c r="C4046" i="1"/>
  <c r="A10061" i="1"/>
  <c r="B10061" i="1"/>
  <c r="C10061" i="1"/>
  <c r="A2871" i="1"/>
  <c r="B2871" i="1"/>
  <c r="C2871" i="1"/>
  <c r="A777" i="1"/>
  <c r="B777" i="1"/>
  <c r="C777" i="1"/>
  <c r="A4777" i="1"/>
  <c r="B4777" i="1"/>
  <c r="C4777" i="1"/>
  <c r="A7329" i="1"/>
  <c r="B7329" i="1"/>
  <c r="C7329" i="1"/>
  <c r="A8892" i="1"/>
  <c r="B8892" i="1"/>
  <c r="C8892" i="1"/>
  <c r="A513" i="1"/>
  <c r="B513" i="1"/>
  <c r="C513" i="1"/>
  <c r="A7185" i="1"/>
  <c r="B7185" i="1"/>
  <c r="C7185" i="1"/>
  <c r="A7186" i="1"/>
  <c r="B7186" i="1"/>
  <c r="C7186" i="1"/>
  <c r="A12871" i="1"/>
  <c r="B12871" i="1"/>
  <c r="C12871" i="1"/>
  <c r="A377" i="1"/>
  <c r="B377" i="1"/>
  <c r="C377" i="1"/>
  <c r="A378" i="1"/>
  <c r="B378" i="1"/>
  <c r="C378" i="1"/>
  <c r="A13109" i="1"/>
  <c r="B13109" i="1"/>
  <c r="C13109" i="1"/>
  <c r="A13110" i="1"/>
  <c r="B13110" i="1"/>
  <c r="C13110" i="1"/>
  <c r="A13111" i="1"/>
  <c r="B13111" i="1"/>
  <c r="C13111" i="1"/>
  <c r="A13112" i="1"/>
  <c r="B13112" i="1"/>
  <c r="C13112" i="1"/>
  <c r="A13113" i="1"/>
  <c r="B13113" i="1"/>
  <c r="C13113" i="1"/>
  <c r="A13114" i="1"/>
  <c r="B13114" i="1"/>
  <c r="C13114" i="1"/>
  <c r="A13115" i="1"/>
  <c r="B13115" i="1"/>
  <c r="C13115" i="1"/>
  <c r="A13116" i="1"/>
  <c r="B13116" i="1"/>
  <c r="C13116" i="1"/>
  <c r="A13117" i="1"/>
  <c r="B13117" i="1"/>
  <c r="C13117" i="1"/>
  <c r="A13118" i="1"/>
  <c r="B13118" i="1"/>
  <c r="C13118" i="1"/>
  <c r="A13119" i="1"/>
  <c r="B13119" i="1"/>
  <c r="C13119" i="1"/>
  <c r="A13120" i="1"/>
  <c r="B13120" i="1"/>
  <c r="C13120" i="1"/>
  <c r="A13121" i="1"/>
  <c r="B13121" i="1"/>
  <c r="C13121" i="1"/>
  <c r="A13122" i="1"/>
  <c r="B13122" i="1"/>
  <c r="C13122" i="1"/>
  <c r="A13123" i="1"/>
  <c r="B13123" i="1"/>
  <c r="C13123" i="1"/>
  <c r="A13124" i="1"/>
  <c r="B13124" i="1"/>
  <c r="C13124" i="1"/>
  <c r="A13125" i="1"/>
  <c r="B13125" i="1"/>
  <c r="C13125" i="1"/>
  <c r="A13126" i="1"/>
  <c r="B13126" i="1"/>
  <c r="C13126" i="1"/>
  <c r="A8815" i="1"/>
  <c r="B8815" i="1"/>
  <c r="C8815" i="1"/>
  <c r="A882" i="1"/>
  <c r="B882" i="1"/>
  <c r="C882" i="1"/>
  <c r="A1312" i="1"/>
  <c r="B1312" i="1"/>
  <c r="C1312" i="1"/>
  <c r="A11660" i="1"/>
  <c r="B11660" i="1"/>
  <c r="C11660" i="1"/>
  <c r="A6854" i="1"/>
  <c r="B6854" i="1"/>
  <c r="C6854" i="1"/>
  <c r="A1438" i="1"/>
  <c r="B1438" i="1"/>
  <c r="C1438" i="1"/>
  <c r="A7810" i="1"/>
  <c r="B7810" i="1"/>
  <c r="C7810" i="1"/>
  <c r="A6164" i="1"/>
  <c r="B6164" i="1"/>
  <c r="C6164" i="1"/>
  <c r="A7213" i="1"/>
  <c r="B7213" i="1"/>
  <c r="C7213" i="1"/>
  <c r="A11533" i="1"/>
  <c r="B11533" i="1"/>
  <c r="C11533" i="1"/>
  <c r="A6614" i="1"/>
  <c r="B6614" i="1"/>
  <c r="C6614" i="1"/>
  <c r="A3529" i="1"/>
  <c r="B3529" i="1"/>
  <c r="C3529" i="1"/>
  <c r="A5129" i="1"/>
  <c r="B5129" i="1"/>
  <c r="C5129" i="1"/>
  <c r="A2354" i="1"/>
  <c r="B2354" i="1"/>
  <c r="C2354" i="1"/>
  <c r="A11281" i="1"/>
  <c r="B11281" i="1"/>
  <c r="C11281" i="1"/>
  <c r="A2355" i="1"/>
  <c r="B2355" i="1"/>
  <c r="C2355" i="1"/>
  <c r="A11282" i="1"/>
  <c r="B11282" i="1"/>
  <c r="C11282" i="1"/>
  <c r="A5496" i="1"/>
  <c r="B5496" i="1"/>
  <c r="C5496" i="1"/>
  <c r="A4421" i="1"/>
  <c r="B4421" i="1"/>
  <c r="C4421" i="1"/>
  <c r="A11512" i="1"/>
  <c r="B11512" i="1"/>
  <c r="C11512" i="1"/>
  <c r="A6633" i="1"/>
  <c r="B6633" i="1"/>
  <c r="C6633" i="1"/>
  <c r="A6132" i="1"/>
  <c r="B6132" i="1"/>
  <c r="C6132" i="1"/>
  <c r="A4069" i="1"/>
  <c r="B4069" i="1"/>
  <c r="C4069" i="1"/>
  <c r="A9625" i="1"/>
  <c r="B9625" i="1"/>
  <c r="C9625" i="1"/>
  <c r="A6938" i="1"/>
  <c r="B6938" i="1"/>
  <c r="C6938" i="1"/>
  <c r="A8090" i="1"/>
  <c r="B8090" i="1"/>
  <c r="C8090" i="1"/>
  <c r="A8507" i="1"/>
  <c r="B8507" i="1"/>
  <c r="C8507" i="1"/>
  <c r="A1326" i="1"/>
  <c r="B1326" i="1"/>
  <c r="C1326" i="1"/>
  <c r="A1864" i="1"/>
  <c r="B1864" i="1"/>
  <c r="C1864" i="1"/>
  <c r="A8400" i="1"/>
  <c r="B8400" i="1"/>
  <c r="C8400" i="1"/>
  <c r="A2356" i="1"/>
  <c r="B2356" i="1"/>
  <c r="C2356" i="1"/>
  <c r="A8169" i="1"/>
  <c r="B8169" i="1"/>
  <c r="C8169" i="1"/>
  <c r="A4317" i="1"/>
  <c r="B4317" i="1"/>
  <c r="C4317" i="1"/>
  <c r="A10293" i="1"/>
  <c r="B10293" i="1"/>
  <c r="C10293" i="1"/>
  <c r="A10622" i="1"/>
  <c r="B10622" i="1"/>
  <c r="C10622" i="1"/>
  <c r="A7764" i="1"/>
  <c r="B7764" i="1"/>
  <c r="C7764" i="1"/>
  <c r="A788" i="1"/>
  <c r="B788" i="1"/>
  <c r="C788" i="1"/>
  <c r="A6421" i="1"/>
  <c r="B6421" i="1"/>
  <c r="C6421" i="1"/>
  <c r="A9872" i="1"/>
  <c r="B9872" i="1"/>
  <c r="C9872" i="1"/>
  <c r="A1594" i="1"/>
  <c r="B1594" i="1"/>
  <c r="C1594" i="1"/>
  <c r="A10375" i="1"/>
  <c r="B10375" i="1"/>
  <c r="C10375" i="1"/>
  <c r="A2998" i="1"/>
  <c r="B2998" i="1"/>
  <c r="C2998" i="1"/>
  <c r="A6944" i="1"/>
  <c r="B6944" i="1"/>
  <c r="C6944" i="1"/>
  <c r="A12227" i="1"/>
  <c r="B12227" i="1"/>
  <c r="C12227" i="1"/>
  <c r="A11854" i="1"/>
  <c r="B11854" i="1"/>
  <c r="C11854" i="1"/>
  <c r="A12564" i="1"/>
  <c r="B12564" i="1"/>
  <c r="C12564" i="1"/>
  <c r="A6909" i="1"/>
  <c r="B6909" i="1"/>
  <c r="C6909" i="1"/>
  <c r="A5521" i="1"/>
  <c r="B5521" i="1"/>
  <c r="C5521" i="1"/>
  <c r="A6138" i="1"/>
  <c r="B6138" i="1"/>
  <c r="C6138" i="1"/>
  <c r="A9438" i="1"/>
  <c r="B9438" i="1"/>
  <c r="C9438" i="1"/>
  <c r="A13932" i="1"/>
  <c r="B13932" i="1"/>
  <c r="C13932" i="1"/>
  <c r="A5102" i="1"/>
  <c r="B5102" i="1"/>
  <c r="C5102" i="1"/>
  <c r="A6180" i="1"/>
  <c r="B6180" i="1"/>
  <c r="C6180" i="1"/>
  <c r="A6725" i="1"/>
  <c r="B6725" i="1"/>
  <c r="C6725" i="1"/>
  <c r="A3399" i="1"/>
  <c r="B3399" i="1"/>
  <c r="C3399" i="1"/>
  <c r="A13349" i="1"/>
  <c r="B13349" i="1"/>
  <c r="C13349" i="1"/>
  <c r="A8697" i="1"/>
  <c r="B8697" i="1"/>
  <c r="C8697" i="1"/>
  <c r="A871" i="1"/>
  <c r="B871" i="1"/>
  <c r="C871" i="1"/>
  <c r="A2901" i="1"/>
  <c r="B2901" i="1"/>
  <c r="C2901" i="1"/>
  <c r="A11839" i="1"/>
  <c r="B11839" i="1"/>
  <c r="C11839" i="1"/>
  <c r="A11497" i="1"/>
  <c r="B11497" i="1"/>
  <c r="C11497" i="1"/>
  <c r="A9898" i="1"/>
  <c r="B9898" i="1"/>
  <c r="C9898" i="1"/>
  <c r="A6945" i="1"/>
  <c r="B6945" i="1"/>
  <c r="C6945" i="1"/>
  <c r="A6946" i="1"/>
  <c r="B6946" i="1"/>
  <c r="C6946" i="1"/>
  <c r="A4563" i="1"/>
  <c r="B4563" i="1"/>
  <c r="C4563" i="1"/>
  <c r="A13923" i="1"/>
  <c r="B13923" i="1"/>
  <c r="C13923" i="1"/>
  <c r="A1081" i="1"/>
  <c r="B1081" i="1"/>
  <c r="C1081" i="1"/>
  <c r="A11283" i="1"/>
  <c r="B11283" i="1"/>
  <c r="C11283" i="1"/>
  <c r="A12912" i="1"/>
  <c r="B12912" i="1"/>
  <c r="C12912" i="1"/>
  <c r="A7701" i="1"/>
  <c r="B7701" i="1"/>
  <c r="C7701" i="1"/>
  <c r="A7870" i="1"/>
  <c r="B7870" i="1"/>
  <c r="C7870" i="1"/>
  <c r="A7925" i="1"/>
  <c r="B7925" i="1"/>
  <c r="C7925" i="1"/>
  <c r="A12841" i="1"/>
  <c r="B12841" i="1"/>
  <c r="C12841" i="1"/>
  <c r="A4651" i="1"/>
  <c r="B4651" i="1"/>
  <c r="C4651" i="1"/>
  <c r="A6818" i="1"/>
  <c r="B6818" i="1"/>
  <c r="C6818" i="1"/>
  <c r="A6819" i="1"/>
  <c r="B6819" i="1"/>
  <c r="C6819" i="1"/>
  <c r="A2357" i="1"/>
  <c r="B2357" i="1"/>
  <c r="C2357" i="1"/>
  <c r="A6873" i="1"/>
  <c r="B6873" i="1"/>
  <c r="C6873" i="1"/>
  <c r="A10623" i="1"/>
  <c r="B10623" i="1"/>
  <c r="C10623" i="1"/>
  <c r="A3195" i="1"/>
  <c r="B3195" i="1"/>
  <c r="C3195" i="1"/>
  <c r="A4610" i="1"/>
  <c r="B4610" i="1"/>
  <c r="C4610" i="1"/>
  <c r="A4985" i="1"/>
  <c r="B4985" i="1"/>
  <c r="C4985" i="1"/>
  <c r="A717" i="1"/>
  <c r="B717" i="1"/>
  <c r="C717" i="1"/>
  <c r="A12865" i="1"/>
  <c r="B12865" i="1"/>
  <c r="C12865" i="1"/>
  <c r="A12247" i="1"/>
  <c r="B12247" i="1"/>
  <c r="C12247" i="1"/>
  <c r="A7237" i="1"/>
  <c r="B7237" i="1"/>
  <c r="C7237" i="1"/>
  <c r="A10590" i="1"/>
  <c r="B10590" i="1"/>
  <c r="C10590" i="1"/>
  <c r="A1771" i="1"/>
  <c r="B1771" i="1"/>
  <c r="C1771" i="1"/>
  <c r="A4677" i="1"/>
  <c r="B4677" i="1"/>
  <c r="C4677" i="1"/>
  <c r="A6392" i="1"/>
  <c r="B6392" i="1"/>
  <c r="C6392" i="1"/>
  <c r="A8870" i="1"/>
  <c r="B8870" i="1"/>
  <c r="C8870" i="1"/>
  <c r="A4904" i="1"/>
  <c r="B4904" i="1"/>
  <c r="C4904" i="1"/>
  <c r="A2631" i="1"/>
  <c r="B2631" i="1"/>
  <c r="C2631" i="1"/>
  <c r="A11296" i="1"/>
  <c r="B11296" i="1"/>
  <c r="C11296" i="1"/>
  <c r="A5549" i="1"/>
  <c r="B5549" i="1"/>
  <c r="C5549" i="1"/>
  <c r="A11917" i="1"/>
  <c r="B11917" i="1"/>
  <c r="C11917" i="1"/>
  <c r="A888" i="1"/>
  <c r="B888" i="1"/>
  <c r="C888" i="1"/>
  <c r="A1340" i="1"/>
  <c r="B1340" i="1"/>
  <c r="C1340" i="1"/>
  <c r="A5537" i="1"/>
  <c r="B5537" i="1"/>
  <c r="C5537" i="1"/>
  <c r="A12757" i="1"/>
  <c r="B12757" i="1"/>
  <c r="C12757" i="1"/>
  <c r="A5833" i="1"/>
  <c r="B5833" i="1"/>
  <c r="C5833" i="1"/>
  <c r="A12311" i="1"/>
  <c r="B12311" i="1"/>
  <c r="C12311" i="1"/>
  <c r="A1790" i="1"/>
  <c r="B1790" i="1"/>
  <c r="C1790" i="1"/>
  <c r="A8951" i="1"/>
  <c r="B8951" i="1"/>
  <c r="C8951" i="1"/>
  <c r="A1125" i="1"/>
  <c r="B1125" i="1"/>
  <c r="C1125" i="1"/>
  <c r="A1124" i="1"/>
  <c r="B1124" i="1"/>
  <c r="C1124" i="1"/>
  <c r="A4326" i="1"/>
  <c r="B4326" i="1"/>
  <c r="C4326" i="1"/>
  <c r="A8419" i="1"/>
  <c r="B8419" i="1"/>
  <c r="C8419" i="1"/>
  <c r="A6683" i="1"/>
  <c r="B6683" i="1"/>
  <c r="C6683" i="1"/>
  <c r="A12164" i="1"/>
  <c r="B12164" i="1"/>
  <c r="C12164" i="1"/>
  <c r="A11717" i="1"/>
  <c r="B11717" i="1"/>
  <c r="C11717" i="1"/>
  <c r="A4630" i="1"/>
  <c r="B4630" i="1"/>
  <c r="C4630" i="1"/>
  <c r="A1552" i="1"/>
  <c r="B1552" i="1"/>
  <c r="C1552" i="1"/>
  <c r="A12842" i="1"/>
  <c r="B12842" i="1"/>
  <c r="C12842" i="1"/>
  <c r="A2360" i="1"/>
  <c r="B2360" i="1"/>
  <c r="C2360" i="1"/>
  <c r="A3428" i="1"/>
  <c r="B3428" i="1"/>
  <c r="C3428" i="1"/>
  <c r="A13237" i="1"/>
  <c r="B13237" i="1"/>
  <c r="C13237" i="1"/>
  <c r="A823" i="1"/>
  <c r="B823" i="1"/>
  <c r="C823" i="1"/>
  <c r="A5893" i="1"/>
  <c r="B5893" i="1"/>
  <c r="C5893" i="1"/>
  <c r="A9990" i="1"/>
  <c r="B9990" i="1"/>
  <c r="C9990" i="1"/>
  <c r="A10693" i="1"/>
  <c r="B10693" i="1"/>
  <c r="C10693" i="1"/>
  <c r="A740" i="1"/>
  <c r="B740" i="1"/>
  <c r="C740" i="1"/>
  <c r="A10793" i="1"/>
  <c r="B10793" i="1"/>
  <c r="C10793" i="1"/>
  <c r="A6915" i="1"/>
  <c r="B6915" i="1"/>
  <c r="C6915" i="1"/>
  <c r="A11865" i="1"/>
  <c r="B11865" i="1"/>
  <c r="C11865" i="1"/>
  <c r="A10510" i="1"/>
  <c r="B10510" i="1"/>
  <c r="C10510" i="1"/>
  <c r="A4314" i="1"/>
  <c r="B4314" i="1"/>
  <c r="C4314" i="1"/>
  <c r="A10372" i="1"/>
  <c r="B10372" i="1"/>
  <c r="C10372" i="1"/>
  <c r="A5209" i="1"/>
  <c r="B5209" i="1"/>
  <c r="C5209" i="1"/>
  <c r="A11866" i="1"/>
  <c r="B11866" i="1"/>
  <c r="C11866" i="1"/>
  <c r="A9974" i="1"/>
  <c r="B9974" i="1"/>
  <c r="C9974" i="1"/>
  <c r="A1721" i="1"/>
  <c r="B1721" i="1"/>
  <c r="C1721" i="1"/>
  <c r="A10487" i="1"/>
  <c r="B10487" i="1"/>
  <c r="C10487" i="1"/>
  <c r="A4958" i="1"/>
  <c r="B4958" i="1"/>
  <c r="C4958" i="1"/>
  <c r="A12073" i="1"/>
  <c r="B12073" i="1"/>
  <c r="C12073" i="1"/>
  <c r="A13289" i="1"/>
  <c r="B13289" i="1"/>
  <c r="C13289" i="1"/>
  <c r="A13487" i="1"/>
  <c r="B13487" i="1"/>
  <c r="C13487" i="1"/>
  <c r="A10650" i="1"/>
  <c r="B10650" i="1"/>
  <c r="C10650" i="1"/>
  <c r="A3193" i="1"/>
  <c r="B3193" i="1"/>
  <c r="C3193" i="1"/>
  <c r="A7062" i="1"/>
  <c r="B7062" i="1"/>
  <c r="C7062" i="1"/>
  <c r="A4222" i="1"/>
  <c r="B4222" i="1"/>
  <c r="C4222" i="1"/>
  <c r="A6041" i="1"/>
  <c r="B6041" i="1"/>
  <c r="C6041" i="1"/>
  <c r="A3377" i="1"/>
  <c r="B3377" i="1"/>
  <c r="C3377" i="1"/>
  <c r="A5424" i="1"/>
  <c r="B5424" i="1"/>
  <c r="C5424" i="1"/>
  <c r="A904" i="1"/>
  <c r="B904" i="1"/>
  <c r="C904" i="1"/>
  <c r="A12708" i="1"/>
  <c r="B12708" i="1"/>
  <c r="C12708" i="1"/>
  <c r="A338" i="1"/>
  <c r="B338" i="1"/>
  <c r="C338" i="1"/>
  <c r="A1408" i="1"/>
  <c r="B1408" i="1"/>
  <c r="C1408" i="1"/>
  <c r="A376" i="1"/>
  <c r="B376" i="1"/>
  <c r="C376" i="1"/>
  <c r="A3243" i="1"/>
  <c r="B3243" i="1"/>
  <c r="C3243" i="1"/>
  <c r="A9684" i="1"/>
  <c r="B9684" i="1"/>
  <c r="C9684" i="1"/>
  <c r="A7454" i="1"/>
  <c r="B7454" i="1"/>
  <c r="C7454" i="1"/>
  <c r="A6684" i="1"/>
  <c r="B6684" i="1"/>
  <c r="C6684" i="1"/>
  <c r="A11157" i="1"/>
  <c r="B11157" i="1"/>
  <c r="C11157" i="1"/>
  <c r="A11761" i="1"/>
  <c r="B11761" i="1"/>
  <c r="C11761" i="1"/>
  <c r="A11663" i="1"/>
  <c r="B11663" i="1"/>
  <c r="C11663" i="1"/>
  <c r="A6864" i="1"/>
  <c r="B6864" i="1"/>
  <c r="C6864" i="1"/>
  <c r="A11394" i="1"/>
  <c r="B11394" i="1"/>
  <c r="C11394" i="1"/>
  <c r="A6569" i="1"/>
  <c r="B6569" i="1"/>
  <c r="C6569" i="1"/>
  <c r="A6296" i="1"/>
  <c r="B6296" i="1"/>
  <c r="C6296" i="1"/>
  <c r="A6297" i="1"/>
  <c r="B6297" i="1"/>
  <c r="C6297" i="1"/>
  <c r="A6298" i="1"/>
  <c r="B6298" i="1"/>
  <c r="C6298" i="1"/>
  <c r="A6299" i="1"/>
  <c r="B6299" i="1"/>
  <c r="C6299" i="1"/>
  <c r="A6300" i="1"/>
  <c r="B6300" i="1"/>
  <c r="C6300" i="1"/>
  <c r="A12755" i="1"/>
  <c r="B12755" i="1"/>
  <c r="C12755" i="1"/>
  <c r="A6301" i="1"/>
  <c r="B6301" i="1"/>
  <c r="C6301" i="1"/>
  <c r="A10301" i="1"/>
  <c r="B10301" i="1"/>
  <c r="C10301" i="1"/>
  <c r="A1623" i="1"/>
  <c r="B1623" i="1"/>
  <c r="C1623" i="1"/>
  <c r="A3309" i="1"/>
  <c r="B3309" i="1"/>
  <c r="C3309" i="1"/>
  <c r="A6596" i="1"/>
  <c r="B6596" i="1"/>
  <c r="C6596" i="1"/>
  <c r="A12296" i="1"/>
  <c r="B12296" i="1"/>
  <c r="C12296" i="1"/>
  <c r="A524" i="1"/>
  <c r="B524" i="1"/>
  <c r="C524" i="1"/>
  <c r="A693" i="1"/>
  <c r="B693" i="1"/>
  <c r="C693" i="1"/>
  <c r="A694" i="1"/>
  <c r="B694" i="1"/>
  <c r="C694" i="1"/>
  <c r="A6295" i="1"/>
  <c r="B6295" i="1"/>
  <c r="C6295" i="1"/>
  <c r="A9762" i="1"/>
  <c r="B9762" i="1"/>
  <c r="C9762" i="1"/>
  <c r="A12233" i="1"/>
  <c r="B12233" i="1"/>
  <c r="C12233" i="1"/>
  <c r="A5" i="1"/>
  <c r="B5" i="1"/>
  <c r="C5" i="1"/>
  <c r="A741" i="1"/>
  <c r="B741" i="1"/>
  <c r="C741" i="1"/>
  <c r="A7749" i="1"/>
  <c r="B7749" i="1"/>
  <c r="C7749" i="1"/>
  <c r="A7750" i="1"/>
  <c r="B7750" i="1"/>
  <c r="C7750" i="1"/>
  <c r="A9845" i="1"/>
  <c r="B9845" i="1"/>
  <c r="C9845" i="1"/>
  <c r="A9846" i="1"/>
  <c r="B9846" i="1"/>
  <c r="C9846" i="1"/>
  <c r="A1035" i="1"/>
  <c r="B1035" i="1"/>
  <c r="C1035" i="1"/>
  <c r="A12263" i="1"/>
  <c r="B12263" i="1"/>
  <c r="C12263" i="1"/>
  <c r="A11215" i="1"/>
  <c r="B11215" i="1"/>
  <c r="C11215" i="1"/>
  <c r="A12117" i="1"/>
  <c r="B12117" i="1"/>
  <c r="C12117" i="1"/>
  <c r="A12899" i="1"/>
  <c r="B12899" i="1"/>
  <c r="C12899" i="1"/>
  <c r="A2558" i="1"/>
  <c r="B2558" i="1"/>
  <c r="C2558" i="1"/>
  <c r="A1616" i="1"/>
  <c r="B1616" i="1"/>
  <c r="C1616" i="1"/>
  <c r="A8429" i="1"/>
  <c r="B8429" i="1"/>
  <c r="C8429" i="1"/>
  <c r="A11126" i="1"/>
  <c r="B11126" i="1"/>
  <c r="C11126" i="1"/>
  <c r="A13626" i="1"/>
  <c r="B13626" i="1"/>
  <c r="C13626" i="1"/>
  <c r="A9348" i="1"/>
  <c r="B9348" i="1"/>
  <c r="C9348" i="1"/>
  <c r="A12713" i="1"/>
  <c r="B12713" i="1"/>
  <c r="C12713" i="1"/>
  <c r="A8349" i="1"/>
  <c r="B8349" i="1"/>
  <c r="C8349" i="1"/>
  <c r="A12338" i="1"/>
  <c r="B12338" i="1"/>
  <c r="C12338" i="1"/>
  <c r="A1618" i="1"/>
  <c r="B1618" i="1"/>
  <c r="C1618" i="1"/>
  <c r="A3237" i="1"/>
  <c r="B3237" i="1"/>
  <c r="C3237" i="1"/>
  <c r="A8738" i="1"/>
  <c r="B8738" i="1"/>
  <c r="C8738" i="1"/>
  <c r="A6009" i="1"/>
  <c r="B6009" i="1"/>
  <c r="C6009" i="1"/>
  <c r="A10380" i="1"/>
  <c r="B10380" i="1"/>
  <c r="A9339" i="1"/>
  <c r="B9339" i="1"/>
  <c r="C9339" i="1"/>
  <c r="A12537" i="1"/>
  <c r="B12537" i="1"/>
  <c r="C12537" i="1"/>
  <c r="A9190" i="1"/>
  <c r="B9190" i="1"/>
  <c r="C9190" i="1"/>
  <c r="A9369" i="1"/>
  <c r="B9369" i="1"/>
  <c r="C9369" i="1"/>
  <c r="A4088" i="1"/>
  <c r="B4088" i="1"/>
  <c r="C4088" i="1"/>
  <c r="A9592" i="1"/>
  <c r="B9592" i="1"/>
  <c r="C9592" i="1"/>
  <c r="A4353" i="1"/>
  <c r="B4353" i="1"/>
  <c r="C4353" i="1"/>
  <c r="A10490" i="1"/>
  <c r="B10490" i="1"/>
  <c r="C10490" i="1"/>
  <c r="A11538" i="1"/>
  <c r="B11538" i="1"/>
  <c r="C11538" i="1"/>
  <c r="A5888" i="1"/>
  <c r="B5888" i="1"/>
  <c r="C5888" i="1"/>
  <c r="A10028" i="1"/>
  <c r="B10028" i="1"/>
  <c r="C10028" i="1"/>
  <c r="A6619" i="1"/>
  <c r="B6619" i="1"/>
  <c r="C6619" i="1"/>
  <c r="A700" i="1"/>
  <c r="B700" i="1"/>
  <c r="C700" i="1"/>
  <c r="A3175" i="1"/>
  <c r="B3175" i="1"/>
  <c r="C3175" i="1"/>
  <c r="A906" i="1"/>
  <c r="B906" i="1"/>
  <c r="C906" i="1"/>
  <c r="A10252" i="1"/>
  <c r="B10252" i="1"/>
  <c r="C10252" i="1"/>
  <c r="A3474" i="1"/>
  <c r="B3474" i="1"/>
  <c r="C3474" i="1"/>
  <c r="A12334" i="1"/>
  <c r="B12334" i="1"/>
  <c r="C12334" i="1"/>
  <c r="A7061" i="1"/>
  <c r="B7061" i="1"/>
  <c r="C7061" i="1"/>
  <c r="A8668" i="1"/>
  <c r="B8668" i="1"/>
  <c r="C8668" i="1"/>
  <c r="A5973" i="1"/>
  <c r="B5973" i="1"/>
  <c r="C5973" i="1"/>
  <c r="A6961" i="1"/>
  <c r="B6961" i="1"/>
  <c r="C6961" i="1"/>
  <c r="A490" i="1"/>
  <c r="B490" i="1"/>
  <c r="C490" i="1"/>
  <c r="A9194" i="1"/>
  <c r="B9194" i="1"/>
  <c r="C9194" i="1"/>
  <c r="A3756" i="1"/>
  <c r="B3756" i="1"/>
  <c r="C3756" i="1"/>
  <c r="A5753" i="1"/>
  <c r="B5753" i="1"/>
  <c r="C5753" i="1"/>
  <c r="A3744" i="1"/>
  <c r="B3744" i="1"/>
  <c r="C3744" i="1"/>
  <c r="A9081" i="1"/>
  <c r="B9081" i="1"/>
  <c r="C9081" i="1"/>
  <c r="A6653" i="1"/>
  <c r="B6653" i="1"/>
  <c r="C6653" i="1"/>
  <c r="A4662" i="1"/>
  <c r="B4662" i="1"/>
  <c r="C4662" i="1"/>
  <c r="A4964" i="1"/>
  <c r="B4964" i="1"/>
  <c r="C4964" i="1"/>
  <c r="A4965" i="1"/>
  <c r="B4965" i="1"/>
  <c r="C4965" i="1"/>
  <c r="A6422" i="1"/>
  <c r="B6422" i="1"/>
  <c r="C6422" i="1"/>
  <c r="A8725" i="1"/>
  <c r="B8725" i="1"/>
  <c r="C8725" i="1"/>
  <c r="A5708" i="1"/>
  <c r="B5708" i="1"/>
  <c r="C5708" i="1"/>
  <c r="A1843" i="1"/>
  <c r="B1843" i="1"/>
  <c r="C1843" i="1"/>
  <c r="A4064" i="1"/>
  <c r="B4064" i="1"/>
  <c r="C4064" i="1"/>
  <c r="A4065" i="1"/>
  <c r="B4065" i="1"/>
  <c r="C4065" i="1"/>
  <c r="A10950" i="1"/>
  <c r="B10950" i="1"/>
  <c r="C10950" i="1"/>
  <c r="A5781" i="1"/>
  <c r="B5781" i="1"/>
  <c r="C5781" i="1"/>
  <c r="A10078" i="1"/>
  <c r="B10078" i="1"/>
  <c r="C10078" i="1"/>
  <c r="A6724" i="1"/>
  <c r="B6724" i="1"/>
  <c r="C6724" i="1"/>
  <c r="A3940" i="1"/>
  <c r="B3940" i="1"/>
  <c r="C3940" i="1"/>
  <c r="A12085" i="1"/>
  <c r="B12085" i="1"/>
  <c r="C12085" i="1"/>
  <c r="A8494" i="1"/>
  <c r="B8494" i="1"/>
  <c r="C8494" i="1"/>
  <c r="A9061" i="1"/>
  <c r="B9061" i="1"/>
  <c r="C9061" i="1"/>
  <c r="A6914" i="1"/>
  <c r="B6914" i="1"/>
  <c r="C6914" i="1"/>
  <c r="A54" i="1"/>
  <c r="B54" i="1"/>
  <c r="C54" i="1"/>
  <c r="A13762" i="1"/>
  <c r="B13762" i="1"/>
  <c r="C13762" i="1"/>
  <c r="A5633" i="1"/>
  <c r="B5633" i="1"/>
  <c r="C5633" i="1"/>
  <c r="A545" i="1"/>
  <c r="B545" i="1"/>
  <c r="C545" i="1"/>
  <c r="A3691" i="1"/>
  <c r="B3691" i="1"/>
  <c r="C3691" i="1"/>
  <c r="A12672" i="1"/>
  <c r="B12672" i="1"/>
  <c r="C12672" i="1"/>
  <c r="A2632" i="1"/>
  <c r="B2632" i="1"/>
  <c r="C2632" i="1"/>
  <c r="A6599" i="1"/>
  <c r="B6599" i="1"/>
  <c r="C6599" i="1"/>
  <c r="A9009" i="1"/>
  <c r="B9009" i="1"/>
  <c r="C9009" i="1"/>
  <c r="A408" i="1"/>
  <c r="B408" i="1"/>
  <c r="C408" i="1"/>
  <c r="A10677" i="1"/>
  <c r="B10677" i="1"/>
  <c r="C10677" i="1"/>
  <c r="A8189" i="1"/>
  <c r="B8189" i="1"/>
  <c r="C8189" i="1"/>
  <c r="A9825" i="1"/>
  <c r="B9825" i="1"/>
  <c r="C9825" i="1"/>
  <c r="A10026" i="1"/>
  <c r="B10026" i="1"/>
  <c r="C10026" i="1"/>
  <c r="A142" i="1"/>
  <c r="B142" i="1"/>
  <c r="C142" i="1"/>
  <c r="A13919" i="1"/>
  <c r="B13919" i="1"/>
  <c r="C13919" i="1"/>
  <c r="A5435" i="1"/>
  <c r="B5435" i="1"/>
  <c r="C5435" i="1"/>
  <c r="A13300" i="1"/>
  <c r="B13300" i="1"/>
  <c r="C13300" i="1"/>
  <c r="A6337" i="1"/>
  <c r="B6337" i="1"/>
  <c r="C6337" i="1"/>
  <c r="A6338" i="1"/>
  <c r="B6338" i="1"/>
  <c r="C6338" i="1"/>
  <c r="A9530" i="1"/>
  <c r="B9530" i="1"/>
  <c r="C9530" i="1"/>
  <c r="A11390" i="1"/>
  <c r="B11390" i="1"/>
  <c r="C11390" i="1"/>
  <c r="A3811" i="1"/>
  <c r="B3811" i="1"/>
  <c r="C3811" i="1"/>
  <c r="A1201" i="1"/>
  <c r="B1201" i="1"/>
  <c r="C1201" i="1"/>
  <c r="A2082" i="1"/>
  <c r="B2082" i="1"/>
  <c r="C2082" i="1"/>
  <c r="A12575" i="1"/>
  <c r="B12575" i="1"/>
  <c r="C12575" i="1"/>
  <c r="A9753" i="1"/>
  <c r="B9753" i="1"/>
  <c r="C9753" i="1"/>
  <c r="A12179" i="1"/>
  <c r="B12179" i="1"/>
  <c r="C12179" i="1"/>
  <c r="A13049" i="1"/>
  <c r="B13049" i="1"/>
  <c r="C13049" i="1"/>
  <c r="A10204" i="1"/>
  <c r="B10204" i="1"/>
  <c r="C10204" i="1"/>
  <c r="A1020" i="1"/>
  <c r="B1020" i="1"/>
  <c r="C1020" i="1"/>
  <c r="A6874" i="1"/>
  <c r="B6874" i="1"/>
  <c r="C6874" i="1"/>
  <c r="A13926" i="1"/>
  <c r="B13926" i="1"/>
  <c r="C13926" i="1"/>
  <c r="A13141" i="1"/>
  <c r="B13141" i="1"/>
  <c r="C13141" i="1"/>
  <c r="A7668" i="1"/>
  <c r="B7668" i="1"/>
  <c r="C7668" i="1"/>
  <c r="A7171" i="1"/>
  <c r="B7171" i="1"/>
  <c r="C7171" i="1"/>
  <c r="A3569" i="1"/>
  <c r="B3569" i="1"/>
  <c r="C3569" i="1"/>
  <c r="A3568" i="1"/>
  <c r="B3568" i="1"/>
  <c r="C3568" i="1"/>
  <c r="A8070" i="1"/>
  <c r="B8070" i="1"/>
  <c r="C8070" i="1"/>
  <c r="A13590" i="1"/>
  <c r="B13590" i="1"/>
  <c r="C13590" i="1"/>
  <c r="A7034" i="1"/>
  <c r="B7034" i="1"/>
  <c r="C7034" i="1"/>
  <c r="A13495" i="1"/>
  <c r="B13495" i="1"/>
  <c r="C13495" i="1"/>
  <c r="A3607" i="1"/>
  <c r="B3607" i="1"/>
  <c r="C3607" i="1"/>
  <c r="A8519" i="1"/>
  <c r="B8519" i="1"/>
  <c r="C8519" i="1"/>
  <c r="A2827" i="1"/>
  <c r="B2827" i="1"/>
  <c r="C2827" i="1"/>
  <c r="A13149" i="1"/>
  <c r="B13149" i="1"/>
  <c r="C13149" i="1"/>
  <c r="A4547" i="1"/>
  <c r="B4547" i="1"/>
  <c r="C4547" i="1"/>
  <c r="A7851" i="1"/>
  <c r="B7851" i="1"/>
  <c r="C7851" i="1"/>
  <c r="A6735" i="1"/>
  <c r="B6735" i="1"/>
  <c r="C6735" i="1"/>
  <c r="A10358" i="1"/>
  <c r="B10358" i="1"/>
  <c r="C10358" i="1"/>
  <c r="A9992" i="1"/>
  <c r="B9992" i="1"/>
  <c r="C9992" i="1"/>
  <c r="A5145" i="1"/>
  <c r="B5145" i="1"/>
  <c r="C5145" i="1"/>
  <c r="A8155" i="1"/>
  <c r="B8155" i="1"/>
  <c r="C8155" i="1"/>
  <c r="A9282" i="1"/>
  <c r="B9282" i="1"/>
  <c r="C9282" i="1"/>
  <c r="A804" i="1"/>
  <c r="B804" i="1"/>
  <c r="C804" i="1"/>
  <c r="A6604" i="1"/>
  <c r="B6604" i="1"/>
  <c r="C6604" i="1"/>
  <c r="A313" i="1"/>
  <c r="B313" i="1"/>
  <c r="C313" i="1"/>
  <c r="A9975" i="1"/>
  <c r="B9975" i="1"/>
  <c r="C9975" i="1"/>
  <c r="A3748" i="1"/>
  <c r="B3748" i="1"/>
  <c r="C3748" i="1"/>
  <c r="A12606" i="1"/>
  <c r="B12606" i="1"/>
  <c r="C12606" i="1"/>
  <c r="A2677" i="1"/>
  <c r="B2677" i="1"/>
  <c r="C2677" i="1"/>
  <c r="A12727" i="1"/>
  <c r="B12727" i="1"/>
  <c r="C12727" i="1"/>
  <c r="A13366" i="1"/>
  <c r="B13366" i="1"/>
  <c r="C13366" i="1"/>
  <c r="A7514" i="1"/>
  <c r="B7514" i="1"/>
  <c r="C7514" i="1"/>
  <c r="A10442" i="1"/>
  <c r="B10442" i="1"/>
  <c r="C10442" i="1"/>
  <c r="A3626" i="1"/>
  <c r="B3626" i="1"/>
  <c r="C3626" i="1"/>
  <c r="A136" i="1"/>
  <c r="B136" i="1"/>
  <c r="C136" i="1"/>
  <c r="A7196" i="1"/>
  <c r="B7196" i="1"/>
  <c r="C7196" i="1"/>
  <c r="A5121" i="1"/>
  <c r="B5121" i="1"/>
  <c r="C5121" i="1"/>
  <c r="A8990" i="1"/>
  <c r="B8990" i="1"/>
  <c r="C8990" i="1"/>
  <c r="A10357" i="1"/>
  <c r="B10357" i="1"/>
  <c r="C10357" i="1"/>
  <c r="A3411" i="1"/>
  <c r="B3411" i="1"/>
  <c r="C3411" i="1"/>
  <c r="A3413" i="1"/>
  <c r="B3413" i="1"/>
  <c r="C3413" i="1"/>
  <c r="A2735" i="1"/>
  <c r="B2735" i="1"/>
  <c r="C2735" i="1"/>
  <c r="A2736" i="1"/>
  <c r="B2736" i="1"/>
  <c r="C2736" i="1"/>
  <c r="A10039" i="1"/>
  <c r="B10039" i="1"/>
  <c r="C10039" i="1"/>
  <c r="A767" i="1"/>
  <c r="B767" i="1"/>
  <c r="C767" i="1"/>
  <c r="A8687" i="1"/>
  <c r="B8687" i="1"/>
  <c r="C8687" i="1"/>
  <c r="A8582" i="1"/>
  <c r="B8582" i="1"/>
  <c r="C8582" i="1"/>
  <c r="A6900" i="1"/>
  <c r="B6900" i="1"/>
  <c r="C6900" i="1"/>
  <c r="A3081" i="1"/>
  <c r="B3081" i="1"/>
  <c r="C3081" i="1"/>
  <c r="A4799" i="1"/>
  <c r="B4799" i="1"/>
  <c r="C4799" i="1"/>
  <c r="A12566" i="1"/>
  <c r="B12566" i="1"/>
  <c r="C12566" i="1"/>
  <c r="A12567" i="1"/>
  <c r="B12567" i="1"/>
  <c r="C12567" i="1"/>
  <c r="A11521" i="1"/>
  <c r="B11521" i="1"/>
  <c r="C11521" i="1"/>
  <c r="A5639" i="1"/>
  <c r="B5639" i="1"/>
  <c r="C5639" i="1"/>
  <c r="A6264" i="1"/>
  <c r="B6264" i="1"/>
  <c r="C6264" i="1"/>
  <c r="A11222" i="1"/>
  <c r="B11222" i="1"/>
  <c r="C11222" i="1"/>
  <c r="A5902" i="1"/>
  <c r="B5902" i="1"/>
  <c r="C5902" i="1"/>
  <c r="A8386" i="1"/>
  <c r="B8386" i="1"/>
  <c r="C8386" i="1"/>
  <c r="A6705" i="1"/>
  <c r="B6705" i="1"/>
  <c r="C6705" i="1"/>
  <c r="A10736" i="1"/>
  <c r="B10736" i="1"/>
  <c r="C10736" i="1"/>
  <c r="A10176" i="1"/>
  <c r="B10176" i="1"/>
  <c r="C10176" i="1"/>
  <c r="A2428" i="1"/>
  <c r="B2428" i="1"/>
  <c r="C2428" i="1"/>
  <c r="A12523" i="1"/>
  <c r="B12523" i="1"/>
  <c r="C12523" i="1"/>
  <c r="A9415" i="1"/>
  <c r="B9415" i="1"/>
  <c r="C9415" i="1"/>
  <c r="A11357" i="1"/>
  <c r="B11357" i="1"/>
  <c r="C11357" i="1"/>
  <c r="A4190" i="1"/>
  <c r="B4190" i="1"/>
  <c r="C4190" i="1"/>
  <c r="A3082" i="1"/>
  <c r="B3082" i="1"/>
  <c r="C3082" i="1"/>
  <c r="A3083" i="1"/>
  <c r="B3083" i="1"/>
  <c r="C3083" i="1"/>
  <c r="A3084" i="1"/>
  <c r="B3084" i="1"/>
  <c r="C3084" i="1"/>
  <c r="A3080" i="1"/>
  <c r="B3080" i="1"/>
  <c r="C3080" i="1"/>
  <c r="A9096" i="1"/>
  <c r="B9096" i="1"/>
  <c r="C9096" i="1"/>
  <c r="A7827" i="1"/>
  <c r="B7827" i="1"/>
  <c r="C7827" i="1"/>
  <c r="A6276" i="1"/>
  <c r="B6276" i="1"/>
  <c r="C6276" i="1"/>
  <c r="A2285" i="1"/>
  <c r="B2285" i="1"/>
  <c r="C2285" i="1"/>
  <c r="A5811" i="1"/>
  <c r="B5811" i="1"/>
  <c r="C5811" i="1"/>
  <c r="A7433" i="1"/>
  <c r="B7433" i="1"/>
  <c r="C7433" i="1"/>
  <c r="A494" i="1"/>
  <c r="B494" i="1"/>
  <c r="C494" i="1"/>
  <c r="A6451" i="1"/>
  <c r="B6451" i="1"/>
  <c r="C6451" i="1"/>
  <c r="A9342" i="1"/>
  <c r="B9342" i="1"/>
  <c r="C9342" i="1"/>
  <c r="A12248" i="1"/>
  <c r="B12248" i="1"/>
  <c r="C12248" i="1"/>
  <c r="A1520" i="1"/>
  <c r="B1520" i="1"/>
  <c r="C1520" i="1"/>
  <c r="A2518" i="1"/>
  <c r="B2518" i="1"/>
  <c r="C2518" i="1"/>
  <c r="A6525" i="1"/>
  <c r="B6525" i="1"/>
  <c r="C6525" i="1"/>
  <c r="A7587" i="1"/>
  <c r="B7587" i="1"/>
  <c r="C7587" i="1"/>
  <c r="A4264" i="1"/>
  <c r="B4264" i="1"/>
  <c r="C4264" i="1"/>
  <c r="A11454" i="1"/>
  <c r="B11454" i="1"/>
  <c r="C11454" i="1"/>
  <c r="A831" i="1"/>
  <c r="B831" i="1"/>
  <c r="C831" i="1"/>
  <c r="A3787" i="1"/>
  <c r="B3787" i="1"/>
  <c r="C3787" i="1"/>
  <c r="A1674" i="1"/>
  <c r="B1674" i="1"/>
  <c r="C1674" i="1"/>
  <c r="A4410" i="1"/>
  <c r="B4410" i="1"/>
  <c r="C4410" i="1"/>
  <c r="A4411" i="1"/>
  <c r="B4411" i="1"/>
  <c r="C4411" i="1"/>
  <c r="A4412" i="1"/>
  <c r="B4412" i="1"/>
  <c r="C4412" i="1"/>
  <c r="A7751" i="1"/>
  <c r="B7751" i="1"/>
  <c r="C7751" i="1"/>
  <c r="A12720" i="1"/>
  <c r="B12720" i="1"/>
  <c r="C12720" i="1"/>
  <c r="A12721" i="1"/>
  <c r="B12721" i="1"/>
  <c r="C12721" i="1"/>
  <c r="A12633" i="1"/>
  <c r="B12633" i="1"/>
  <c r="C12633" i="1"/>
  <c r="A7729" i="1"/>
  <c r="B7729" i="1"/>
  <c r="C7729" i="1"/>
  <c r="A11681" i="1"/>
  <c r="B11681" i="1"/>
  <c r="C11681" i="1"/>
  <c r="A6655" i="1"/>
  <c r="B6655" i="1"/>
  <c r="C6655" i="1"/>
  <c r="A5618" i="1"/>
  <c r="B5618" i="1"/>
  <c r="C5618" i="1"/>
  <c r="A5983" i="1"/>
  <c r="B5983" i="1"/>
  <c r="C5983" i="1"/>
  <c r="A8756" i="1"/>
  <c r="B8756" i="1"/>
  <c r="C8756" i="1"/>
  <c r="A1050" i="1"/>
  <c r="B1050" i="1"/>
  <c r="C1050" i="1"/>
  <c r="A10700" i="1"/>
  <c r="B10700" i="1"/>
  <c r="C10700" i="1"/>
  <c r="A10701" i="1"/>
  <c r="B10701" i="1"/>
  <c r="C10701" i="1"/>
  <c r="A434" i="1"/>
  <c r="B434" i="1"/>
  <c r="C434" i="1"/>
  <c r="A7457" i="1"/>
  <c r="B7457" i="1"/>
  <c r="C7457" i="1"/>
  <c r="A7458" i="1"/>
  <c r="B7458" i="1"/>
  <c r="C7458" i="1"/>
  <c r="A6820" i="1"/>
  <c r="B6820" i="1"/>
  <c r="C6820" i="1"/>
  <c r="A12088" i="1"/>
  <c r="B12088" i="1"/>
  <c r="C12088" i="1"/>
  <c r="A3339" i="1"/>
  <c r="B3339" i="1"/>
  <c r="C3339" i="1"/>
  <c r="A10735" i="1"/>
  <c r="B10735" i="1"/>
  <c r="C10735" i="1"/>
  <c r="A7577" i="1"/>
  <c r="B7577" i="1"/>
  <c r="C7577" i="1"/>
  <c r="A9544" i="1"/>
  <c r="B9544" i="1"/>
  <c r="C9544" i="1"/>
  <c r="A2641" i="1"/>
  <c r="B2641" i="1"/>
  <c r="C2641" i="1"/>
  <c r="A9514" i="1"/>
  <c r="B9514" i="1"/>
  <c r="C9514" i="1"/>
  <c r="A11216" i="1"/>
  <c r="B11216" i="1"/>
  <c r="C11216" i="1"/>
  <c r="A10758" i="1"/>
  <c r="B10758" i="1"/>
  <c r="C10758" i="1"/>
  <c r="A6634" i="1"/>
  <c r="B6634" i="1"/>
  <c r="C6634" i="1"/>
  <c r="A12822" i="1"/>
  <c r="B12822" i="1"/>
  <c r="C12822" i="1"/>
  <c r="A3292" i="1"/>
  <c r="B3292" i="1"/>
  <c r="C3292" i="1"/>
  <c r="A779" i="1"/>
  <c r="B779" i="1"/>
  <c r="C779" i="1"/>
  <c r="A1521" i="1"/>
  <c r="B1521" i="1"/>
  <c r="C1521" i="1"/>
  <c r="A1329" i="1"/>
  <c r="B1329" i="1"/>
  <c r="C1329" i="1"/>
  <c r="A10791" i="1"/>
  <c r="B10791" i="1"/>
  <c r="C10791" i="1"/>
  <c r="A10768" i="1"/>
  <c r="B10768" i="1"/>
  <c r="C10768" i="1"/>
  <c r="A9141" i="1"/>
  <c r="B9141" i="1"/>
  <c r="C9141" i="1"/>
  <c r="A6468" i="1"/>
  <c r="B6468" i="1"/>
  <c r="C6468" i="1"/>
  <c r="A4812" i="1"/>
  <c r="B4812" i="1"/>
  <c r="C4812" i="1"/>
  <c r="A1361" i="1"/>
  <c r="B1361" i="1"/>
  <c r="C1361" i="1"/>
  <c r="A5000" i="1"/>
  <c r="B5000" i="1"/>
  <c r="C5000" i="1"/>
  <c r="A10346" i="1"/>
  <c r="B10346" i="1"/>
  <c r="C10346" i="1"/>
  <c r="A6774" i="1"/>
  <c r="B6774" i="1"/>
  <c r="C6774" i="1"/>
  <c r="A4041" i="1"/>
  <c r="B4041" i="1"/>
  <c r="C4041" i="1"/>
  <c r="A4042" i="1"/>
  <c r="B4042" i="1"/>
  <c r="C4042" i="1"/>
  <c r="A5915" i="1"/>
  <c r="B5915" i="1"/>
  <c r="C5915" i="1"/>
  <c r="A6029" i="1"/>
  <c r="B6029" i="1"/>
  <c r="C6029" i="1"/>
  <c r="A10624" i="1"/>
  <c r="B10624" i="1"/>
  <c r="C10624" i="1"/>
  <c r="A1219" i="1"/>
  <c r="B1219" i="1"/>
  <c r="C1219" i="1"/>
  <c r="A8078" i="1"/>
  <c r="B8078" i="1"/>
  <c r="C8078" i="1"/>
  <c r="A1333" i="1"/>
  <c r="B1333" i="1"/>
  <c r="C1333" i="1"/>
  <c r="A10625" i="1"/>
  <c r="B10625" i="1"/>
  <c r="C10625" i="1"/>
  <c r="A3137" i="1"/>
  <c r="B3137" i="1"/>
  <c r="C3137" i="1"/>
  <c r="A7599" i="1"/>
  <c r="B7599" i="1"/>
  <c r="C7599" i="1"/>
  <c r="A9056" i="1"/>
  <c r="B9056" i="1"/>
  <c r="C9056" i="1"/>
  <c r="A7331" i="1"/>
  <c r="B7331" i="1"/>
  <c r="C7331" i="1"/>
  <c r="A10821" i="1"/>
  <c r="B10821" i="1"/>
  <c r="C10821" i="1"/>
  <c r="A2564" i="1"/>
  <c r="B2564" i="1"/>
  <c r="C2564" i="1"/>
  <c r="A13844" i="1"/>
  <c r="B13844" i="1"/>
  <c r="C13844" i="1"/>
  <c r="A5524" i="1"/>
  <c r="B5524" i="1"/>
  <c r="C5524" i="1"/>
  <c r="A7236" i="1"/>
  <c r="B7236" i="1"/>
  <c r="C7236" i="1"/>
  <c r="A13182" i="1"/>
  <c r="B13182" i="1"/>
  <c r="C13182" i="1"/>
  <c r="A4171" i="1"/>
  <c r="B4171" i="1"/>
  <c r="C4171" i="1"/>
  <c r="A3132" i="1"/>
  <c r="B3132" i="1"/>
  <c r="C3132" i="1"/>
  <c r="A8365" i="1"/>
  <c r="B8365" i="1"/>
  <c r="C8365" i="1"/>
  <c r="A7392" i="1"/>
  <c r="B7392" i="1"/>
  <c r="C7392" i="1"/>
  <c r="A4442" i="1"/>
  <c r="B4442" i="1"/>
  <c r="C4442" i="1"/>
  <c r="A3353" i="1"/>
  <c r="B3353" i="1"/>
  <c r="C3353" i="1"/>
  <c r="A9182" i="1"/>
  <c r="B9182" i="1"/>
  <c r="C9182" i="1"/>
  <c r="A13696" i="1"/>
  <c r="B13696" i="1"/>
  <c r="C13696" i="1"/>
  <c r="A9293" i="1"/>
  <c r="B9293" i="1"/>
  <c r="C9293" i="1"/>
  <c r="A10171" i="1"/>
  <c r="B10171" i="1"/>
  <c r="C10171" i="1"/>
  <c r="A7962" i="1"/>
  <c r="B7962" i="1"/>
  <c r="C7962" i="1"/>
  <c r="A12255" i="1"/>
  <c r="B12255" i="1"/>
  <c r="C12255" i="1"/>
  <c r="A4187" i="1"/>
  <c r="B4187" i="1"/>
  <c r="C4187" i="1"/>
  <c r="A4188" i="1"/>
  <c r="B4188" i="1"/>
  <c r="C4188" i="1"/>
  <c r="A4426" i="1"/>
  <c r="B4426" i="1"/>
  <c r="C4426" i="1"/>
  <c r="A4427" i="1"/>
  <c r="B4427" i="1"/>
  <c r="C4427" i="1"/>
  <c r="A10855" i="1"/>
  <c r="B10855" i="1"/>
  <c r="C10855" i="1"/>
  <c r="A8154" i="1"/>
  <c r="B8154" i="1"/>
  <c r="C8154" i="1"/>
  <c r="A231" i="1"/>
  <c r="B231" i="1"/>
  <c r="C231" i="1"/>
  <c r="A3308" i="1"/>
  <c r="B3308" i="1"/>
  <c r="C3308" i="1"/>
  <c r="A4833" i="1"/>
  <c r="B4833" i="1"/>
  <c r="C4833" i="1"/>
  <c r="A5494" i="1"/>
  <c r="B5494" i="1"/>
  <c r="C5494" i="1"/>
  <c r="A5495" i="1"/>
  <c r="B5495" i="1"/>
  <c r="C5495" i="1"/>
  <c r="A2771" i="1"/>
  <c r="B2771" i="1"/>
  <c r="C2771" i="1"/>
  <c r="A8136" i="1"/>
  <c r="B8136" i="1"/>
  <c r="C8136" i="1"/>
  <c r="A8137" i="1"/>
  <c r="B8137" i="1"/>
  <c r="C8137" i="1"/>
  <c r="A1820" i="1"/>
  <c r="B1820" i="1"/>
  <c r="C1820" i="1"/>
  <c r="A10588" i="1"/>
  <c r="B10588" i="1"/>
  <c r="C10588" i="1"/>
  <c r="A2365" i="1"/>
  <c r="B2365" i="1"/>
  <c r="C2365" i="1"/>
  <c r="A9654" i="1"/>
  <c r="B9654" i="1"/>
  <c r="C9654" i="1"/>
  <c r="A962" i="1"/>
  <c r="B962" i="1"/>
  <c r="C962" i="1"/>
  <c r="A5456" i="1"/>
  <c r="B5456" i="1"/>
  <c r="C5456" i="1"/>
  <c r="A11044" i="1"/>
  <c r="B11044" i="1"/>
  <c r="C11044" i="1"/>
  <c r="A13228" i="1"/>
  <c r="B13228" i="1"/>
  <c r="C13228" i="1"/>
  <c r="A9602" i="1"/>
  <c r="B9602" i="1"/>
  <c r="C9602" i="1"/>
  <c r="A13102" i="1"/>
  <c r="B13102" i="1"/>
  <c r="C13102" i="1"/>
  <c r="A2816" i="1"/>
  <c r="B2816" i="1"/>
  <c r="C2816" i="1"/>
  <c r="A6476" i="1"/>
  <c r="B6476" i="1"/>
  <c r="C6476" i="1"/>
  <c r="A1740" i="1"/>
  <c r="B1740" i="1"/>
  <c r="C1740" i="1"/>
  <c r="A8616" i="1"/>
  <c r="B8616" i="1"/>
  <c r="C8616" i="1"/>
  <c r="A13924" i="1"/>
  <c r="B13924" i="1"/>
  <c r="C13924" i="1"/>
  <c r="A8707" i="1"/>
  <c r="B8707" i="1"/>
  <c r="C8707" i="1"/>
  <c r="A8226" i="1"/>
  <c r="B8226" i="1"/>
  <c r="C8226" i="1"/>
  <c r="A9035" i="1"/>
  <c r="B9035" i="1"/>
  <c r="C9035" i="1"/>
  <c r="A7774" i="1"/>
  <c r="B7774" i="1"/>
  <c r="C7774" i="1"/>
  <c r="A12297" i="1"/>
  <c r="B12297" i="1"/>
  <c r="C12297" i="1"/>
  <c r="A5386" i="1"/>
  <c r="B5386" i="1"/>
  <c r="C5386" i="1"/>
  <c r="A583" i="1"/>
  <c r="B583" i="1"/>
  <c r="C583" i="1"/>
  <c r="A5103" i="1"/>
  <c r="B5103" i="1"/>
  <c r="C5103" i="1"/>
  <c r="A503" i="1"/>
  <c r="B503" i="1"/>
  <c r="C503" i="1"/>
  <c r="A2227" i="1"/>
  <c r="B2227" i="1"/>
  <c r="C2227" i="1"/>
  <c r="A6995" i="1"/>
  <c r="B6995" i="1"/>
  <c r="C6995" i="1"/>
  <c r="A13625" i="1"/>
  <c r="B13625" i="1"/>
  <c r="C13625" i="1"/>
  <c r="A6979" i="1"/>
  <c r="B6979" i="1"/>
  <c r="C6979" i="1"/>
  <c r="A2260" i="1"/>
  <c r="B2260" i="1"/>
  <c r="C2260" i="1"/>
  <c r="A400" i="1"/>
  <c r="B400" i="1"/>
  <c r="C400" i="1"/>
  <c r="A7216" i="1"/>
  <c r="B7216" i="1"/>
  <c r="C7216" i="1"/>
  <c r="A12982" i="1"/>
  <c r="B12982" i="1"/>
  <c r="C12982" i="1"/>
  <c r="A11086" i="1"/>
  <c r="B11086" i="1"/>
  <c r="C11086" i="1"/>
  <c r="A132" i="1"/>
  <c r="B132" i="1"/>
  <c r="C132" i="1"/>
  <c r="A3599" i="1"/>
  <c r="B3599" i="1"/>
  <c r="C3599" i="1"/>
  <c r="A11043" i="1"/>
  <c r="B11043" i="1"/>
  <c r="C11043" i="1"/>
  <c r="A3463" i="1"/>
  <c r="B3463" i="1"/>
  <c r="C3463" i="1"/>
  <c r="A13018" i="1"/>
  <c r="B13018" i="1"/>
  <c r="C13018" i="1"/>
  <c r="A3412" i="1"/>
  <c r="B3412" i="1"/>
  <c r="C3412" i="1"/>
  <c r="A10489" i="1"/>
  <c r="B10489" i="1"/>
  <c r="C10489" i="1"/>
  <c r="A1551" i="1"/>
  <c r="B1551" i="1"/>
  <c r="C1551" i="1"/>
  <c r="A3703" i="1"/>
  <c r="B3703" i="1"/>
  <c r="C3703" i="1"/>
  <c r="A11910" i="1"/>
  <c r="B11910" i="1"/>
  <c r="C11910" i="1"/>
  <c r="A12075" i="1"/>
  <c r="B12075" i="1"/>
  <c r="C12075" i="1"/>
  <c r="A969" i="1"/>
  <c r="B969" i="1"/>
  <c r="C969" i="1"/>
  <c r="A5896" i="1"/>
  <c r="B5896" i="1"/>
  <c r="C5896" i="1"/>
  <c r="A7083" i="1"/>
  <c r="B7083" i="1"/>
  <c r="C7083" i="1"/>
  <c r="A755" i="1"/>
  <c r="B755" i="1"/>
  <c r="C755" i="1"/>
  <c r="A13253" i="1"/>
  <c r="B13253" i="1"/>
  <c r="C13253" i="1"/>
  <c r="A13766" i="1"/>
  <c r="B13766" i="1"/>
  <c r="C13766" i="1"/>
  <c r="A333" i="1"/>
  <c r="B333" i="1"/>
  <c r="C333" i="1"/>
  <c r="A334" i="1"/>
  <c r="B334" i="1"/>
  <c r="C334" i="1"/>
  <c r="A335" i="1"/>
  <c r="B335" i="1"/>
  <c r="C335" i="1"/>
  <c r="A8737" i="1"/>
  <c r="B8737" i="1"/>
  <c r="C8737" i="1"/>
  <c r="A10857" i="1"/>
  <c r="B10857" i="1"/>
  <c r="C10857" i="1"/>
  <c r="A9941" i="1"/>
  <c r="B9941" i="1"/>
  <c r="C9941" i="1"/>
  <c r="A10665" i="1"/>
  <c r="B10665" i="1"/>
  <c r="C10665" i="1"/>
  <c r="A9789" i="1"/>
  <c r="B9789" i="1"/>
  <c r="C9789" i="1"/>
  <c r="A3633" i="1"/>
  <c r="B3633" i="1"/>
  <c r="C3633" i="1"/>
  <c r="A9596" i="1"/>
  <c r="B9596" i="1"/>
  <c r="C9596" i="1"/>
  <c r="A10961" i="1"/>
  <c r="B10961" i="1"/>
  <c r="C10961" i="1"/>
  <c r="A3780" i="1"/>
  <c r="B3780" i="1"/>
  <c r="C3780" i="1"/>
  <c r="A491" i="1"/>
  <c r="B491" i="1"/>
  <c r="C491" i="1"/>
  <c r="A492" i="1"/>
  <c r="B492" i="1"/>
  <c r="C492" i="1"/>
  <c r="A12262" i="1"/>
  <c r="B12262" i="1"/>
  <c r="C12262" i="1"/>
  <c r="A2308" i="1"/>
  <c r="B2308" i="1"/>
  <c r="C2308" i="1"/>
  <c r="A2309" i="1"/>
  <c r="B2309" i="1"/>
  <c r="C2309" i="1"/>
  <c r="A8052" i="1"/>
  <c r="B8052" i="1"/>
  <c r="C8052" i="1"/>
  <c r="A13353" i="1"/>
  <c r="B13353" i="1"/>
  <c r="C13353" i="1"/>
  <c r="A11867" i="1"/>
  <c r="B11867" i="1"/>
  <c r="C11867" i="1"/>
  <c r="A5788" i="1"/>
  <c r="B5788" i="1"/>
  <c r="C5788" i="1"/>
  <c r="A13184" i="1"/>
  <c r="B13184" i="1"/>
  <c r="C13184" i="1"/>
  <c r="A3919" i="1"/>
  <c r="B3919" i="1"/>
  <c r="C3919" i="1"/>
  <c r="A1358" i="1"/>
  <c r="B1358" i="1"/>
  <c r="C1358" i="1"/>
  <c r="A7108" i="1"/>
  <c r="B7108" i="1"/>
  <c r="C7108" i="1"/>
  <c r="A1675" i="1"/>
  <c r="B1675" i="1"/>
  <c r="C1675" i="1"/>
  <c r="A7459" i="1"/>
  <c r="B7459" i="1"/>
  <c r="C7459" i="1"/>
  <c r="A3464" i="1"/>
  <c r="B3464" i="1"/>
  <c r="C3464" i="1"/>
  <c r="A5449" i="1"/>
  <c r="B5449" i="1"/>
  <c r="C5449" i="1"/>
  <c r="A5450" i="1"/>
  <c r="B5450" i="1"/>
  <c r="C5450" i="1"/>
  <c r="A5451" i="1"/>
  <c r="B5451" i="1"/>
  <c r="C5451" i="1"/>
  <c r="A5452" i="1"/>
  <c r="B5452" i="1"/>
  <c r="C5452" i="1"/>
  <c r="A13907" i="1"/>
  <c r="B13907" i="1"/>
  <c r="C13907" i="1"/>
  <c r="A11770" i="1"/>
  <c r="B11770" i="1"/>
  <c r="C11770" i="1"/>
  <c r="A3479" i="1"/>
  <c r="B3479" i="1"/>
  <c r="C3479" i="1"/>
  <c r="A5260" i="1"/>
  <c r="B5260" i="1"/>
  <c r="C5260" i="1"/>
  <c r="A6508" i="1"/>
  <c r="B6508" i="1"/>
  <c r="C6508" i="1"/>
  <c r="A2705" i="1"/>
  <c r="B2705" i="1"/>
  <c r="C2705" i="1"/>
  <c r="A11307" i="1"/>
  <c r="B11307" i="1"/>
  <c r="C11307" i="1"/>
  <c r="A2801" i="1"/>
  <c r="B2801" i="1"/>
  <c r="C2801" i="1"/>
  <c r="A2802" i="1"/>
  <c r="B2802" i="1"/>
  <c r="C2802" i="1"/>
  <c r="A11107" i="1"/>
  <c r="B11107" i="1"/>
  <c r="C11107" i="1"/>
  <c r="A13269" i="1"/>
  <c r="B13269" i="1"/>
  <c r="C13269" i="1"/>
  <c r="A10417" i="1"/>
  <c r="B10417" i="1"/>
  <c r="C10417" i="1"/>
  <c r="A2073" i="1"/>
  <c r="B2073" i="1"/>
  <c r="C2073" i="1"/>
  <c r="A2964" i="1"/>
  <c r="B2964" i="1"/>
  <c r="C2964" i="1"/>
  <c r="A9052" i="1"/>
  <c r="B9052" i="1"/>
  <c r="C9052" i="1"/>
  <c r="A2053" i="1"/>
  <c r="B2053" i="1"/>
  <c r="C2053" i="1"/>
  <c r="A8922" i="1"/>
  <c r="B8922" i="1"/>
  <c r="C8922" i="1"/>
  <c r="A8589" i="1"/>
  <c r="B8589" i="1"/>
  <c r="C8589" i="1"/>
  <c r="A11358" i="1"/>
  <c r="B11358" i="1"/>
  <c r="C11358" i="1"/>
  <c r="A6091" i="1"/>
  <c r="B6091" i="1"/>
  <c r="C6091" i="1"/>
  <c r="A2435" i="1"/>
  <c r="B2435" i="1"/>
  <c r="C2435" i="1"/>
  <c r="A7905" i="1"/>
  <c r="B7905" i="1"/>
  <c r="C7905" i="1"/>
  <c r="A7913" i="1"/>
  <c r="B7913" i="1"/>
  <c r="C7913" i="1"/>
  <c r="A7914" i="1"/>
  <c r="B7914" i="1"/>
  <c r="C7914" i="1"/>
  <c r="A11767" i="1"/>
  <c r="B11767" i="1"/>
  <c r="C11767" i="1"/>
  <c r="A7916" i="1"/>
  <c r="B7916" i="1"/>
  <c r="C7916" i="1"/>
  <c r="A11953" i="1"/>
  <c r="B11953" i="1"/>
  <c r="C11953" i="1"/>
  <c r="A11954" i="1"/>
  <c r="B11954" i="1"/>
  <c r="C11954" i="1"/>
  <c r="A11955" i="1"/>
  <c r="B11955" i="1"/>
  <c r="C11955" i="1"/>
  <c r="A7109" i="1"/>
  <c r="B7109" i="1"/>
  <c r="C7109" i="1"/>
  <c r="A13195" i="1"/>
  <c r="B13195" i="1"/>
  <c r="C13195" i="1"/>
  <c r="A5486" i="1"/>
  <c r="B5486" i="1"/>
  <c r="C5486" i="1"/>
  <c r="A2787" i="1"/>
  <c r="B2787" i="1"/>
  <c r="C2787" i="1"/>
  <c r="A252" i="1"/>
  <c r="B252" i="1"/>
  <c r="C252" i="1"/>
  <c r="A6710" i="1"/>
  <c r="B6710" i="1"/>
  <c r="C6710" i="1"/>
  <c r="A4192" i="1"/>
  <c r="B4192" i="1"/>
  <c r="C4192" i="1"/>
  <c r="A10496" i="1"/>
  <c r="B10496" i="1"/>
  <c r="C10496" i="1"/>
  <c r="A1010" i="1"/>
  <c r="B1010" i="1"/>
  <c r="C1010" i="1"/>
  <c r="A2750" i="1"/>
  <c r="B2750" i="1"/>
  <c r="C2750" i="1"/>
  <c r="A2751" i="1"/>
  <c r="B2751" i="1"/>
  <c r="C2751" i="1"/>
  <c r="A2752" i="1"/>
  <c r="B2752" i="1"/>
  <c r="C2752" i="1"/>
  <c r="A2753" i="1"/>
  <c r="B2753" i="1"/>
  <c r="C2753" i="1"/>
  <c r="A2754" i="1"/>
  <c r="B2754" i="1"/>
  <c r="C2754" i="1"/>
  <c r="A1518" i="1"/>
  <c r="B1518" i="1"/>
  <c r="C1518" i="1"/>
  <c r="A12228" i="1"/>
  <c r="B12228" i="1"/>
  <c r="C12228" i="1"/>
  <c r="A12229" i="1"/>
  <c r="B12229" i="1"/>
  <c r="C12229" i="1"/>
  <c r="A7075" i="1"/>
  <c r="B7075" i="1"/>
  <c r="C7075" i="1"/>
  <c r="A254" i="1"/>
  <c r="B254" i="1"/>
  <c r="C254" i="1"/>
  <c r="A2257" i="1"/>
  <c r="B2257" i="1"/>
  <c r="C2257" i="1"/>
  <c r="A8710" i="1"/>
  <c r="B8710" i="1"/>
  <c r="C8710" i="1"/>
  <c r="A4930" i="1"/>
  <c r="B4930" i="1"/>
  <c r="C4930" i="1"/>
  <c r="A1209" i="1"/>
  <c r="B1209" i="1"/>
  <c r="C1209" i="1"/>
  <c r="A9111" i="1"/>
  <c r="B9111" i="1"/>
  <c r="C9111" i="1"/>
  <c r="A7882" i="1"/>
  <c r="B7882" i="1"/>
  <c r="C7882" i="1"/>
  <c r="A10716" i="1"/>
  <c r="B10716" i="1"/>
  <c r="C10716" i="1"/>
  <c r="A11797" i="1"/>
  <c r="B11797" i="1"/>
  <c r="C11797" i="1"/>
  <c r="A2590" i="1"/>
  <c r="B2590" i="1"/>
  <c r="C2590" i="1"/>
  <c r="A11633" i="1"/>
  <c r="B11633" i="1"/>
  <c r="C11633" i="1"/>
  <c r="A9595" i="1"/>
  <c r="B9595" i="1"/>
  <c r="C9595" i="1"/>
  <c r="A8390" i="1"/>
  <c r="B8390" i="1"/>
  <c r="C8390" i="1"/>
  <c r="A3876" i="1"/>
  <c r="B3876" i="1"/>
  <c r="C3876" i="1"/>
  <c r="A13618" i="1"/>
  <c r="B13618" i="1"/>
  <c r="C13618" i="1"/>
  <c r="A12754" i="1"/>
  <c r="B12754" i="1"/>
  <c r="C12754" i="1"/>
  <c r="A12048" i="1"/>
  <c r="B12048" i="1"/>
  <c r="C12048" i="1"/>
  <c r="A3291" i="1"/>
  <c r="B3291" i="1"/>
  <c r="C3291" i="1"/>
  <c r="A3763" i="1"/>
  <c r="B3763" i="1"/>
  <c r="C3763" i="1"/>
  <c r="A9505" i="1"/>
  <c r="B9505" i="1"/>
  <c r="C9505" i="1"/>
  <c r="A9142" i="1"/>
  <c r="B9142" i="1"/>
  <c r="C9142" i="1"/>
  <c r="A4243" i="1"/>
  <c r="B4243" i="1"/>
  <c r="C4243" i="1"/>
  <c r="A1749" i="1"/>
  <c r="B1749" i="1"/>
  <c r="C1749" i="1"/>
  <c r="A1788" i="1"/>
  <c r="B1788" i="1"/>
  <c r="C1788" i="1"/>
  <c r="A3273" i="1"/>
  <c r="B3273" i="1"/>
  <c r="C3273" i="1"/>
  <c r="A7152" i="1"/>
  <c r="B7152" i="1"/>
  <c r="C7152" i="1"/>
  <c r="A8167" i="1"/>
  <c r="B8167" i="1"/>
  <c r="C8167" i="1"/>
  <c r="A8527" i="1"/>
  <c r="B8527" i="1"/>
  <c r="C8527" i="1"/>
  <c r="A1576" i="1"/>
  <c r="B1576" i="1"/>
  <c r="C1576" i="1"/>
  <c r="A1836" i="1"/>
  <c r="B1836" i="1"/>
  <c r="C1836" i="1"/>
  <c r="A8909" i="1"/>
  <c r="B8909" i="1"/>
  <c r="C8909" i="1"/>
  <c r="A13169" i="1"/>
  <c r="B13169" i="1"/>
  <c r="C13169" i="1"/>
  <c r="A1176" i="1"/>
  <c r="B1176" i="1"/>
  <c r="C1176" i="1"/>
  <c r="A3863" i="1"/>
  <c r="B3863" i="1"/>
  <c r="C3863" i="1"/>
  <c r="A13956" i="1"/>
  <c r="B13956" i="1"/>
  <c r="C13956" i="1"/>
  <c r="A8168" i="1"/>
  <c r="B8168" i="1"/>
  <c r="C8168" i="1"/>
  <c r="A12312" i="1"/>
  <c r="B12312" i="1"/>
  <c r="C12312" i="1"/>
  <c r="A11074" i="1"/>
  <c r="B11074" i="1"/>
  <c r="C11074" i="1"/>
  <c r="A13333" i="1"/>
  <c r="B13333" i="1"/>
  <c r="C13333" i="1"/>
  <c r="A12629" i="1"/>
  <c r="B12629" i="1"/>
  <c r="C12629" i="1"/>
  <c r="A12512" i="1"/>
  <c r="B12512" i="1"/>
  <c r="C12512" i="1"/>
  <c r="A10437" i="1"/>
  <c r="B10437" i="1"/>
  <c r="C10437" i="1"/>
  <c r="A13405" i="1"/>
  <c r="B13405" i="1"/>
  <c r="C13405" i="1"/>
  <c r="A6206" i="1"/>
  <c r="B6206" i="1"/>
  <c r="C6206" i="1"/>
  <c r="A11575" i="1"/>
  <c r="B11575" i="1"/>
  <c r="C11575" i="1"/>
  <c r="A13246" i="1"/>
  <c r="B13246" i="1"/>
  <c r="C13246" i="1"/>
  <c r="A150" i="1"/>
  <c r="B150" i="1"/>
  <c r="C150" i="1"/>
  <c r="A12758" i="1"/>
  <c r="B12758" i="1"/>
  <c r="C12758" i="1"/>
  <c r="A13918" i="1"/>
  <c r="B13918" i="1"/>
  <c r="C13918" i="1"/>
  <c r="A3159" i="1"/>
  <c r="B3159" i="1"/>
  <c r="C3159" i="1"/>
  <c r="A716" i="1"/>
  <c r="B716" i="1"/>
  <c r="C716" i="1"/>
  <c r="A4463" i="1"/>
  <c r="B4463" i="1"/>
  <c r="C4463" i="1"/>
  <c r="A7807" i="1"/>
  <c r="B7807" i="1"/>
  <c r="C7807" i="1"/>
  <c r="A8348" i="1"/>
  <c r="B8348" i="1"/>
  <c r="C8348" i="1"/>
  <c r="A12214" i="1"/>
  <c r="B12214" i="1"/>
  <c r="C12214" i="1"/>
  <c r="A5040" i="1"/>
  <c r="B5040" i="1"/>
  <c r="C5040" i="1"/>
  <c r="A7367" i="1"/>
  <c r="B7367" i="1"/>
  <c r="C7367" i="1"/>
  <c r="A13105" i="1"/>
  <c r="B13105" i="1"/>
  <c r="C13105" i="1"/>
  <c r="A13022" i="1"/>
  <c r="B13022" i="1"/>
  <c r="C13022" i="1"/>
  <c r="A4527" i="1"/>
  <c r="B4527" i="1"/>
  <c r="C4527" i="1"/>
  <c r="A9994" i="1"/>
  <c r="B9994" i="1"/>
  <c r="C9994" i="1"/>
  <c r="A1419" i="1"/>
  <c r="B1419" i="1"/>
  <c r="C1419" i="1"/>
  <c r="A1907" i="1"/>
  <c r="B1907" i="1"/>
  <c r="C1907" i="1"/>
  <c r="A4989" i="1"/>
  <c r="B4989" i="1"/>
  <c r="C4989" i="1"/>
  <c r="A10196" i="1"/>
  <c r="B10196" i="1"/>
  <c r="C10196" i="1"/>
  <c r="A2421" i="1"/>
  <c r="B2421" i="1"/>
  <c r="C2421" i="1"/>
  <c r="A11204" i="1"/>
  <c r="B11204" i="1"/>
  <c r="C11204" i="1"/>
  <c r="A12502" i="1"/>
  <c r="B12502" i="1"/>
  <c r="C12502" i="1"/>
  <c r="A12503" i="1"/>
  <c r="B12503" i="1"/>
  <c r="C12503" i="1"/>
  <c r="A575" i="1"/>
  <c r="B575" i="1"/>
  <c r="C575" i="1"/>
  <c r="A10213" i="1"/>
  <c r="B10213" i="1"/>
  <c r="C10213" i="1"/>
  <c r="A9700" i="1"/>
  <c r="B9700" i="1"/>
  <c r="C9700" i="1"/>
  <c r="A8310" i="1"/>
  <c r="B8310" i="1"/>
  <c r="C8310" i="1"/>
  <c r="A4858" i="1"/>
  <c r="B4858" i="1"/>
  <c r="C4858" i="1"/>
  <c r="A8148" i="1"/>
  <c r="B8148" i="1"/>
  <c r="C8148" i="1"/>
  <c r="A7068" i="1"/>
  <c r="B7068" i="1"/>
  <c r="C7068" i="1"/>
  <c r="A1014" i="1"/>
  <c r="B1014" i="1"/>
  <c r="C1014" i="1"/>
  <c r="A8917" i="1"/>
  <c r="B8917" i="1"/>
  <c r="C8917" i="1"/>
  <c r="A8918" i="1"/>
  <c r="B8918" i="1"/>
  <c r="C8918" i="1"/>
  <c r="A6549" i="1"/>
  <c r="B6549" i="1"/>
  <c r="C6549" i="1"/>
  <c r="A6550" i="1"/>
  <c r="B6550" i="1"/>
  <c r="C6550" i="1"/>
  <c r="A6551" i="1"/>
  <c r="B6551" i="1"/>
  <c r="C6551" i="1"/>
  <c r="A4875" i="1"/>
  <c r="B4875" i="1"/>
  <c r="C4875" i="1"/>
  <c r="A4876" i="1"/>
  <c r="B4876" i="1"/>
  <c r="C4876" i="1"/>
  <c r="A3113" i="1"/>
  <c r="B3113" i="1"/>
  <c r="C3113" i="1"/>
  <c r="A10335" i="1"/>
  <c r="B10335" i="1"/>
  <c r="C10335" i="1"/>
  <c r="A12474" i="1"/>
  <c r="B12474" i="1"/>
  <c r="C12474" i="1"/>
  <c r="A3101" i="1"/>
  <c r="B3101" i="1"/>
  <c r="C3101" i="1"/>
  <c r="A12111" i="1"/>
  <c r="B12111" i="1"/>
  <c r="C12111" i="1"/>
  <c r="A1876" i="1"/>
  <c r="B1876" i="1"/>
  <c r="C1876" i="1"/>
  <c r="A7000" i="1"/>
  <c r="B7000" i="1"/>
  <c r="C7000" i="1"/>
  <c r="A8848" i="1"/>
  <c r="B8848" i="1"/>
  <c r="C8848" i="1"/>
  <c r="A12103" i="1"/>
  <c r="B12103" i="1"/>
  <c r="C12103" i="1"/>
  <c r="A4838" i="1"/>
  <c r="B4838" i="1"/>
  <c r="C4838" i="1"/>
  <c r="A4543" i="1"/>
  <c r="B4543" i="1"/>
  <c r="C4543" i="1"/>
  <c r="A2439" i="1"/>
  <c r="B2439" i="1"/>
  <c r="C2439" i="1"/>
  <c r="A11308" i="1"/>
  <c r="B11308" i="1"/>
  <c r="C11308" i="1"/>
  <c r="A12433" i="1"/>
  <c r="B12433" i="1"/>
  <c r="C12433" i="1"/>
  <c r="A10773" i="1"/>
  <c r="B10773" i="1"/>
  <c r="C10773" i="1"/>
  <c r="A9502" i="1"/>
  <c r="B9502" i="1"/>
  <c r="C9502" i="1"/>
  <c r="A5341" i="1"/>
  <c r="B5341" i="1"/>
  <c r="C5341" i="1"/>
  <c r="A1539" i="1"/>
  <c r="B1539" i="1"/>
  <c r="C1539" i="1"/>
  <c r="A12240" i="1"/>
  <c r="B12240" i="1"/>
  <c r="C12240" i="1"/>
  <c r="A4354" i="1"/>
  <c r="B4354" i="1"/>
  <c r="C4354" i="1"/>
  <c r="A13205" i="1"/>
  <c r="B13205" i="1"/>
  <c r="C13205" i="1"/>
  <c r="A9608" i="1"/>
  <c r="B9608" i="1"/>
  <c r="C9608" i="1"/>
  <c r="A2310" i="1"/>
  <c r="B2310" i="1"/>
  <c r="C2310" i="1"/>
  <c r="A12587" i="1"/>
  <c r="B12587" i="1"/>
  <c r="C12587" i="1"/>
  <c r="A9114" i="1"/>
  <c r="B9114" i="1"/>
  <c r="C9114" i="1"/>
  <c r="A3872" i="1"/>
  <c r="B3872" i="1"/>
  <c r="C3872" i="1"/>
  <c r="A6303" i="1"/>
  <c r="B6303" i="1"/>
  <c r="C6303" i="1"/>
  <c r="A13914" i="1"/>
  <c r="B13914" i="1"/>
  <c r="C13914" i="1"/>
  <c r="A6174" i="1"/>
  <c r="B6174" i="1"/>
  <c r="C6174" i="1"/>
  <c r="A4956" i="1"/>
  <c r="B4956" i="1"/>
  <c r="C4956" i="1"/>
  <c r="A1368" i="1"/>
  <c r="B1368" i="1"/>
  <c r="C1368" i="1"/>
  <c r="A10827" i="1"/>
  <c r="B10827" i="1"/>
  <c r="C10827" i="1"/>
  <c r="A1439" i="1"/>
  <c r="B1439" i="1"/>
  <c r="C1439" i="1"/>
  <c r="A11109" i="1"/>
  <c r="B11109" i="1"/>
  <c r="C11109" i="1"/>
  <c r="A12169" i="1"/>
  <c r="B12169" i="1"/>
  <c r="C12169" i="1"/>
  <c r="A1392" i="1"/>
  <c r="B1392" i="1"/>
  <c r="C1392" i="1"/>
  <c r="A4158" i="1"/>
  <c r="B4158" i="1"/>
  <c r="C4158" i="1"/>
  <c r="A2336" i="1"/>
  <c r="B2336" i="1"/>
  <c r="C2336" i="1"/>
  <c r="A11933" i="1"/>
  <c r="B11933" i="1"/>
  <c r="C11933" i="1"/>
  <c r="A1676" i="1"/>
  <c r="B1676" i="1"/>
  <c r="C1676" i="1"/>
  <c r="A5151" i="1"/>
  <c r="B5151" i="1"/>
  <c r="C5151" i="1"/>
  <c r="A5500" i="1"/>
  <c r="B5500" i="1"/>
  <c r="C5500" i="1"/>
  <c r="A12324" i="1"/>
  <c r="B12324" i="1"/>
  <c r="C12324" i="1"/>
  <c r="A4309" i="1"/>
  <c r="B4309" i="1"/>
  <c r="C4309" i="1"/>
  <c r="A3140" i="1"/>
  <c r="B3140" i="1"/>
  <c r="C3140" i="1"/>
  <c r="A1596" i="1"/>
  <c r="B1596" i="1"/>
  <c r="C1596" i="1"/>
  <c r="A5920" i="1"/>
  <c r="B5920" i="1"/>
  <c r="C5920" i="1"/>
  <c r="A8326" i="1"/>
  <c r="B8326" i="1"/>
  <c r="C8326" i="1"/>
  <c r="A292" i="1"/>
  <c r="B292" i="1"/>
  <c r="C292" i="1"/>
  <c r="A2311" i="1"/>
  <c r="B2311" i="1"/>
  <c r="C2311" i="1"/>
  <c r="A8312" i="1"/>
  <c r="B8312" i="1"/>
  <c r="C8312" i="1"/>
  <c r="A6428" i="1"/>
  <c r="B6428" i="1"/>
  <c r="C6428" i="1"/>
  <c r="A11886" i="1"/>
  <c r="B11886" i="1"/>
  <c r="C11886" i="1"/>
  <c r="A7865" i="1"/>
  <c r="B7865" i="1"/>
  <c r="C7865" i="1"/>
  <c r="A3893" i="1"/>
  <c r="B3893" i="1"/>
  <c r="C3893" i="1"/>
  <c r="A984" i="1"/>
  <c r="B984" i="1"/>
  <c r="C984" i="1"/>
  <c r="A934" i="1"/>
  <c r="B934" i="1"/>
  <c r="C934" i="1"/>
  <c r="A1748" i="1"/>
  <c r="B1748" i="1"/>
  <c r="C1748" i="1"/>
  <c r="A1587" i="1"/>
  <c r="B1587" i="1"/>
  <c r="C1587" i="1"/>
  <c r="A2312" i="1"/>
  <c r="B2312" i="1"/>
  <c r="C2312" i="1"/>
  <c r="A13198" i="1"/>
  <c r="B13198" i="1"/>
  <c r="C13198" i="1"/>
  <c r="A2150" i="1"/>
  <c r="B2150" i="1"/>
  <c r="C2150" i="1"/>
  <c r="A11918" i="1"/>
  <c r="B11918" i="1"/>
  <c r="C11918" i="1"/>
  <c r="A3596" i="1"/>
  <c r="B3596" i="1"/>
  <c r="C3596" i="1"/>
  <c r="A12607" i="1"/>
  <c r="B12607" i="1"/>
  <c r="C12607" i="1"/>
  <c r="A13603" i="1"/>
  <c r="B13603" i="1"/>
  <c r="C13603" i="1"/>
  <c r="A8133" i="1"/>
  <c r="B8133" i="1"/>
  <c r="C8133" i="1"/>
  <c r="A7418" i="1"/>
  <c r="B7418" i="1"/>
  <c r="C7418" i="1"/>
  <c r="A2986" i="1"/>
  <c r="B2986" i="1"/>
  <c r="C2986" i="1"/>
  <c r="A238" i="1"/>
  <c r="B238" i="1"/>
  <c r="C238" i="1"/>
  <c r="A4816" i="1"/>
  <c r="B4816" i="1"/>
  <c r="C4816" i="1"/>
  <c r="A12142" i="1"/>
  <c r="B12142" i="1"/>
  <c r="C12142" i="1"/>
  <c r="A8187" i="1"/>
  <c r="B8187" i="1"/>
  <c r="C8187" i="1"/>
  <c r="A9414" i="1"/>
  <c r="B9414" i="1"/>
  <c r="C9414" i="1"/>
  <c r="A4159" i="1"/>
  <c r="B4159" i="1"/>
  <c r="C4159" i="1"/>
  <c r="A13299" i="1"/>
  <c r="C13299" i="1"/>
  <c r="A5108" i="1"/>
  <c r="B5108" i="1"/>
  <c r="C5108" i="1"/>
  <c r="A3498" i="1"/>
  <c r="B3498" i="1"/>
  <c r="C3498" i="1"/>
  <c r="A5979" i="1"/>
  <c r="B5979" i="1"/>
  <c r="C5979" i="1"/>
  <c r="A3265" i="1"/>
  <c r="B3265" i="1"/>
  <c r="C3265" i="1"/>
  <c r="A10517" i="1"/>
  <c r="B10517" i="1"/>
  <c r="C10517" i="1"/>
  <c r="A5765" i="1"/>
  <c r="B5765" i="1"/>
  <c r="C5765" i="1"/>
  <c r="A8001" i="1"/>
  <c r="B8001" i="1"/>
  <c r="C8001" i="1"/>
  <c r="A12905" i="1"/>
  <c r="B12905" i="1"/>
  <c r="C12905" i="1"/>
  <c r="A1242" i="1"/>
  <c r="B1242" i="1"/>
  <c r="C1242" i="1"/>
  <c r="A7765" i="1"/>
  <c r="B7765" i="1"/>
  <c r="C7765" i="1"/>
  <c r="A13310" i="1"/>
  <c r="B13310" i="1"/>
  <c r="C13310" i="1"/>
  <c r="A11037" i="1"/>
  <c r="B11037" i="1"/>
  <c r="C11037" i="1"/>
  <c r="A982" i="1"/>
  <c r="B982" i="1"/>
  <c r="C982" i="1"/>
  <c r="A13869" i="1"/>
  <c r="B13869" i="1"/>
  <c r="C13869" i="1"/>
  <c r="A11038" i="1"/>
  <c r="B11038" i="1"/>
  <c r="C11038" i="1"/>
  <c r="A2706" i="1"/>
  <c r="B2706" i="1"/>
  <c r="C2706" i="1"/>
  <c r="A13257" i="1"/>
  <c r="B13257" i="1"/>
  <c r="C13257" i="1"/>
  <c r="A12736" i="1"/>
  <c r="B12736" i="1"/>
  <c r="C12736" i="1"/>
  <c r="A12737" i="1"/>
  <c r="B12737" i="1"/>
  <c r="C12737" i="1"/>
  <c r="A11790" i="1"/>
  <c r="B11790" i="1"/>
  <c r="C11790" i="1"/>
  <c r="A8823" i="1"/>
  <c r="B8823" i="1"/>
  <c r="C8823" i="1"/>
  <c r="A2259" i="1"/>
  <c r="B2259" i="1"/>
  <c r="C2259" i="1"/>
  <c r="A13311" i="1"/>
  <c r="B13311" i="1"/>
  <c r="C13311" i="1"/>
  <c r="A9179" i="1"/>
  <c r="B9179" i="1"/>
  <c r="C9179" i="1"/>
  <c r="A8746" i="1"/>
  <c r="B8746" i="1"/>
  <c r="C8746" i="1"/>
  <c r="A2164" i="1"/>
  <c r="B2164" i="1"/>
  <c r="C2164" i="1"/>
  <c r="A2436" i="1"/>
  <c r="B2436" i="1"/>
  <c r="C2436" i="1"/>
  <c r="A2437" i="1"/>
  <c r="B2437" i="1"/>
  <c r="C2437" i="1"/>
  <c r="A7915" i="1"/>
  <c r="B7915" i="1"/>
  <c r="C7915" i="1"/>
  <c r="A1149" i="1"/>
  <c r="B1149" i="1"/>
  <c r="C1149" i="1"/>
  <c r="A12335" i="1"/>
  <c r="B12335" i="1"/>
  <c r="C12335" i="1"/>
  <c r="A10056" i="1"/>
  <c r="B10056" i="1"/>
  <c r="C10056" i="1"/>
  <c r="A6219" i="1"/>
  <c r="B6219" i="1"/>
  <c r="C6219" i="1"/>
  <c r="A13671" i="1"/>
  <c r="B13671" i="1"/>
  <c r="C13671" i="1"/>
  <c r="A4598" i="1"/>
  <c r="B4598" i="1"/>
  <c r="C4598" i="1"/>
  <c r="A121" i="1"/>
  <c r="B121" i="1"/>
  <c r="C121" i="1"/>
  <c r="A4961" i="1"/>
  <c r="B4961" i="1"/>
  <c r="C4961" i="1"/>
  <c r="A8428" i="1"/>
  <c r="B8428" i="1"/>
  <c r="C8428" i="1"/>
  <c r="A5843" i="1"/>
  <c r="B5843" i="1"/>
  <c r="C5843" i="1"/>
  <c r="A4430" i="1"/>
  <c r="B4430" i="1"/>
  <c r="C4430" i="1"/>
  <c r="A9626" i="1"/>
  <c r="B9626" i="1"/>
  <c r="C9626" i="1"/>
  <c r="A3468" i="1"/>
  <c r="B3468" i="1"/>
  <c r="C3468" i="1"/>
  <c r="A13284" i="1"/>
  <c r="B13284" i="1"/>
  <c r="C13284" i="1"/>
  <c r="A13850" i="1"/>
  <c r="B13850" i="1"/>
  <c r="C13850" i="1"/>
  <c r="A9546" i="1"/>
  <c r="B9546" i="1"/>
  <c r="C9546" i="1"/>
  <c r="A3713" i="1"/>
  <c r="B3713" i="1"/>
  <c r="C3713" i="1"/>
  <c r="A839" i="1"/>
  <c r="B839" i="1"/>
  <c r="C839" i="1"/>
  <c r="A2398" i="1"/>
  <c r="B2398" i="1"/>
  <c r="C2398" i="1"/>
  <c r="A5030" i="1"/>
  <c r="B5030" i="1"/>
  <c r="C5030" i="1"/>
  <c r="A4313" i="1"/>
  <c r="B4313" i="1"/>
  <c r="C4313" i="1"/>
  <c r="A8925" i="1"/>
  <c r="B8925" i="1"/>
  <c r="C8925" i="1"/>
  <c r="A3634" i="1"/>
  <c r="B3634" i="1"/>
  <c r="C3634" i="1"/>
  <c r="A12441" i="1"/>
  <c r="B12441" i="1"/>
  <c r="C12441" i="1"/>
  <c r="A6792" i="1"/>
  <c r="B6792" i="1"/>
  <c r="C6792" i="1"/>
  <c r="A12194" i="1"/>
  <c r="B12194" i="1"/>
  <c r="C12194" i="1"/>
  <c r="A2456" i="1"/>
  <c r="B2456" i="1"/>
  <c r="C2456" i="1"/>
  <c r="A3509" i="1"/>
  <c r="B3509" i="1"/>
  <c r="C3509" i="1"/>
  <c r="A9201" i="1"/>
  <c r="B9201" i="1"/>
  <c r="C9201" i="1"/>
  <c r="A10086" i="1"/>
  <c r="B10086" i="1"/>
  <c r="C10086" i="1"/>
  <c r="A3289" i="1"/>
  <c r="B3289" i="1"/>
  <c r="C3289" i="1"/>
  <c r="A9396" i="1"/>
  <c r="B9396" i="1"/>
  <c r="C9396" i="1"/>
  <c r="A2469" i="1"/>
  <c r="B2469" i="1"/>
  <c r="C2469" i="1"/>
  <c r="A13473" i="1"/>
  <c r="B13473" i="1"/>
  <c r="C13473" i="1"/>
  <c r="A2539" i="1"/>
  <c r="B2539" i="1"/>
  <c r="C2539" i="1"/>
  <c r="A4250" i="1"/>
  <c r="B4250" i="1"/>
  <c r="C4250" i="1"/>
  <c r="A13065" i="1"/>
  <c r="B13065" i="1"/>
  <c r="C13065" i="1"/>
  <c r="A3720" i="1"/>
  <c r="B3720" i="1"/>
  <c r="C3720" i="1"/>
  <c r="A3324" i="1"/>
  <c r="B3324" i="1"/>
  <c r="C3324" i="1"/>
  <c r="A11449" i="1"/>
  <c r="B11449" i="1"/>
  <c r="C11449" i="1"/>
  <c r="A4612" i="1"/>
  <c r="B4612" i="1"/>
  <c r="C4612" i="1"/>
  <c r="A687" i="1"/>
  <c r="B687" i="1"/>
  <c r="C687" i="1"/>
  <c r="A10382" i="1"/>
  <c r="B10382" i="1"/>
  <c r="C10382" i="1"/>
  <c r="A1901" i="1"/>
  <c r="B1901" i="1"/>
  <c r="C1901" i="1"/>
  <c r="A13873" i="1"/>
  <c r="B13873" i="1"/>
  <c r="C13873" i="1"/>
  <c r="A699" i="1"/>
  <c r="B699" i="1"/>
  <c r="C699" i="1"/>
  <c r="A5318" i="1"/>
  <c r="B5318" i="1"/>
  <c r="C5318" i="1"/>
  <c r="A9221" i="1"/>
  <c r="B9221" i="1"/>
  <c r="C9221" i="1"/>
  <c r="A3087" i="1"/>
  <c r="B3087" i="1"/>
  <c r="C3087" i="1"/>
  <c r="A4997" i="1"/>
  <c r="B4997" i="1"/>
  <c r="C4997" i="1"/>
  <c r="A6090" i="1"/>
  <c r="B6090" i="1"/>
  <c r="C6090" i="1"/>
  <c r="A4939" i="1"/>
  <c r="B4939" i="1"/>
  <c r="C4939" i="1"/>
  <c r="A5976" i="1"/>
  <c r="B5976" i="1"/>
  <c r="C5976" i="1"/>
  <c r="A6875" i="1"/>
  <c r="B6875" i="1"/>
  <c r="C6875" i="1"/>
  <c r="A1163" i="1"/>
  <c r="B1163" i="1"/>
  <c r="C1163" i="1"/>
  <c r="A9760" i="1"/>
  <c r="B9760" i="1"/>
  <c r="C9760" i="1"/>
  <c r="A574" i="1"/>
  <c r="B574" i="1"/>
  <c r="C574" i="1"/>
  <c r="A7548" i="1"/>
  <c r="B7548" i="1"/>
  <c r="C7548" i="1"/>
  <c r="A9563" i="1"/>
  <c r="B9563" i="1"/>
  <c r="C9563" i="1"/>
  <c r="A6361" i="1"/>
  <c r="B6361" i="1"/>
  <c r="C6361" i="1"/>
  <c r="A5469" i="1"/>
  <c r="B5469" i="1"/>
  <c r="C5469" i="1"/>
  <c r="A8337" i="1"/>
  <c r="B8337" i="1"/>
  <c r="C8337" i="1"/>
  <c r="A5754" i="1"/>
  <c r="B5754" i="1"/>
  <c r="C5754" i="1"/>
  <c r="A3032" i="1"/>
  <c r="B3032" i="1"/>
  <c r="C3032" i="1"/>
  <c r="A6372" i="1"/>
  <c r="B6372" i="1"/>
  <c r="C6372" i="1"/>
  <c r="A10003" i="1"/>
  <c r="B10003" i="1"/>
  <c r="C10003" i="1"/>
  <c r="A13434" i="1"/>
  <c r="B13434" i="1"/>
  <c r="C13434" i="1"/>
  <c r="A6395" i="1"/>
  <c r="B6395" i="1"/>
  <c r="C6395" i="1"/>
  <c r="A4471" i="1"/>
  <c r="B4471" i="1"/>
  <c r="C4471" i="1"/>
  <c r="A4059" i="1"/>
  <c r="B4059" i="1"/>
  <c r="C4059" i="1"/>
  <c r="A11832" i="1"/>
  <c r="B11832" i="1"/>
  <c r="C11832" i="1"/>
  <c r="A5502" i="1"/>
  <c r="B5502" i="1"/>
  <c r="C5502" i="1"/>
  <c r="A6319" i="1"/>
  <c r="B6319" i="1"/>
  <c r="C6319" i="1"/>
  <c r="A7275" i="1"/>
  <c r="B7275" i="1"/>
  <c r="C7275" i="1"/>
  <c r="A8024" i="1"/>
  <c r="B8024" i="1"/>
  <c r="C8024" i="1"/>
  <c r="A5407" i="1"/>
  <c r="B5407" i="1"/>
  <c r="C5407" i="1"/>
  <c r="A5038" i="1"/>
  <c r="B5038" i="1"/>
  <c r="C5038" i="1"/>
  <c r="A5061" i="1"/>
  <c r="B5061" i="1"/>
  <c r="C5061" i="1"/>
  <c r="A6782" i="1"/>
  <c r="B6782" i="1"/>
  <c r="C6782" i="1"/>
  <c r="A3733" i="1"/>
  <c r="B3733" i="1"/>
  <c r="C3733" i="1"/>
  <c r="A4859" i="1"/>
  <c r="B4859" i="1"/>
  <c r="C4859" i="1"/>
  <c r="A5255" i="1"/>
  <c r="B5255" i="1"/>
  <c r="C5255" i="1"/>
  <c r="A6181" i="1"/>
  <c r="B6181" i="1"/>
  <c r="C6181" i="1"/>
  <c r="A3025" i="1"/>
  <c r="B3025" i="1"/>
  <c r="C3025" i="1"/>
  <c r="A2234" i="1"/>
  <c r="B2234" i="1"/>
  <c r="C2234" i="1"/>
  <c r="A5122" i="1"/>
  <c r="B5122" i="1"/>
  <c r="C5122" i="1"/>
  <c r="A8059" i="1"/>
  <c r="B8059" i="1"/>
  <c r="C8059" i="1"/>
  <c r="A7534" i="1"/>
  <c r="B7534" i="1"/>
  <c r="C7534" i="1"/>
  <c r="A1069" i="1"/>
  <c r="B1069" i="1"/>
  <c r="C1069" i="1"/>
  <c r="A5723" i="1"/>
  <c r="B5723" i="1"/>
  <c r="C5723" i="1"/>
  <c r="A5724" i="1"/>
  <c r="B5724" i="1"/>
  <c r="C5724" i="1"/>
  <c r="A5725" i="1"/>
  <c r="B5725" i="1"/>
  <c r="C5725" i="1"/>
  <c r="A9214" i="1"/>
  <c r="B9214" i="1"/>
  <c r="C9214" i="1"/>
  <c r="A13063" i="1"/>
  <c r="B13063" i="1"/>
  <c r="C13063" i="1"/>
  <c r="A12747" i="1"/>
  <c r="B12747" i="1"/>
  <c r="C12747" i="1"/>
  <c r="A3371" i="1"/>
  <c r="B3371" i="1"/>
  <c r="C3371" i="1"/>
  <c r="A6024" i="1"/>
  <c r="B6024" i="1"/>
  <c r="C6024" i="1"/>
  <c r="A4398" i="1"/>
  <c r="B4398" i="1"/>
  <c r="C4398" i="1"/>
  <c r="A6168" i="1"/>
  <c r="B6168" i="1"/>
  <c r="C6168" i="1"/>
  <c r="A2904" i="1"/>
  <c r="B2904" i="1"/>
  <c r="C2904" i="1"/>
  <c r="A5910" i="1"/>
  <c r="B5910" i="1"/>
  <c r="C5910" i="1"/>
  <c r="A329" i="1"/>
  <c r="B329" i="1"/>
  <c r="C329" i="1"/>
  <c r="A330" i="1"/>
  <c r="B330" i="1"/>
  <c r="C330" i="1"/>
  <c r="A1617" i="1"/>
  <c r="B1617" i="1"/>
  <c r="C1617" i="1"/>
  <c r="A5599" i="1"/>
  <c r="B5599" i="1"/>
  <c r="C5599" i="1"/>
  <c r="A5600" i="1"/>
  <c r="B5600" i="1"/>
  <c r="C5600" i="1"/>
  <c r="A5601" i="1"/>
  <c r="B5601" i="1"/>
  <c r="C5601" i="1"/>
  <c r="A8708" i="1"/>
  <c r="B8708" i="1"/>
  <c r="C8708" i="1"/>
  <c r="A11083" i="1"/>
  <c r="B11083" i="1"/>
  <c r="C11083" i="1"/>
  <c r="A13080" i="1"/>
  <c r="B13080" i="1"/>
  <c r="C13080" i="1"/>
  <c r="A9950" i="1"/>
  <c r="B9950" i="1"/>
  <c r="C9950" i="1"/>
  <c r="A6957" i="1"/>
  <c r="B6957" i="1"/>
  <c r="C6957" i="1"/>
  <c r="A9679" i="1"/>
  <c r="B9679" i="1"/>
  <c r="C9679" i="1"/>
  <c r="A8039" i="1"/>
  <c r="B8039" i="1"/>
  <c r="C8039" i="1"/>
  <c r="A6681" i="1"/>
  <c r="B6681" i="1"/>
  <c r="C6681" i="1"/>
  <c r="A1899" i="1"/>
  <c r="B1899" i="1"/>
  <c r="C1899" i="1"/>
  <c r="A12605" i="1"/>
  <c r="B12605" i="1"/>
  <c r="C12605" i="1"/>
  <c r="A11868" i="1"/>
  <c r="B11868" i="1"/>
  <c r="C11868" i="1"/>
  <c r="A11869" i="1"/>
  <c r="B11869" i="1"/>
  <c r="C11869" i="1"/>
  <c r="A5823" i="1"/>
  <c r="B5823" i="1"/>
  <c r="C5823" i="1"/>
  <c r="A314" i="1"/>
  <c r="B314" i="1"/>
  <c r="C314" i="1"/>
  <c r="A315" i="1"/>
  <c r="B315" i="1"/>
  <c r="C315" i="1"/>
  <c r="A316" i="1"/>
  <c r="B316" i="1"/>
  <c r="C316" i="1"/>
  <c r="A317" i="1"/>
  <c r="B317" i="1"/>
  <c r="C317" i="1"/>
  <c r="A318" i="1"/>
  <c r="B318" i="1"/>
  <c r="C318" i="1"/>
  <c r="A9637" i="1"/>
  <c r="B9637" i="1"/>
  <c r="C9637" i="1"/>
  <c r="A12449" i="1"/>
  <c r="B12449" i="1"/>
  <c r="C12449" i="1"/>
  <c r="A3812" i="1"/>
  <c r="B3812" i="1"/>
  <c r="C3812" i="1"/>
  <c r="A2540" i="1"/>
  <c r="B2540" i="1"/>
  <c r="C2540" i="1"/>
  <c r="A293" i="1"/>
  <c r="B293" i="1"/>
  <c r="C293" i="1"/>
  <c r="A11924" i="1"/>
  <c r="B11924" i="1"/>
  <c r="C11924" i="1"/>
  <c r="A13646" i="1"/>
  <c r="B13646" i="1"/>
  <c r="C13646" i="1"/>
  <c r="A5468" i="1"/>
  <c r="B5468" i="1"/>
  <c r="C5468" i="1"/>
  <c r="A1729" i="1"/>
  <c r="B1729" i="1"/>
  <c r="C1729" i="1"/>
  <c r="A4308" i="1"/>
  <c r="B4308" i="1"/>
  <c r="C4308" i="1"/>
  <c r="A13378" i="1"/>
  <c r="B13378" i="1"/>
  <c r="C13378" i="1"/>
  <c r="A572" i="1"/>
  <c r="B572" i="1"/>
  <c r="C572" i="1"/>
  <c r="A13341" i="1"/>
  <c r="B13341" i="1"/>
  <c r="C13341" i="1"/>
  <c r="A3414" i="1"/>
  <c r="B3414" i="1"/>
  <c r="C3414" i="1"/>
  <c r="A5195" i="1"/>
  <c r="B5195" i="1"/>
  <c r="C5195" i="1"/>
  <c r="A9620" i="1"/>
  <c r="B9620" i="1"/>
  <c r="C9620" i="1"/>
  <c r="A6325" i="1"/>
  <c r="B6325" i="1"/>
  <c r="C6325" i="1"/>
  <c r="A6324" i="1"/>
  <c r="B6324" i="1"/>
  <c r="C6324" i="1"/>
  <c r="A10782" i="1"/>
  <c r="B10782" i="1"/>
  <c r="C10782" i="1"/>
  <c r="A6358" i="1"/>
  <c r="B6358" i="1"/>
  <c r="C6358" i="1"/>
  <c r="A6544" i="1"/>
  <c r="B6544" i="1"/>
  <c r="C6544" i="1"/>
  <c r="A4545" i="1"/>
  <c r="B4545" i="1"/>
  <c r="C4545" i="1"/>
  <c r="A95" i="1"/>
  <c r="B95" i="1"/>
  <c r="C95" i="1"/>
  <c r="A4546" i="1"/>
  <c r="B4546" i="1"/>
  <c r="C4546" i="1"/>
  <c r="A7904" i="1"/>
  <c r="B7904" i="1"/>
  <c r="C7904" i="1"/>
  <c r="A7588" i="1"/>
  <c r="B7588" i="1"/>
  <c r="C7588" i="1"/>
  <c r="A3608" i="1"/>
  <c r="B3608" i="1"/>
  <c r="C3608" i="1"/>
  <c r="A9839" i="1"/>
  <c r="B9839" i="1"/>
  <c r="C9839" i="1"/>
  <c r="A4406" i="1"/>
  <c r="B4406" i="1"/>
  <c r="C4406" i="1"/>
  <c r="A7752" i="1"/>
  <c r="B7752" i="1"/>
  <c r="C7752" i="1"/>
  <c r="A11686" i="1"/>
  <c r="B11686" i="1"/>
  <c r="C11686" i="1"/>
  <c r="A13713" i="1"/>
  <c r="B13713" i="1"/>
  <c r="C13713" i="1"/>
  <c r="A11363" i="1"/>
  <c r="B11363" i="1"/>
  <c r="C11363" i="1"/>
  <c r="A8044" i="1"/>
  <c r="B8044" i="1"/>
  <c r="C8044" i="1"/>
  <c r="A4860" i="1"/>
  <c r="B4860" i="1"/>
  <c r="C4860" i="1"/>
  <c r="A6172" i="1"/>
  <c r="B6172" i="1"/>
  <c r="C6172" i="1"/>
  <c r="A1976" i="1"/>
  <c r="B1976" i="1"/>
  <c r="C1976" i="1"/>
  <c r="A2367" i="1"/>
  <c r="B2367" i="1"/>
  <c r="C2367" i="1"/>
  <c r="A7779" i="1"/>
  <c r="B7779" i="1"/>
  <c r="C7779" i="1"/>
  <c r="A13235" i="1"/>
  <c r="B13235" i="1"/>
  <c r="C13235" i="1"/>
  <c r="A5277" i="1"/>
  <c r="B5277" i="1"/>
  <c r="C5277" i="1"/>
  <c r="A2151" i="1"/>
  <c r="B2151" i="1"/>
  <c r="C2151" i="1"/>
  <c r="A4029" i="1"/>
  <c r="B4029" i="1"/>
  <c r="C4029" i="1"/>
  <c r="A2152" i="1"/>
  <c r="B2152" i="1"/>
  <c r="C2152" i="1"/>
  <c r="A1051" i="1"/>
  <c r="B1051" i="1"/>
  <c r="C1051" i="1"/>
  <c r="A13437" i="1"/>
  <c r="B13437" i="1"/>
  <c r="C13437" i="1"/>
  <c r="A13438" i="1"/>
  <c r="B13438" i="1"/>
  <c r="C13438" i="1"/>
  <c r="A13794" i="1"/>
  <c r="B13794" i="1"/>
  <c r="C13794" i="1"/>
  <c r="A1846" i="1"/>
  <c r="B1846" i="1"/>
  <c r="C1846" i="1"/>
  <c r="A10262" i="1"/>
  <c r="B10262" i="1"/>
  <c r="C10262" i="1"/>
  <c r="A5731" i="1"/>
  <c r="B5731" i="1"/>
  <c r="C5731" i="1"/>
  <c r="A12729" i="1"/>
  <c r="B12729" i="1"/>
  <c r="C12729" i="1"/>
  <c r="A12730" i="1"/>
  <c r="B12730" i="1"/>
  <c r="C12730" i="1"/>
  <c r="A1140" i="1"/>
  <c r="B1140" i="1"/>
  <c r="C1140" i="1"/>
  <c r="A1141" i="1"/>
  <c r="B1141" i="1"/>
  <c r="C1141" i="1"/>
  <c r="A10535" i="1"/>
  <c r="B10535" i="1"/>
  <c r="C10535" i="1"/>
  <c r="A8255" i="1"/>
  <c r="B8255" i="1"/>
  <c r="C8255" i="1"/>
  <c r="A8811" i="1"/>
  <c r="B8811" i="1"/>
  <c r="C8811" i="1"/>
  <c r="A6320" i="1"/>
  <c r="B6320" i="1"/>
  <c r="C6320" i="1"/>
  <c r="A11036" i="1"/>
  <c r="B11036" i="1"/>
  <c r="C11036" i="1"/>
  <c r="A9533" i="1"/>
  <c r="B9533" i="1"/>
  <c r="C9533" i="1"/>
  <c r="A1975" i="1"/>
  <c r="B1975" i="1"/>
  <c r="C1975" i="1"/>
  <c r="A4850" i="1"/>
  <c r="B4850" i="1"/>
  <c r="C4850" i="1"/>
  <c r="A13557" i="1"/>
  <c r="B13557" i="1"/>
  <c r="C13557" i="1"/>
  <c r="A11524" i="1"/>
  <c r="B11524" i="1"/>
  <c r="C11524" i="1"/>
  <c r="A7854" i="1"/>
  <c r="B7854" i="1"/>
  <c r="C7854" i="1"/>
  <c r="A9912" i="1"/>
  <c r="B9912" i="1"/>
  <c r="C9912" i="1"/>
  <c r="A5837" i="1"/>
  <c r="B5837" i="1"/>
  <c r="C5837" i="1"/>
  <c r="A3442" i="1"/>
  <c r="B3442" i="1"/>
  <c r="C3442" i="1"/>
  <c r="A11929" i="1"/>
  <c r="B11929" i="1"/>
  <c r="C11929" i="1"/>
  <c r="A4325" i="1"/>
  <c r="B4325" i="1"/>
  <c r="C4325" i="1"/>
  <c r="A13285" i="1"/>
  <c r="B13285" i="1"/>
  <c r="C13285" i="1"/>
  <c r="A948" i="1"/>
  <c r="B948" i="1"/>
  <c r="C948" i="1"/>
  <c r="A13224" i="1"/>
  <c r="B13224" i="1"/>
  <c r="C13224" i="1"/>
  <c r="A4285" i="1"/>
  <c r="B4285" i="1"/>
  <c r="C4285" i="1"/>
  <c r="A6413" i="1"/>
  <c r="B6413" i="1"/>
  <c r="C6413" i="1"/>
  <c r="A638" i="1"/>
  <c r="B638" i="1"/>
  <c r="C638" i="1"/>
  <c r="A1362" i="1"/>
  <c r="B1362" i="1"/>
  <c r="C1362" i="1"/>
  <c r="A4191" i="1"/>
  <c r="B4191" i="1"/>
  <c r="C4191" i="1"/>
  <c r="A11712" i="1"/>
  <c r="B11712" i="1"/>
  <c r="C11712" i="1"/>
  <c r="A6498" i="1"/>
  <c r="B6498" i="1"/>
  <c r="C6498" i="1"/>
  <c r="A13535" i="1"/>
  <c r="B13535" i="1"/>
  <c r="C13535" i="1"/>
  <c r="A11292" i="1"/>
  <c r="B11292" i="1"/>
  <c r="C11292" i="1"/>
  <c r="A7007" i="1"/>
  <c r="B7007" i="1"/>
  <c r="C7007" i="1"/>
  <c r="A473" i="1"/>
  <c r="B473" i="1"/>
  <c r="C473" i="1"/>
  <c r="A6071" i="1"/>
  <c r="B6071" i="1"/>
  <c r="C6071" i="1"/>
  <c r="A6427" i="1"/>
  <c r="B6427" i="1"/>
  <c r="C6427" i="1"/>
  <c r="A2653" i="1"/>
  <c r="B2653" i="1"/>
  <c r="C2653" i="1"/>
  <c r="A233" i="1"/>
  <c r="B233" i="1"/>
  <c r="C233" i="1"/>
  <c r="A11952" i="1"/>
  <c r="B11952" i="1"/>
  <c r="C11952" i="1"/>
  <c r="A5583" i="1"/>
  <c r="B5583" i="1"/>
  <c r="C5583" i="1"/>
  <c r="A5710" i="1"/>
  <c r="B5710" i="1"/>
  <c r="C5710" i="1"/>
  <c r="A8224" i="1"/>
  <c r="B8224" i="1"/>
  <c r="C8224" i="1"/>
  <c r="A200" i="1"/>
  <c r="B200" i="1"/>
  <c r="C200" i="1"/>
  <c r="A9863" i="1"/>
  <c r="B9863" i="1"/>
  <c r="C9863" i="1"/>
  <c r="A6617" i="1"/>
  <c r="B6617" i="1"/>
  <c r="C6617" i="1"/>
  <c r="A13743" i="1"/>
  <c r="B13743" i="1"/>
  <c r="C13743" i="1"/>
  <c r="A7435" i="1"/>
  <c r="B7435" i="1"/>
  <c r="C7435" i="1"/>
  <c r="A11321" i="1"/>
  <c r="B11321" i="1"/>
  <c r="C11321" i="1"/>
  <c r="A13217" i="1"/>
  <c r="B13217" i="1"/>
  <c r="C13217" i="1"/>
  <c r="A6528" i="1"/>
  <c r="B6528" i="1"/>
  <c r="C6528" i="1"/>
  <c r="A8643" i="1"/>
  <c r="B8643" i="1"/>
  <c r="C8643" i="1"/>
  <c r="A7634" i="1"/>
  <c r="B7634" i="1"/>
  <c r="C7634" i="1"/>
  <c r="A7276" i="1"/>
  <c r="B7276" i="1"/>
  <c r="C7276" i="1"/>
  <c r="A489" i="1"/>
  <c r="B489" i="1"/>
  <c r="C489" i="1"/>
  <c r="A9971" i="1"/>
  <c r="B9971" i="1"/>
  <c r="C9971" i="1"/>
  <c r="A6624" i="1"/>
  <c r="B6624" i="1"/>
  <c r="C6624" i="1"/>
  <c r="A6625" i="1"/>
  <c r="B6625" i="1"/>
  <c r="C6625" i="1"/>
  <c r="A3490" i="1"/>
  <c r="B3490" i="1"/>
  <c r="C3490" i="1"/>
  <c r="A3768" i="1"/>
  <c r="B3768" i="1"/>
  <c r="C3768" i="1"/>
  <c r="A8863" i="1"/>
  <c r="B8863" i="1"/>
  <c r="C8863" i="1"/>
  <c r="A622" i="1"/>
  <c r="B622" i="1"/>
  <c r="C622" i="1"/>
  <c r="A13523" i="1"/>
  <c r="B13523" i="1"/>
  <c r="C13523" i="1"/>
  <c r="A12154" i="1"/>
  <c r="B12154" i="1"/>
  <c r="C12154" i="1"/>
  <c r="A9107" i="1"/>
  <c r="B9107" i="1"/>
  <c r="C9107" i="1"/>
  <c r="A10608" i="1"/>
  <c r="B10608" i="1"/>
  <c r="C10608" i="1"/>
  <c r="A10433" i="1"/>
  <c r="B10433" i="1"/>
  <c r="C10433" i="1"/>
  <c r="A2982" i="1"/>
  <c r="B2982" i="1"/>
  <c r="C2982" i="1"/>
  <c r="A2430" i="1"/>
  <c r="B2430" i="1"/>
  <c r="C2430" i="1"/>
  <c r="A2432" i="1"/>
  <c r="B2432" i="1"/>
  <c r="C2432" i="1"/>
  <c r="A2431" i="1"/>
  <c r="B2431" i="1"/>
  <c r="C2431" i="1"/>
  <c r="A2188" i="1"/>
  <c r="B2188" i="1"/>
  <c r="C2188" i="1"/>
  <c r="A13813" i="1"/>
  <c r="B13813" i="1"/>
  <c r="C13813" i="1"/>
  <c r="A13308" i="1"/>
  <c r="B13308" i="1"/>
  <c r="C13308" i="1"/>
  <c r="A5286" i="1"/>
  <c r="B5286" i="1"/>
  <c r="C5286" i="1"/>
  <c r="A5712" i="1"/>
  <c r="B5712" i="1"/>
  <c r="C5712" i="1"/>
  <c r="A13791" i="1"/>
  <c r="B13791" i="1"/>
  <c r="C13791" i="1"/>
  <c r="A2242" i="1"/>
  <c r="B2242" i="1"/>
  <c r="C2242" i="1"/>
  <c r="A6186" i="1"/>
  <c r="B6186" i="1"/>
  <c r="C6186" i="1"/>
  <c r="A8089" i="1"/>
  <c r="B8089" i="1"/>
  <c r="C8089" i="1"/>
  <c r="A446" i="1"/>
  <c r="B446" i="1"/>
  <c r="C446" i="1"/>
  <c r="A447" i="1"/>
  <c r="B447" i="1"/>
  <c r="C447" i="1"/>
  <c r="A13531" i="1"/>
  <c r="B13531" i="1"/>
  <c r="C13531" i="1"/>
  <c r="A321" i="1"/>
  <c r="B321" i="1"/>
  <c r="C321" i="1"/>
  <c r="A2210" i="1"/>
  <c r="B2210" i="1"/>
  <c r="C2210" i="1"/>
  <c r="A2878" i="1"/>
  <c r="B2878" i="1"/>
  <c r="C2878" i="1"/>
  <c r="A5503" i="1"/>
  <c r="B5503" i="1"/>
  <c r="C5503" i="1"/>
  <c r="A11192" i="1"/>
  <c r="B11192" i="1"/>
  <c r="C11192" i="1"/>
  <c r="A11193" i="1"/>
  <c r="B11193" i="1"/>
  <c r="C11193" i="1"/>
  <c r="A8152" i="1"/>
  <c r="B8152" i="1"/>
  <c r="C8152" i="1"/>
  <c r="A6783" i="1"/>
  <c r="B6783" i="1"/>
  <c r="C6783" i="1"/>
  <c r="A6784" i="1"/>
  <c r="B6784" i="1"/>
  <c r="C6784" i="1"/>
  <c r="A1630" i="1"/>
  <c r="B1630" i="1"/>
  <c r="C1630" i="1"/>
  <c r="A6785" i="1"/>
  <c r="B6785" i="1"/>
  <c r="C6785" i="1"/>
  <c r="A13532" i="1"/>
  <c r="B13532" i="1"/>
  <c r="C13532" i="1"/>
  <c r="A6046" i="1"/>
  <c r="B6046" i="1"/>
  <c r="C6046" i="1"/>
  <c r="A10513" i="1"/>
  <c r="B10513" i="1"/>
  <c r="C10513" i="1"/>
  <c r="A2350" i="1"/>
  <c r="B2350" i="1"/>
  <c r="C2350" i="1"/>
  <c r="A10885" i="1"/>
  <c r="B10885" i="1"/>
  <c r="C10885" i="1"/>
  <c r="A1706" i="1"/>
  <c r="B1706" i="1"/>
  <c r="C1706" i="1"/>
  <c r="A8975" i="1"/>
  <c r="B8975" i="1"/>
  <c r="C8975" i="1"/>
  <c r="A1523" i="1"/>
  <c r="B1523" i="1"/>
  <c r="C1523" i="1"/>
  <c r="A4517" i="1"/>
  <c r="B4517" i="1"/>
  <c r="C4517" i="1"/>
  <c r="A5945" i="1"/>
  <c r="B5945" i="1"/>
  <c r="C5945" i="1"/>
  <c r="A2457" i="1"/>
  <c r="B2457" i="1"/>
  <c r="C2457" i="1"/>
  <c r="A8097" i="1"/>
  <c r="B8097" i="1"/>
  <c r="C8097" i="1"/>
  <c r="A10901" i="1"/>
  <c r="B10901" i="1"/>
  <c r="C10901" i="1"/>
  <c r="A13518" i="1"/>
  <c r="B13518" i="1"/>
  <c r="C13518" i="1"/>
  <c r="A9869" i="1"/>
  <c r="B9869" i="1"/>
  <c r="C9869" i="1"/>
  <c r="A3106" i="1"/>
  <c r="B3106" i="1"/>
  <c r="C3106" i="1"/>
  <c r="A5265" i="1"/>
  <c r="B5265" i="1"/>
  <c r="C5265" i="1"/>
  <c r="A294" i="1"/>
  <c r="B294" i="1"/>
  <c r="C294" i="1"/>
  <c r="A295" i="1"/>
  <c r="B295" i="1"/>
  <c r="C295" i="1"/>
  <c r="A12764" i="1"/>
  <c r="B12764" i="1"/>
  <c r="C12764" i="1"/>
  <c r="A13789" i="1"/>
  <c r="B13789" i="1"/>
  <c r="C13789" i="1"/>
  <c r="A3855" i="1"/>
  <c r="B3855" i="1"/>
  <c r="C3855" i="1"/>
  <c r="A9562" i="1"/>
  <c r="B9562" i="1"/>
  <c r="C9562" i="1"/>
  <c r="A2313" i="1"/>
  <c r="B2313" i="1"/>
  <c r="C2313" i="1"/>
  <c r="A4451" i="1"/>
  <c r="B4451" i="1"/>
  <c r="C4451" i="1"/>
  <c r="A2700" i="1"/>
  <c r="B2700" i="1"/>
  <c r="C2700" i="1"/>
  <c r="A2701" i="1"/>
  <c r="B2701" i="1"/>
  <c r="C2701" i="1"/>
  <c r="A2702" i="1"/>
  <c r="B2702" i="1"/>
  <c r="C2702" i="1"/>
  <c r="A2463" i="1"/>
  <c r="B2463" i="1"/>
  <c r="C2463" i="1"/>
  <c r="A8179" i="1"/>
  <c r="B8179" i="1"/>
  <c r="C8179" i="1"/>
  <c r="A8566" i="1"/>
  <c r="B8566" i="1"/>
  <c r="C8566" i="1"/>
  <c r="A1371" i="1"/>
  <c r="B1371" i="1"/>
  <c r="C1371" i="1"/>
  <c r="A6696" i="1"/>
  <c r="B6696" i="1"/>
  <c r="C6696" i="1"/>
  <c r="A8186" i="1"/>
  <c r="B8186" i="1"/>
  <c r="C8186" i="1"/>
  <c r="A12040" i="1"/>
  <c r="B12040" i="1"/>
  <c r="C12040" i="1"/>
  <c r="A9658" i="1"/>
  <c r="B9658" i="1"/>
  <c r="C9658" i="1"/>
  <c r="A1045" i="1"/>
  <c r="B1045" i="1"/>
  <c r="C1045" i="1"/>
  <c r="A6593" i="1"/>
  <c r="B6593" i="1"/>
  <c r="C6593" i="1"/>
  <c r="A8916" i="1"/>
  <c r="B8916" i="1"/>
  <c r="C8916" i="1"/>
  <c r="A3577" i="1"/>
  <c r="B3577" i="1"/>
  <c r="C3577" i="1"/>
  <c r="A6793" i="1"/>
  <c r="B6793" i="1"/>
  <c r="C6793" i="1"/>
  <c r="A8314" i="1"/>
  <c r="B8314" i="1"/>
  <c r="C8314" i="1"/>
  <c r="A7235" i="1"/>
  <c r="B7235" i="1"/>
  <c r="C7235" i="1"/>
  <c r="A3125" i="1"/>
  <c r="B3125" i="1"/>
  <c r="C3125" i="1"/>
  <c r="A13127" i="1"/>
  <c r="B13127" i="1"/>
  <c r="C13127" i="1"/>
  <c r="A5736" i="1"/>
  <c r="B5736" i="1"/>
  <c r="C5736" i="1"/>
  <c r="A10810" i="1"/>
  <c r="B10810" i="1"/>
  <c r="C10810" i="1"/>
  <c r="A9878" i="1"/>
  <c r="B9878" i="1"/>
  <c r="C9878" i="1"/>
  <c r="A8825" i="1"/>
  <c r="B8825" i="1"/>
  <c r="C8825" i="1"/>
  <c r="A5585" i="1"/>
  <c r="B5585" i="1"/>
  <c r="C5585" i="1"/>
  <c r="A10062" i="1"/>
  <c r="B10062" i="1"/>
  <c r="C10062" i="1"/>
  <c r="A4045" i="1"/>
  <c r="B4045" i="1"/>
  <c r="C4045" i="1"/>
  <c r="A1912" i="1"/>
  <c r="B1912" i="1"/>
  <c r="C1912" i="1"/>
  <c r="A319" i="1"/>
  <c r="B319" i="1"/>
  <c r="C319" i="1"/>
  <c r="A9368" i="1"/>
  <c r="B9368" i="1"/>
  <c r="C9368" i="1"/>
  <c r="A2302" i="1"/>
  <c r="B2302" i="1"/>
  <c r="C2302" i="1"/>
  <c r="A9212" i="1"/>
  <c r="B9212" i="1"/>
  <c r="C9212" i="1"/>
  <c r="A320" i="1"/>
  <c r="B320" i="1"/>
  <c r="C320" i="1"/>
  <c r="A3451" i="1"/>
  <c r="B3451" i="1"/>
  <c r="C3451" i="1"/>
  <c r="A2314" i="1"/>
  <c r="B2314" i="1"/>
  <c r="C2314" i="1"/>
  <c r="A6391" i="1"/>
  <c r="B6391" i="1"/>
  <c r="C6391" i="1"/>
  <c r="A9780" i="1"/>
  <c r="B9780" i="1"/>
  <c r="C9780" i="1"/>
  <c r="A11928" i="1"/>
  <c r="B11928" i="1"/>
  <c r="C11928" i="1"/>
  <c r="A1261" i="1"/>
  <c r="B1261" i="1"/>
  <c r="C1261" i="1"/>
  <c r="A4642" i="1"/>
  <c r="B4642" i="1"/>
  <c r="C4642" i="1"/>
  <c r="A2450" i="1"/>
  <c r="B2450" i="1"/>
  <c r="C2450" i="1"/>
  <c r="A2315" i="1"/>
  <c r="B2315" i="1"/>
  <c r="C2315" i="1"/>
  <c r="A549" i="1"/>
  <c r="B549" i="1"/>
  <c r="C549" i="1"/>
  <c r="A3197" i="1"/>
  <c r="B3197" i="1"/>
  <c r="C3197" i="1"/>
  <c r="A13819" i="1"/>
  <c r="B13819" i="1"/>
  <c r="C13819" i="1"/>
  <c r="A1723" i="1"/>
  <c r="B1723" i="1"/>
  <c r="C1723" i="1"/>
  <c r="A11893" i="1"/>
  <c r="B11893" i="1"/>
  <c r="C11893" i="1"/>
  <c r="A628" i="1"/>
  <c r="B628" i="1"/>
  <c r="C628" i="1"/>
  <c r="A629" i="1"/>
  <c r="B629" i="1"/>
  <c r="C629" i="1"/>
  <c r="A11678" i="1"/>
  <c r="B11678" i="1"/>
  <c r="C11678" i="1"/>
  <c r="A5720" i="1"/>
  <c r="B5720" i="1"/>
  <c r="C5720" i="1"/>
  <c r="A9494" i="1"/>
  <c r="B9494" i="1"/>
  <c r="C9494" i="1"/>
  <c r="A8567" i="1"/>
  <c r="B8567" i="1"/>
  <c r="C8567" i="1"/>
  <c r="A724" i="1"/>
  <c r="B724" i="1"/>
  <c r="C724" i="1"/>
  <c r="A9357" i="1"/>
  <c r="B9357" i="1"/>
  <c r="C9357" i="1"/>
  <c r="A10971" i="1"/>
  <c r="B10971" i="1"/>
  <c r="C10971" i="1"/>
  <c r="A8282" i="1"/>
  <c r="B8282" i="1"/>
  <c r="C8282" i="1"/>
  <c r="A3280" i="1"/>
  <c r="B3280" i="1"/>
  <c r="C3280" i="1"/>
  <c r="A13608" i="1"/>
  <c r="B13608" i="1"/>
  <c r="C13608" i="1"/>
  <c r="A593" i="1"/>
  <c r="B593" i="1"/>
  <c r="C593" i="1"/>
  <c r="A3198" i="1"/>
  <c r="B3198" i="1"/>
  <c r="C3198" i="1"/>
  <c r="A6540" i="1"/>
  <c r="B6540" i="1"/>
  <c r="C6540" i="1"/>
  <c r="A9066" i="1"/>
  <c r="B9066" i="1"/>
  <c r="C9066" i="1"/>
  <c r="A12768" i="1"/>
  <c r="B12768" i="1"/>
  <c r="C12768" i="1"/>
  <c r="A4900" i="1"/>
  <c r="B4900" i="1"/>
  <c r="C4900" i="1"/>
  <c r="A3609" i="1"/>
  <c r="B3609" i="1"/>
  <c r="C3609" i="1"/>
  <c r="A3610" i="1"/>
  <c r="B3610" i="1"/>
  <c r="C3610" i="1"/>
  <c r="A2573" i="1"/>
  <c r="B2573" i="1"/>
  <c r="C2573" i="1"/>
  <c r="A2575" i="1"/>
  <c r="B2575" i="1"/>
  <c r="C2575" i="1"/>
  <c r="A2576" i="1"/>
  <c r="B2576" i="1"/>
  <c r="C2576" i="1"/>
  <c r="A10453" i="1"/>
  <c r="B10453" i="1"/>
  <c r="C10453" i="1"/>
  <c r="A4811" i="1"/>
  <c r="B4811" i="1"/>
  <c r="C4811" i="1"/>
  <c r="A1783" i="1"/>
  <c r="B1783" i="1"/>
  <c r="C1783" i="1"/>
  <c r="A8156" i="1"/>
  <c r="B8156" i="1"/>
  <c r="C8156" i="1"/>
  <c r="A2041" i="1"/>
  <c r="B2041" i="1"/>
  <c r="C2041" i="1"/>
  <c r="A1429" i="1"/>
  <c r="B1429" i="1"/>
  <c r="C1429" i="1"/>
  <c r="A8908" i="1"/>
  <c r="B8908" i="1"/>
  <c r="C8908" i="1"/>
  <c r="A891" i="1"/>
  <c r="B891" i="1"/>
  <c r="C891" i="1"/>
  <c r="A4510" i="1"/>
  <c r="B4510" i="1"/>
  <c r="C4510" i="1"/>
  <c r="A4758" i="1"/>
  <c r="B4758" i="1"/>
  <c r="C4758" i="1"/>
  <c r="A4759" i="1"/>
  <c r="B4759" i="1"/>
  <c r="C4759" i="1"/>
  <c r="A4760" i="1"/>
  <c r="B4760" i="1"/>
  <c r="C4760" i="1"/>
  <c r="A9761" i="1"/>
  <c r="B9761" i="1"/>
  <c r="C9761" i="1"/>
  <c r="A1375" i="1"/>
  <c r="B1375" i="1"/>
  <c r="C1375" i="1"/>
  <c r="A13344" i="1"/>
  <c r="B13344" i="1"/>
  <c r="C13344" i="1"/>
  <c r="A13345" i="1"/>
  <c r="B13345" i="1"/>
  <c r="C13345" i="1"/>
  <c r="A10812" i="1"/>
  <c r="B10812" i="1"/>
  <c r="C10812" i="1"/>
  <c r="A4480" i="1"/>
  <c r="B4480" i="1"/>
  <c r="C4480" i="1"/>
  <c r="A12906" i="1"/>
  <c r="B12906" i="1"/>
  <c r="C12906" i="1"/>
  <c r="A11570" i="1"/>
  <c r="B11570" i="1"/>
  <c r="C11570" i="1"/>
  <c r="A675" i="1"/>
  <c r="B675" i="1"/>
  <c r="C675" i="1"/>
  <c r="A6230" i="1"/>
  <c r="B6230" i="1"/>
  <c r="C6230" i="1"/>
  <c r="A12907" i="1"/>
  <c r="B12907" i="1"/>
  <c r="C12907" i="1"/>
  <c r="A1052" i="1"/>
  <c r="B1052" i="1"/>
  <c r="C1052" i="1"/>
  <c r="A2942" i="1"/>
  <c r="B2942" i="1"/>
  <c r="C2942" i="1"/>
  <c r="A11859" i="1"/>
  <c r="B11859" i="1"/>
  <c r="C11859" i="1"/>
  <c r="A10906" i="1"/>
  <c r="B10906" i="1"/>
  <c r="C10906" i="1"/>
  <c r="A10907" i="1"/>
  <c r="B10907" i="1"/>
  <c r="C10907" i="1"/>
  <c r="A807" i="1"/>
  <c r="B807" i="1"/>
  <c r="C807" i="1"/>
  <c r="A3785" i="1"/>
  <c r="B3785" i="1"/>
  <c r="C3785" i="1"/>
  <c r="A8902" i="1"/>
  <c r="B8902" i="1"/>
  <c r="C8902" i="1"/>
  <c r="A3026" i="1"/>
  <c r="B3026" i="1"/>
  <c r="C3026" i="1"/>
  <c r="A8151" i="1"/>
  <c r="B8151" i="1"/>
  <c r="C8151" i="1"/>
  <c r="A5790" i="1"/>
  <c r="B5790" i="1"/>
  <c r="C5790" i="1"/>
  <c r="A13541" i="1"/>
  <c r="B13541" i="1"/>
  <c r="C13541" i="1"/>
  <c r="A4469" i="1"/>
  <c r="B4469" i="1"/>
  <c r="C4469" i="1"/>
  <c r="A10982" i="1"/>
  <c r="B10982" i="1"/>
  <c r="C10982" i="1"/>
  <c r="A11372" i="1"/>
  <c r="B11372" i="1"/>
  <c r="C11372" i="1"/>
  <c r="A782" i="1"/>
  <c r="B782" i="1"/>
  <c r="C782" i="1"/>
  <c r="A13277" i="1"/>
  <c r="B13277" i="1"/>
  <c r="C13277" i="1"/>
  <c r="A8857" i="1"/>
  <c r="B8857" i="1"/>
  <c r="C8857" i="1"/>
  <c r="A11576" i="1"/>
  <c r="B11576" i="1"/>
  <c r="C11576" i="1"/>
  <c r="A13278" i="1"/>
  <c r="B13278" i="1"/>
  <c r="C13278" i="1"/>
  <c r="A1178" i="1"/>
  <c r="B1178" i="1"/>
  <c r="C1178" i="1"/>
  <c r="A4670" i="1"/>
  <c r="B4670" i="1"/>
  <c r="C4670" i="1"/>
  <c r="A9217" i="1"/>
  <c r="B9217" i="1"/>
  <c r="C9217" i="1"/>
  <c r="A1483" i="1"/>
  <c r="B1483" i="1"/>
  <c r="C1483" i="1"/>
  <c r="A11225" i="1"/>
  <c r="B11225" i="1"/>
  <c r="C11225" i="1"/>
  <c r="A7345" i="1"/>
  <c r="B7345" i="1"/>
  <c r="C7345" i="1"/>
  <c r="A13709" i="1"/>
  <c r="B13709" i="1"/>
  <c r="C13709" i="1"/>
  <c r="A6827" i="1"/>
  <c r="B6827" i="1"/>
  <c r="C6827" i="1"/>
  <c r="A6828" i="1"/>
  <c r="B6828" i="1"/>
  <c r="C6828" i="1"/>
  <c r="A10983" i="1"/>
  <c r="B10983" i="1"/>
  <c r="C10983" i="1"/>
  <c r="A10984" i="1"/>
  <c r="B10984" i="1"/>
  <c r="C10984" i="1"/>
  <c r="A3989" i="1"/>
  <c r="B3989" i="1"/>
  <c r="C3989" i="1"/>
  <c r="A11564" i="1"/>
  <c r="B11564" i="1"/>
  <c r="C11564" i="1"/>
  <c r="A8802" i="1"/>
  <c r="B8802" i="1"/>
  <c r="C8802" i="1"/>
  <c r="A4765" i="1"/>
  <c r="B4765" i="1"/>
  <c r="C4765" i="1"/>
  <c r="A6265" i="1"/>
  <c r="B6265" i="1"/>
  <c r="C6265" i="1"/>
  <c r="A10554" i="1"/>
  <c r="B10554" i="1"/>
  <c r="C10554" i="1"/>
  <c r="A11008" i="1"/>
  <c r="B11008" i="1"/>
  <c r="C11008" i="1"/>
  <c r="A10987" i="1"/>
  <c r="B10987" i="1"/>
  <c r="C10987" i="1"/>
  <c r="A3868" i="1"/>
  <c r="B3868" i="1"/>
  <c r="C3868" i="1"/>
  <c r="A1918" i="1"/>
  <c r="B1918" i="1"/>
  <c r="C1918" i="1"/>
  <c r="A1919" i="1"/>
  <c r="B1919" i="1"/>
  <c r="C1919" i="1"/>
  <c r="A1920" i="1"/>
  <c r="B1920" i="1"/>
  <c r="C1920" i="1"/>
  <c r="A1921" i="1"/>
  <c r="B1921" i="1"/>
  <c r="C1921" i="1"/>
  <c r="A3397" i="1"/>
  <c r="B3397" i="1"/>
  <c r="C3397" i="1"/>
  <c r="A2692" i="1"/>
  <c r="B2692" i="1"/>
  <c r="C2692" i="1"/>
  <c r="A8862" i="1"/>
  <c r="B8862" i="1"/>
  <c r="C8862" i="1"/>
  <c r="A457" i="1"/>
  <c r="B457" i="1"/>
  <c r="C457" i="1"/>
  <c r="A6829" i="1"/>
  <c r="B6829" i="1"/>
  <c r="C6829" i="1"/>
  <c r="A4613" i="1"/>
  <c r="B4613" i="1"/>
  <c r="C4613" i="1"/>
  <c r="A10974" i="1"/>
  <c r="B10974" i="1"/>
  <c r="C10974" i="1"/>
  <c r="A497" i="1"/>
  <c r="B497" i="1"/>
  <c r="C497" i="1"/>
  <c r="A13442" i="1"/>
  <c r="B13442" i="1"/>
  <c r="C13442" i="1"/>
  <c r="A13542" i="1"/>
  <c r="B13542" i="1"/>
  <c r="C13542" i="1"/>
  <c r="A6244" i="1"/>
  <c r="B6244" i="1"/>
  <c r="C6244" i="1"/>
  <c r="A4841" i="1"/>
  <c r="B4841" i="1"/>
  <c r="C4841" i="1"/>
  <c r="A11925" i="1"/>
  <c r="B11925" i="1"/>
  <c r="C11925" i="1"/>
  <c r="A3651" i="1"/>
  <c r="B3651" i="1"/>
  <c r="C3651" i="1"/>
  <c r="A9833" i="1"/>
  <c r="B9833" i="1"/>
  <c r="C9833" i="1"/>
  <c r="A12188" i="1"/>
  <c r="B12188" i="1"/>
  <c r="C12188" i="1"/>
  <c r="A1832" i="1"/>
  <c r="B1832" i="1"/>
  <c r="C1832" i="1"/>
  <c r="A1760" i="1"/>
  <c r="B1760" i="1"/>
  <c r="C1760" i="1"/>
  <c r="A2710" i="1"/>
  <c r="B2710" i="1"/>
  <c r="C2710" i="1"/>
  <c r="A4646" i="1"/>
  <c r="B4646" i="1"/>
  <c r="C4646" i="1"/>
  <c r="A9916" i="1"/>
  <c r="B9916" i="1"/>
  <c r="C9916" i="1"/>
  <c r="A11298" i="1"/>
  <c r="B11298" i="1"/>
  <c r="C11298" i="1"/>
  <c r="A13403" i="1"/>
  <c r="B13403" i="1"/>
  <c r="C13403" i="1"/>
  <c r="A1103" i="1"/>
  <c r="B1103" i="1"/>
  <c r="C1103" i="1"/>
  <c r="A12489" i="1"/>
  <c r="B12489" i="1"/>
  <c r="C12489" i="1"/>
  <c r="A8636" i="1"/>
  <c r="B8636" i="1"/>
  <c r="C8636" i="1"/>
  <c r="A2608" i="1"/>
  <c r="B2608" i="1"/>
  <c r="C2608" i="1"/>
  <c r="A7642" i="1"/>
  <c r="B7642" i="1"/>
  <c r="C7642" i="1"/>
  <c r="A6171" i="1"/>
  <c r="B6171" i="1"/>
  <c r="C6171" i="1"/>
  <c r="A12965" i="1"/>
  <c r="B12965" i="1"/>
  <c r="C12965" i="1"/>
  <c r="A7564" i="1"/>
  <c r="B7564" i="1"/>
  <c r="C7564" i="1"/>
  <c r="A8205" i="1"/>
  <c r="B8205" i="1"/>
  <c r="C8205" i="1"/>
  <c r="A8361" i="1"/>
  <c r="B8361" i="1"/>
  <c r="C8361" i="1"/>
  <c r="A1581" i="1"/>
  <c r="B1581" i="1"/>
  <c r="C1581" i="1"/>
  <c r="A3565" i="1"/>
  <c r="B3565" i="1"/>
  <c r="C3565" i="1"/>
  <c r="A5883" i="1"/>
  <c r="B5883" i="1"/>
  <c r="C5883" i="1"/>
  <c r="A2609" i="1"/>
  <c r="B2609" i="1"/>
  <c r="C2609" i="1"/>
  <c r="A11613" i="1"/>
  <c r="B11613" i="1"/>
  <c r="C11613" i="1"/>
  <c r="A4687" i="1"/>
  <c r="B4687" i="1"/>
  <c r="C4687" i="1"/>
  <c r="A10220" i="1"/>
  <c r="B10220" i="1"/>
  <c r="C10220" i="1"/>
  <c r="A7823" i="1"/>
  <c r="B7823" i="1"/>
  <c r="C7823" i="1"/>
  <c r="A13936" i="1"/>
  <c r="B13936" i="1"/>
  <c r="C13936" i="1"/>
  <c r="A13461" i="1"/>
  <c r="B13461" i="1"/>
  <c r="C13461" i="1"/>
  <c r="A12357" i="1"/>
  <c r="B12357" i="1"/>
  <c r="C12357" i="1"/>
  <c r="A951" i="1"/>
  <c r="B951" i="1"/>
  <c r="C951" i="1"/>
  <c r="A917" i="1"/>
  <c r="B917" i="1"/>
  <c r="C917" i="1"/>
  <c r="A8249" i="1"/>
  <c r="B8249" i="1"/>
  <c r="C8249" i="1"/>
  <c r="A5986" i="1"/>
  <c r="B5986" i="1"/>
  <c r="C5986" i="1"/>
  <c r="A8883" i="1"/>
  <c r="B8883" i="1"/>
  <c r="C8883" i="1"/>
  <c r="A11344" i="1"/>
  <c r="B11344" i="1"/>
  <c r="C11344" i="1"/>
  <c r="A9648" i="1"/>
  <c r="B9648" i="1"/>
  <c r="C9648" i="1"/>
  <c r="A13954" i="1"/>
  <c r="B13954" i="1"/>
  <c r="C13954" i="1"/>
  <c r="A1062" i="1"/>
  <c r="B1062" i="1"/>
  <c r="C1062" i="1"/>
  <c r="A8885" i="1"/>
  <c r="B8885" i="1"/>
  <c r="C8885" i="1"/>
  <c r="A7394" i="1"/>
  <c r="B7394" i="1"/>
  <c r="C7394" i="1"/>
  <c r="A8358" i="1"/>
  <c r="B8358" i="1"/>
  <c r="C8358" i="1"/>
  <c r="A7164" i="1"/>
  <c r="B7164" i="1"/>
  <c r="C7164" i="1"/>
  <c r="A1603" i="1"/>
  <c r="B1603" i="1"/>
  <c r="C1603" i="1"/>
  <c r="A9420" i="1"/>
  <c r="B9420" i="1"/>
  <c r="C9420" i="1"/>
  <c r="A4165" i="1"/>
  <c r="B4165" i="1"/>
  <c r="C4165" i="1"/>
  <c r="A13019" i="1"/>
  <c r="B13019" i="1"/>
  <c r="C13019" i="1"/>
  <c r="A440" i="1"/>
  <c r="B440" i="1"/>
  <c r="C440" i="1"/>
  <c r="A2386" i="1"/>
  <c r="B2386" i="1"/>
  <c r="C2386" i="1"/>
  <c r="A2387" i="1"/>
  <c r="B2387" i="1"/>
  <c r="C2387" i="1"/>
  <c r="A11711" i="1"/>
  <c r="B11711" i="1"/>
  <c r="C11711" i="1"/>
  <c r="A2388" i="1"/>
  <c r="B2388" i="1"/>
  <c r="C2388" i="1"/>
  <c r="A6953" i="1"/>
  <c r="B6953" i="1"/>
  <c r="C6953" i="1"/>
  <c r="A7699" i="1"/>
  <c r="B7699" i="1"/>
  <c r="C7699" i="1"/>
  <c r="A4425" i="1"/>
  <c r="B4425" i="1"/>
  <c r="C4425" i="1"/>
  <c r="A13293" i="1"/>
  <c r="B13293" i="1"/>
  <c r="C13293" i="1"/>
  <c r="A10342" i="1"/>
  <c r="B10342" i="1"/>
  <c r="C10342" i="1"/>
  <c r="A5961" i="1"/>
  <c r="B5961" i="1"/>
  <c r="C5961" i="1"/>
  <c r="A7850" i="1"/>
  <c r="B7850" i="1"/>
  <c r="C7850" i="1"/>
  <c r="A10538" i="1"/>
  <c r="B10538" i="1"/>
  <c r="C10538" i="1"/>
  <c r="A5025" i="1"/>
  <c r="B5025" i="1"/>
  <c r="C5025" i="1"/>
  <c r="A5434" i="1"/>
  <c r="B5434" i="1"/>
  <c r="C5434" i="1"/>
  <c r="A8684" i="1"/>
  <c r="B8684" i="1"/>
  <c r="C8684" i="1"/>
  <c r="A8761" i="1"/>
  <c r="B8761" i="1"/>
  <c r="C8761" i="1"/>
  <c r="A4416" i="1"/>
  <c r="B4416" i="1"/>
  <c r="C4416" i="1"/>
  <c r="A13400" i="1"/>
  <c r="B13400" i="1"/>
  <c r="C13400" i="1"/>
  <c r="A2738" i="1"/>
  <c r="B2738" i="1"/>
  <c r="C2738" i="1"/>
  <c r="A10583" i="1"/>
  <c r="B10583" i="1"/>
  <c r="C10583" i="1"/>
  <c r="A2461" i="1"/>
  <c r="B2461" i="1"/>
  <c r="C2461" i="1"/>
  <c r="A3179" i="1"/>
  <c r="B3179" i="1"/>
  <c r="C3179" i="1"/>
  <c r="A2316" i="1"/>
  <c r="B2316" i="1"/>
  <c r="C2316" i="1"/>
  <c r="A6749" i="1"/>
  <c r="B6749" i="1"/>
  <c r="C6749" i="1"/>
  <c r="A6750" i="1"/>
  <c r="B6750" i="1"/>
  <c r="C6750" i="1"/>
  <c r="A6751" i="1"/>
  <c r="B6751" i="1"/>
  <c r="C6751" i="1"/>
  <c r="A6752" i="1"/>
  <c r="B6752" i="1"/>
  <c r="C6752" i="1"/>
  <c r="A7780" i="1"/>
  <c r="B7780" i="1"/>
  <c r="C7780" i="1"/>
  <c r="A7781" i="1"/>
  <c r="B7781" i="1"/>
  <c r="C7781" i="1"/>
  <c r="A4018" i="1"/>
  <c r="B4018" i="1"/>
  <c r="C4018" i="1"/>
  <c r="A6700" i="1"/>
  <c r="B6700" i="1"/>
  <c r="C6700" i="1"/>
  <c r="A8858" i="1"/>
  <c r="B8858" i="1"/>
  <c r="C8858" i="1"/>
  <c r="A9108" i="1"/>
  <c r="B9108" i="1"/>
  <c r="C9108" i="1"/>
  <c r="A9109" i="1"/>
  <c r="B9109" i="1"/>
  <c r="C9109" i="1"/>
  <c r="A10730" i="1"/>
  <c r="B10730" i="1"/>
  <c r="C10730" i="1"/>
  <c r="A12643" i="1"/>
  <c r="B12643" i="1"/>
  <c r="C12643" i="1"/>
  <c r="A3003" i="1"/>
  <c r="B3003" i="1"/>
  <c r="C3003" i="1"/>
  <c r="A11265" i="1"/>
  <c r="B11265" i="1"/>
  <c r="C11265" i="1"/>
  <c r="A11666" i="1"/>
  <c r="B11666" i="1"/>
  <c r="C11666" i="1"/>
  <c r="A6721" i="1"/>
  <c r="B6721" i="1"/>
  <c r="C6721" i="1"/>
  <c r="A10138" i="1"/>
  <c r="B10138" i="1"/>
  <c r="C10138" i="1"/>
  <c r="A10040" i="1"/>
  <c r="B10040" i="1"/>
  <c r="C10040" i="1"/>
  <c r="A1766" i="1"/>
  <c r="B1766" i="1"/>
  <c r="C1766" i="1"/>
  <c r="A7485" i="1"/>
  <c r="B7485" i="1"/>
  <c r="C7485" i="1"/>
  <c r="A6031" i="1"/>
  <c r="B6031" i="1"/>
  <c r="C6031" i="1"/>
  <c r="A2780" i="1"/>
  <c r="B2780" i="1"/>
  <c r="C2780" i="1"/>
  <c r="A1768" i="1"/>
  <c r="B1768" i="1"/>
  <c r="C1768" i="1"/>
  <c r="A2178" i="1"/>
  <c r="B2178" i="1"/>
  <c r="C2178" i="1"/>
  <c r="A5230" i="1"/>
  <c r="B5230" i="1"/>
  <c r="C5230" i="1"/>
  <c r="A1653" i="1"/>
  <c r="B1653" i="1"/>
  <c r="C1653" i="1"/>
  <c r="A2138" i="1"/>
  <c r="B2138" i="1"/>
  <c r="C2138" i="1"/>
  <c r="A9685" i="1"/>
  <c r="B9685" i="1"/>
  <c r="C9685" i="1"/>
  <c r="A12277" i="1"/>
  <c r="B12277" i="1"/>
  <c r="C12277" i="1"/>
  <c r="A3590" i="1"/>
  <c r="B3590" i="1"/>
  <c r="C3590" i="1"/>
  <c r="A4448" i="1"/>
  <c r="B4448" i="1"/>
  <c r="C4448" i="1"/>
  <c r="A6404" i="1"/>
  <c r="B6404" i="1"/>
  <c r="C6404" i="1"/>
  <c r="A12644" i="1"/>
  <c r="B12644" i="1"/>
  <c r="C12644" i="1"/>
  <c r="A11302" i="1"/>
  <c r="B11302" i="1"/>
  <c r="C11302" i="1"/>
  <c r="A10402" i="1"/>
  <c r="B10402" i="1"/>
  <c r="C10402" i="1"/>
  <c r="A4072" i="1"/>
  <c r="B4072" i="1"/>
  <c r="C4072" i="1"/>
  <c r="A6608" i="1"/>
  <c r="B6608" i="1"/>
  <c r="C6608" i="1"/>
  <c r="A1767" i="1"/>
  <c r="B1767" i="1"/>
  <c r="C1767" i="1"/>
  <c r="A3955" i="1"/>
  <c r="B3955" i="1"/>
  <c r="C3955" i="1"/>
  <c r="A6040" i="1"/>
  <c r="B6040" i="1"/>
  <c r="C6040" i="1"/>
  <c r="A6876" i="1"/>
  <c r="B6876" i="1"/>
  <c r="C6876" i="1"/>
  <c r="A11734" i="1"/>
  <c r="B11734" i="1"/>
  <c r="C11734" i="1"/>
  <c r="A1665" i="1"/>
  <c r="B1665" i="1"/>
  <c r="C1665" i="1"/>
  <c r="A8064" i="1"/>
  <c r="B8064" i="1"/>
  <c r="C8064" i="1"/>
  <c r="A5201" i="1"/>
  <c r="B5201" i="1"/>
  <c r="C5201" i="1"/>
  <c r="A5895" i="1"/>
  <c r="B5895" i="1"/>
  <c r="C5895" i="1"/>
  <c r="A11417" i="1"/>
  <c r="B11417" i="1"/>
  <c r="C11417" i="1"/>
  <c r="A13057" i="1"/>
  <c r="B13057" i="1"/>
  <c r="C13057" i="1"/>
  <c r="A10304" i="1"/>
  <c r="B10304" i="1"/>
  <c r="C10304" i="1"/>
  <c r="A3416" i="1"/>
  <c r="B3416" i="1"/>
  <c r="C3416" i="1"/>
  <c r="A1259" i="1"/>
  <c r="B1259" i="1"/>
  <c r="C1259" i="1"/>
  <c r="A12645" i="1"/>
  <c r="B12645" i="1"/>
  <c r="C12645" i="1"/>
  <c r="A4908" i="1"/>
  <c r="B4908" i="1"/>
  <c r="C4908" i="1"/>
  <c r="A8691" i="1"/>
  <c r="B8691" i="1"/>
  <c r="C8691" i="1"/>
  <c r="A7486" i="1"/>
  <c r="B7486" i="1"/>
  <c r="C7486" i="1"/>
  <c r="A4097" i="1"/>
  <c r="B4097" i="1"/>
  <c r="C4097" i="1"/>
  <c r="A2559" i="1"/>
  <c r="B2559" i="1"/>
  <c r="C2559" i="1"/>
  <c r="A12391" i="1"/>
  <c r="B12391" i="1"/>
  <c r="C12391" i="1"/>
  <c r="A13572" i="1"/>
  <c r="B13572" i="1"/>
  <c r="C13572" i="1"/>
  <c r="A2058" i="1"/>
  <c r="B2058" i="1"/>
  <c r="C2058" i="1"/>
  <c r="A13256" i="1"/>
  <c r="B13256" i="1"/>
  <c r="C13256" i="1"/>
  <c r="A9518" i="1"/>
  <c r="B9518" i="1"/>
  <c r="C9518" i="1"/>
  <c r="A10310" i="1"/>
  <c r="B10310" i="1"/>
  <c r="C10310" i="1"/>
  <c r="A3857" i="1"/>
  <c r="B3857" i="1"/>
  <c r="C3857" i="1"/>
  <c r="A11783" i="1"/>
  <c r="B11783" i="1"/>
  <c r="C11783" i="1"/>
  <c r="A6877" i="1"/>
  <c r="B6877" i="1"/>
  <c r="C6877" i="1"/>
  <c r="A12405" i="1"/>
  <c r="B12405" i="1"/>
  <c r="C12405" i="1"/>
  <c r="A5894" i="1"/>
  <c r="B5894" i="1"/>
  <c r="C5894" i="1"/>
  <c r="A12646" i="1"/>
  <c r="B12646" i="1"/>
  <c r="C12646" i="1"/>
  <c r="A2006" i="1"/>
  <c r="B2006" i="1"/>
  <c r="C2006" i="1"/>
  <c r="A2217" i="1"/>
  <c r="B2217" i="1"/>
  <c r="C2217" i="1"/>
  <c r="A4219" i="1"/>
  <c r="B4219" i="1"/>
  <c r="C4219" i="1"/>
  <c r="A9499" i="1"/>
  <c r="B9499" i="1"/>
  <c r="C9499" i="1"/>
  <c r="A6678" i="1"/>
  <c r="B6678" i="1"/>
  <c r="C6678" i="1"/>
  <c r="A5688" i="1"/>
  <c r="B5688" i="1"/>
  <c r="C5688" i="1"/>
  <c r="A9099" i="1"/>
  <c r="B9099" i="1"/>
  <c r="C9099" i="1"/>
  <c r="A3228" i="1"/>
  <c r="B3228" i="1"/>
  <c r="C3228" i="1"/>
  <c r="A832" i="1"/>
  <c r="B832" i="1"/>
  <c r="C832" i="1"/>
  <c r="A1809" i="1"/>
  <c r="B1809" i="1"/>
  <c r="C1809" i="1"/>
  <c r="A6473" i="1"/>
  <c r="B6473" i="1"/>
  <c r="C6473" i="1"/>
  <c r="A7063" i="1"/>
  <c r="B7063" i="1"/>
  <c r="C7063" i="1"/>
  <c r="A13043" i="1"/>
  <c r="B13043" i="1"/>
  <c r="C13043" i="1"/>
  <c r="A6393" i="1"/>
  <c r="B6393" i="1"/>
  <c r="C6393" i="1"/>
  <c r="A9552" i="1"/>
  <c r="B9552" i="1"/>
  <c r="C9552" i="1"/>
  <c r="A11411" i="1"/>
  <c r="B11411" i="1"/>
  <c r="C11411" i="1"/>
  <c r="A12190" i="1"/>
  <c r="B12190" i="1"/>
  <c r="C12190" i="1"/>
  <c r="A7487" i="1"/>
  <c r="B7487" i="1"/>
  <c r="C7487" i="1"/>
  <c r="A8522" i="1"/>
  <c r="B8522" i="1"/>
  <c r="C8522" i="1"/>
  <c r="A7695" i="1"/>
  <c r="B7695" i="1"/>
  <c r="C7695" i="1"/>
  <c r="A164" i="1"/>
  <c r="B164" i="1"/>
  <c r="C164" i="1"/>
  <c r="A274" i="1"/>
  <c r="B274" i="1"/>
  <c r="C274" i="1"/>
  <c r="A1053" i="1"/>
  <c r="B1053" i="1"/>
  <c r="C1053" i="1"/>
  <c r="A4737" i="1"/>
  <c r="B4737" i="1"/>
  <c r="C4737" i="1"/>
  <c r="A4449" i="1"/>
  <c r="B4449" i="1"/>
  <c r="C4449" i="1"/>
  <c r="A5295" i="1"/>
  <c r="B5295" i="1"/>
  <c r="C5295" i="1"/>
  <c r="A2885" i="1"/>
  <c r="B2885" i="1"/>
  <c r="C2885" i="1"/>
  <c r="A12046" i="1"/>
  <c r="B12046" i="1"/>
  <c r="C12046" i="1"/>
  <c r="A106" i="1"/>
  <c r="B106" i="1"/>
  <c r="C106" i="1"/>
  <c r="A13034" i="1"/>
  <c r="B13034" i="1"/>
  <c r="C13034" i="1"/>
  <c r="A9667" i="1"/>
  <c r="B9667" i="1"/>
  <c r="C9667" i="1"/>
  <c r="A11957" i="1"/>
  <c r="B11957" i="1"/>
  <c r="C11957" i="1"/>
  <c r="A272" i="1"/>
  <c r="B272" i="1"/>
  <c r="C272" i="1"/>
  <c r="A3378" i="1"/>
  <c r="B3378" i="1"/>
  <c r="C3378" i="1"/>
  <c r="A8798" i="1"/>
  <c r="B8798" i="1"/>
  <c r="C8798" i="1"/>
  <c r="A4006" i="1"/>
  <c r="B4006" i="1"/>
  <c r="C4006" i="1"/>
  <c r="A11173" i="1"/>
  <c r="B11173" i="1"/>
  <c r="C11173" i="1"/>
  <c r="A11174" i="1"/>
  <c r="B11174" i="1"/>
  <c r="C11174" i="1"/>
  <c r="A9298" i="1"/>
  <c r="B9298" i="1"/>
  <c r="C9298" i="1"/>
  <c r="A5696" i="1"/>
  <c r="B5696" i="1"/>
  <c r="C5696" i="1"/>
  <c r="A7555" i="1"/>
  <c r="B7555" i="1"/>
  <c r="C7555" i="1"/>
  <c r="A13503" i="1"/>
  <c r="B13503" i="1"/>
  <c r="A9688" i="1"/>
  <c r="B9688" i="1"/>
  <c r="C9688" i="1"/>
  <c r="A9939" i="1"/>
  <c r="B9939" i="1"/>
  <c r="C9939" i="1"/>
  <c r="A4134" i="1"/>
  <c r="B4134" i="1"/>
  <c r="C4134" i="1"/>
  <c r="A6150" i="1"/>
  <c r="B6150" i="1"/>
  <c r="C6150" i="1"/>
  <c r="A3835" i="1"/>
  <c r="B3835" i="1"/>
  <c r="C3835" i="1"/>
  <c r="A8250" i="1"/>
  <c r="B8250" i="1"/>
  <c r="C8250" i="1"/>
  <c r="A3231" i="1"/>
  <c r="B3231" i="1"/>
  <c r="C3231" i="1"/>
  <c r="A13699" i="1"/>
  <c r="B13699" i="1"/>
  <c r="C13699" i="1"/>
  <c r="A3836" i="1"/>
  <c r="B3836" i="1"/>
  <c r="C3836" i="1"/>
  <c r="A4522" i="1"/>
  <c r="B4522" i="1"/>
  <c r="C4522" i="1"/>
  <c r="A9915" i="1"/>
  <c r="B9915" i="1"/>
  <c r="C9915" i="1"/>
  <c r="A5029" i="1"/>
  <c r="B5029" i="1"/>
  <c r="C5029" i="1"/>
  <c r="A13704" i="1"/>
  <c r="B13704" i="1"/>
  <c r="C13704" i="1"/>
  <c r="A5766" i="1"/>
  <c r="B5766" i="1"/>
  <c r="C5766" i="1"/>
  <c r="A8197" i="1"/>
  <c r="B8197" i="1"/>
  <c r="C8197" i="1"/>
  <c r="A2135" i="1"/>
  <c r="B2135" i="1"/>
  <c r="C2135" i="1"/>
  <c r="A10807" i="1"/>
  <c r="B10807" i="1"/>
  <c r="C10807" i="1"/>
  <c r="A8369" i="1"/>
  <c r="B8369" i="1"/>
  <c r="C8369" i="1"/>
  <c r="A4611" i="1"/>
  <c r="B4611" i="1"/>
  <c r="C4611" i="1"/>
  <c r="A977" i="1"/>
  <c r="B977" i="1"/>
  <c r="C977" i="1"/>
  <c r="A9534" i="1"/>
  <c r="B9534" i="1"/>
  <c r="C9534" i="1"/>
  <c r="A11694" i="1"/>
  <c r="B11694" i="1"/>
  <c r="C11694" i="1"/>
  <c r="A2926" i="1"/>
  <c r="B2926" i="1"/>
  <c r="C2926" i="1"/>
  <c r="A9363" i="1"/>
  <c r="B9363" i="1"/>
  <c r="C9363" i="1"/>
  <c r="A8924" i="1"/>
  <c r="B8924" i="1"/>
  <c r="C8924" i="1"/>
  <c r="A1497" i="1"/>
  <c r="B1497" i="1"/>
  <c r="C1497" i="1"/>
  <c r="A8364" i="1"/>
  <c r="B8364" i="1"/>
  <c r="C8364" i="1"/>
  <c r="A936" i="1"/>
  <c r="B936" i="1"/>
  <c r="C936" i="1"/>
  <c r="A8779" i="1"/>
  <c r="B8779" i="1"/>
  <c r="C8779" i="1"/>
  <c r="A10789" i="1"/>
  <c r="B10789" i="1"/>
  <c r="C10789" i="1"/>
  <c r="A5787" i="1"/>
  <c r="B5787" i="1"/>
  <c r="C5787" i="1"/>
  <c r="A8727" i="1"/>
  <c r="B8727" i="1"/>
  <c r="C8727" i="1"/>
  <c r="A13347" i="1"/>
  <c r="B13347" i="1"/>
  <c r="C13347" i="1"/>
  <c r="A12852" i="1"/>
  <c r="B12852" i="1"/>
  <c r="C12852" i="1"/>
  <c r="A6291" i="1"/>
  <c r="B6291" i="1"/>
  <c r="C6291" i="1"/>
  <c r="A1041" i="1"/>
  <c r="B1041" i="1"/>
  <c r="C1041" i="1"/>
  <c r="A3735" i="1"/>
  <c r="B3735" i="1"/>
  <c r="C3735" i="1"/>
  <c r="A783" i="1"/>
  <c r="B783" i="1"/>
  <c r="C783" i="1"/>
  <c r="A5141" i="1"/>
  <c r="B5141" i="1"/>
  <c r="C5141" i="1"/>
  <c r="A7248" i="1"/>
  <c r="B7248" i="1"/>
  <c r="C7248" i="1"/>
  <c r="A8983" i="1"/>
  <c r="B8983" i="1"/>
  <c r="C8983" i="1"/>
  <c r="A683" i="1"/>
  <c r="B683" i="1"/>
  <c r="C683" i="1"/>
  <c r="A13192" i="1"/>
  <c r="B13192" i="1"/>
  <c r="C13192" i="1"/>
  <c r="A12952" i="1"/>
  <c r="B12952" i="1"/>
  <c r="C12952" i="1"/>
  <c r="A148" i="1"/>
  <c r="B148" i="1"/>
  <c r="C148" i="1"/>
  <c r="A401" i="1"/>
  <c r="B401" i="1"/>
  <c r="C401" i="1"/>
  <c r="A3335" i="1"/>
  <c r="B3335" i="1"/>
  <c r="C3335" i="1"/>
  <c r="A3743" i="1"/>
  <c r="B3743" i="1"/>
  <c r="C3743" i="1"/>
  <c r="A8291" i="1"/>
  <c r="B8291" i="1"/>
  <c r="C8291" i="1"/>
  <c r="A9842" i="1"/>
  <c r="B9842" i="1"/>
  <c r="C9842" i="1"/>
  <c r="A2404" i="1"/>
  <c r="B2404" i="1"/>
  <c r="C2404" i="1"/>
  <c r="A7802" i="1"/>
  <c r="B7802" i="1"/>
  <c r="C7802" i="1"/>
  <c r="A7803" i="1"/>
  <c r="B7803" i="1"/>
  <c r="C7803" i="1"/>
  <c r="A6643" i="1"/>
  <c r="B6643" i="1"/>
  <c r="C6643" i="1"/>
  <c r="A3036" i="1"/>
  <c r="B3036" i="1"/>
  <c r="C3036" i="1"/>
  <c r="A3222" i="1"/>
  <c r="B3222" i="1"/>
  <c r="C3222" i="1"/>
  <c r="A5648" i="1"/>
  <c r="B5648" i="1"/>
  <c r="C5648" i="1"/>
  <c r="A2147" i="1"/>
  <c r="B2147" i="1"/>
  <c r="C2147" i="1"/>
  <c r="A7098" i="1"/>
  <c r="B7098" i="1"/>
  <c r="A2970" i="1"/>
  <c r="B2970" i="1"/>
  <c r="C2970" i="1"/>
  <c r="A13872" i="1"/>
  <c r="B13872" i="1"/>
  <c r="C13872" i="1"/>
  <c r="A220" i="1"/>
  <c r="B220" i="1"/>
  <c r="C220" i="1"/>
  <c r="A12902" i="1"/>
  <c r="B12902" i="1"/>
  <c r="C12902" i="1"/>
  <c r="A1374" i="1"/>
  <c r="B1374" i="1"/>
  <c r="C1374" i="1"/>
  <c r="A10836" i="1"/>
  <c r="B10836" i="1"/>
  <c r="C10836" i="1"/>
  <c r="A1499" i="1"/>
  <c r="B1499" i="1"/>
  <c r="C1499" i="1"/>
  <c r="A5240" i="1"/>
  <c r="B5240" i="1"/>
  <c r="C5240" i="1"/>
  <c r="A11001" i="1"/>
  <c r="B11001" i="1"/>
  <c r="C11001" i="1"/>
  <c r="A2785" i="1"/>
  <c r="B2785" i="1"/>
  <c r="C2785" i="1"/>
  <c r="A10597" i="1"/>
  <c r="B10597" i="1"/>
  <c r="C10597" i="1"/>
  <c r="A1190" i="1"/>
  <c r="B1190" i="1"/>
  <c r="C1190" i="1"/>
  <c r="A8893" i="1"/>
  <c r="B8893" i="1"/>
  <c r="C8893" i="1"/>
  <c r="A1651" i="1"/>
  <c r="B1651" i="1"/>
  <c r="C1651" i="1"/>
  <c r="A360" i="1"/>
  <c r="B360" i="1"/>
  <c r="C360" i="1"/>
  <c r="A4648" i="1"/>
  <c r="B4648" i="1"/>
  <c r="C4648" i="1"/>
  <c r="A10925" i="1"/>
  <c r="B10925" i="1"/>
  <c r="C10925" i="1"/>
  <c r="A1578" i="1"/>
  <c r="B1578" i="1"/>
  <c r="C1578" i="1"/>
  <c r="A1256" i="1"/>
  <c r="B1256" i="1"/>
  <c r="C1256" i="1"/>
  <c r="A4210" i="1"/>
  <c r="B4210" i="1"/>
  <c r="C4210" i="1"/>
  <c r="A6733" i="1"/>
  <c r="B6733" i="1"/>
  <c r="C6733" i="1"/>
  <c r="A7573" i="1"/>
  <c r="B7573" i="1"/>
  <c r="C7573" i="1"/>
  <c r="A228" i="1"/>
  <c r="B228" i="1"/>
  <c r="C228" i="1"/>
  <c r="A9890" i="1"/>
  <c r="B9890" i="1"/>
  <c r="C9890" i="1"/>
  <c r="A9894" i="1"/>
  <c r="B9894" i="1"/>
  <c r="C9894" i="1"/>
  <c r="A10312" i="1"/>
  <c r="B10312" i="1"/>
  <c r="C10312" i="1"/>
  <c r="A3191" i="1"/>
  <c r="B3191" i="1"/>
  <c r="C3191" i="1"/>
  <c r="A13515" i="1"/>
  <c r="B13515" i="1"/>
  <c r="C13515" i="1"/>
  <c r="A8185" i="1"/>
  <c r="B8185" i="1"/>
  <c r="C8185" i="1"/>
  <c r="A7723" i="1"/>
  <c r="B7723" i="1"/>
  <c r="C7723" i="1"/>
  <c r="A1560" i="1"/>
  <c r="B1560" i="1"/>
  <c r="C1560" i="1"/>
  <c r="A9322" i="1"/>
  <c r="B9322" i="1"/>
  <c r="C9322" i="1"/>
  <c r="A8626" i="1"/>
  <c r="B8626" i="1"/>
  <c r="C8626" i="1"/>
  <c r="A11753" i="1"/>
  <c r="B11753" i="1"/>
  <c r="C11753" i="1"/>
  <c r="A7666" i="1"/>
  <c r="B7666" i="1"/>
  <c r="C7666" i="1"/>
  <c r="A8482" i="1"/>
  <c r="B8482" i="1"/>
  <c r="C8482" i="1"/>
  <c r="A4604" i="1"/>
  <c r="B4604" i="1"/>
  <c r="C4604" i="1"/>
  <c r="A10077" i="1"/>
  <c r="B10077" i="1"/>
  <c r="C10077" i="1"/>
  <c r="A6971" i="1"/>
  <c r="B6971" i="1"/>
  <c r="C6971" i="1"/>
  <c r="A4915" i="1"/>
  <c r="B4915" i="1"/>
  <c r="C4915" i="1"/>
  <c r="A289" i="1"/>
  <c r="B289" i="1"/>
  <c r="C289" i="1"/>
  <c r="A7987" i="1"/>
  <c r="B7987" i="1"/>
  <c r="C7987" i="1"/>
  <c r="A3514" i="1"/>
  <c r="B3514" i="1"/>
  <c r="C3514" i="1"/>
  <c r="A10838" i="1"/>
  <c r="B10838" i="1"/>
  <c r="C10838" i="1"/>
  <c r="A1085" i="1"/>
  <c r="B1085" i="1"/>
  <c r="C1085" i="1"/>
  <c r="A8125" i="1"/>
  <c r="B8125" i="1"/>
  <c r="C8125" i="1"/>
  <c r="A9181" i="1"/>
  <c r="B9181" i="1"/>
  <c r="C9181" i="1"/>
  <c r="A7705" i="1"/>
  <c r="B7705" i="1"/>
  <c r="C7705" i="1"/>
  <c r="A1931" i="1"/>
  <c r="B1931" i="1"/>
  <c r="C1931" i="1"/>
  <c r="A12504" i="1"/>
  <c r="B12504" i="1"/>
  <c r="C12504" i="1"/>
  <c r="A11780" i="1"/>
  <c r="B11780" i="1"/>
  <c r="C11780" i="1"/>
  <c r="A4116" i="1"/>
  <c r="B4116" i="1"/>
  <c r="C4116" i="1"/>
  <c r="A6339" i="1"/>
  <c r="B6339" i="1"/>
  <c r="C6339" i="1"/>
  <c r="A3770" i="1"/>
  <c r="B3770" i="1"/>
  <c r="C3770" i="1"/>
  <c r="A12041" i="1"/>
  <c r="B12041" i="1"/>
  <c r="C12041" i="1"/>
  <c r="A12281" i="1"/>
  <c r="B12281" i="1"/>
  <c r="C12281" i="1"/>
  <c r="A450" i="1"/>
  <c r="B450" i="1"/>
  <c r="C450" i="1"/>
  <c r="A369" i="1"/>
  <c r="B369" i="1"/>
  <c r="C369" i="1"/>
  <c r="A4424" i="1"/>
  <c r="B4424" i="1"/>
  <c r="C4424" i="1"/>
  <c r="A11479" i="1"/>
  <c r="B11479" i="1"/>
  <c r="C11479" i="1"/>
  <c r="A11480" i="1"/>
  <c r="B11480" i="1"/>
  <c r="C11480" i="1"/>
  <c r="A2936" i="1"/>
  <c r="B2936" i="1"/>
  <c r="C2936" i="1"/>
  <c r="A13885" i="1"/>
  <c r="B13885" i="1"/>
  <c r="C13885" i="1"/>
  <c r="A6448" i="1"/>
  <c r="B6448" i="1"/>
  <c r="C6448" i="1"/>
  <c r="A7535" i="1"/>
  <c r="B7535" i="1"/>
  <c r="C7535" i="1"/>
  <c r="A3708" i="1"/>
  <c r="B3708" i="1"/>
  <c r="C3708" i="1"/>
  <c r="A7842" i="1"/>
  <c r="B7842" i="1"/>
  <c r="C7842" i="1"/>
  <c r="A7488" i="1"/>
  <c r="B7488" i="1"/>
  <c r="C7488" i="1"/>
  <c r="A7477" i="1"/>
  <c r="B7477" i="1"/>
  <c r="C7477" i="1"/>
  <c r="A5160" i="1"/>
  <c r="B5160" i="1"/>
  <c r="C5160" i="1"/>
  <c r="A3476" i="1"/>
  <c r="B3476" i="1"/>
  <c r="C3476" i="1"/>
  <c r="A2664" i="1"/>
  <c r="B2664" i="1"/>
  <c r="C2664" i="1"/>
  <c r="A11410" i="1"/>
  <c r="B11410" i="1"/>
  <c r="C11410" i="1"/>
  <c r="A5476" i="1"/>
  <c r="B5476" i="1"/>
  <c r="C5476" i="1"/>
  <c r="A5477" i="1"/>
  <c r="B5477" i="1"/>
  <c r="C5477" i="1"/>
  <c r="A9695" i="1"/>
  <c r="B9695" i="1"/>
  <c r="C9695" i="1"/>
  <c r="A6382" i="1"/>
  <c r="B6382" i="1"/>
  <c r="C6382" i="1"/>
  <c r="A1110" i="1"/>
  <c r="B1110" i="1"/>
  <c r="C1110" i="1"/>
  <c r="A2096" i="1"/>
  <c r="B2096" i="1"/>
  <c r="C2096" i="1"/>
  <c r="A4135" i="1"/>
  <c r="B4135" i="1"/>
  <c r="C4135" i="1"/>
  <c r="A9963" i="1"/>
  <c r="B9963" i="1"/>
  <c r="C9963" i="1"/>
  <c r="A4136" i="1"/>
  <c r="B4136" i="1"/>
  <c r="C4136" i="1"/>
  <c r="A13410" i="1"/>
  <c r="B13410" i="1"/>
  <c r="C13410" i="1"/>
  <c r="A12126" i="1"/>
  <c r="B12126" i="1"/>
  <c r="C12126" i="1"/>
  <c r="A1032" i="1"/>
  <c r="B1032" i="1"/>
  <c r="C1032" i="1"/>
  <c r="A10273" i="1"/>
  <c r="B10273" i="1"/>
  <c r="C10273" i="1"/>
  <c r="A1074" i="1"/>
  <c r="B1074" i="1"/>
  <c r="C1074" i="1"/>
  <c r="A11160" i="1"/>
  <c r="B11160" i="1"/>
  <c r="C11160" i="1"/>
  <c r="A5420" i="1"/>
  <c r="B5420" i="1"/>
  <c r="C5420" i="1"/>
  <c r="A5992" i="1"/>
  <c r="B5992" i="1"/>
  <c r="C5992" i="1"/>
  <c r="A13492" i="1"/>
  <c r="B13492" i="1"/>
  <c r="C13492" i="1"/>
  <c r="A1234" i="1"/>
  <c r="B1234" i="1"/>
  <c r="C1234" i="1"/>
  <c r="A4094" i="1"/>
  <c r="B4094" i="1"/>
  <c r="C4094" i="1"/>
  <c r="A6111" i="1"/>
  <c r="B6111" i="1"/>
  <c r="C6111" i="1"/>
  <c r="A2349" i="1"/>
  <c r="B2349" i="1"/>
  <c r="C2349" i="1"/>
  <c r="A5660" i="1"/>
  <c r="B5660" i="1"/>
  <c r="C5660" i="1"/>
  <c r="A322" i="1"/>
  <c r="B322" i="1"/>
  <c r="C322" i="1"/>
  <c r="A4511" i="1"/>
  <c r="B4511" i="1"/>
  <c r="C4511" i="1"/>
  <c r="A11811" i="1"/>
  <c r="B11811" i="1"/>
  <c r="C11811" i="1"/>
  <c r="A2577" i="1"/>
  <c r="B2577" i="1"/>
  <c r="C2577" i="1"/>
  <c r="A7489" i="1"/>
  <c r="B7489" i="1"/>
  <c r="C7489" i="1"/>
  <c r="A3389" i="1"/>
  <c r="B3389" i="1"/>
  <c r="C3389" i="1"/>
  <c r="A5394" i="1"/>
  <c r="B5394" i="1"/>
  <c r="C5394" i="1"/>
  <c r="A9924" i="1"/>
  <c r="B9924" i="1"/>
  <c r="C9924" i="1"/>
  <c r="A10724" i="1"/>
  <c r="B10724" i="1"/>
  <c r="C10724" i="1"/>
  <c r="A2855" i="1"/>
  <c r="B2855" i="1"/>
  <c r="C2855" i="1"/>
  <c r="A10105" i="1"/>
  <c r="B10105" i="1"/>
  <c r="C10105" i="1"/>
  <c r="A8411" i="1"/>
  <c r="B8411" i="1"/>
  <c r="C8411" i="1"/>
  <c r="A2917" i="1"/>
  <c r="B2917" i="1"/>
  <c r="C2917" i="1"/>
  <c r="A10336" i="1"/>
  <c r="B10336" i="1"/>
  <c r="C10336" i="1"/>
  <c r="A8800" i="1"/>
  <c r="B8800" i="1"/>
  <c r="C8800" i="1"/>
  <c r="A9855" i="1"/>
  <c r="B9855" i="1"/>
  <c r="C9855" i="1"/>
  <c r="A12600" i="1"/>
  <c r="B12600" i="1"/>
  <c r="C12600" i="1"/>
  <c r="A4506" i="1"/>
  <c r="B4506" i="1"/>
  <c r="C4506" i="1"/>
  <c r="A12472" i="1"/>
  <c r="B12472" i="1"/>
  <c r="C12472" i="1"/>
  <c r="A12473" i="1"/>
  <c r="B12473" i="1"/>
  <c r="C12473" i="1"/>
  <c r="A11848" i="1"/>
  <c r="B11848" i="1"/>
  <c r="C11848" i="1"/>
  <c r="A402" i="1"/>
  <c r="B402" i="1"/>
  <c r="C402" i="1"/>
  <c r="A9453" i="1"/>
  <c r="B9453" i="1"/>
  <c r="C9453" i="1"/>
  <c r="A3319" i="1"/>
  <c r="B3319" i="1"/>
  <c r="C3319" i="1"/>
  <c r="A9143" i="1"/>
  <c r="B9143" i="1"/>
  <c r="C9143" i="1"/>
  <c r="A149" i="1"/>
  <c r="B149" i="1"/>
  <c r="C149" i="1"/>
  <c r="A12872" i="1"/>
  <c r="B12872" i="1"/>
  <c r="C12872" i="1"/>
  <c r="A4117" i="1"/>
  <c r="B4117" i="1"/>
  <c r="C4117" i="1"/>
  <c r="A2017" i="1"/>
  <c r="B2017" i="1"/>
  <c r="C2017" i="1"/>
  <c r="A10863" i="1"/>
  <c r="B10863" i="1"/>
  <c r="C10863" i="1"/>
  <c r="A10377" i="1"/>
  <c r="B10377" i="1"/>
  <c r="C10377" i="1"/>
  <c r="A8287" i="1"/>
  <c r="B8287" i="1"/>
  <c r="C8287" i="1"/>
  <c r="A7515" i="1"/>
  <c r="B7515" i="1"/>
  <c r="C7515" i="1"/>
  <c r="A945" i="1"/>
  <c r="B945" i="1"/>
  <c r="C945" i="1"/>
  <c r="A10349" i="1"/>
  <c r="B10349" i="1"/>
  <c r="C10349" i="1"/>
  <c r="A34" i="1"/>
  <c r="B34" i="1"/>
  <c r="C34" i="1"/>
  <c r="A3895" i="1"/>
  <c r="B3895" i="1"/>
  <c r="C3895" i="1"/>
  <c r="A5668" i="1"/>
  <c r="B5668" i="1"/>
  <c r="C5668" i="1"/>
  <c r="A11958" i="1"/>
  <c r="B11958" i="1"/>
  <c r="C11958" i="1"/>
  <c r="A8166" i="1"/>
  <c r="B8166" i="1"/>
  <c r="C8166" i="1"/>
  <c r="A10046" i="1"/>
  <c r="B10046" i="1"/>
  <c r="C10046" i="1"/>
  <c r="A10386" i="1"/>
  <c r="B10386" i="1"/>
  <c r="C10386" i="1"/>
  <c r="A9728" i="1"/>
  <c r="B9728" i="1"/>
  <c r="C9728" i="1"/>
  <c r="A424" i="1"/>
  <c r="B424" i="1"/>
  <c r="C424" i="1"/>
  <c r="A12369" i="1"/>
  <c r="B12369" i="1"/>
  <c r="C12369" i="1"/>
  <c r="A1128" i="1"/>
  <c r="B1128" i="1"/>
  <c r="C1128" i="1"/>
  <c r="A4475" i="1"/>
  <c r="B4475" i="1"/>
  <c r="C4475" i="1"/>
  <c r="A6015" i="1"/>
  <c r="B6015" i="1"/>
  <c r="C6015" i="1"/>
  <c r="A12647" i="1"/>
  <c r="B12647" i="1"/>
  <c r="C12647" i="1"/>
  <c r="A5049" i="1"/>
  <c r="B5049" i="1"/>
  <c r="C5049" i="1"/>
  <c r="A3861" i="1"/>
  <c r="B3861" i="1"/>
  <c r="C3861" i="1"/>
  <c r="A4372" i="1"/>
  <c r="B4372" i="1"/>
  <c r="C4372" i="1"/>
  <c r="A7770" i="1"/>
  <c r="B7770" i="1"/>
  <c r="C7770" i="1"/>
  <c r="A4626" i="1"/>
  <c r="B4626" i="1"/>
  <c r="C4626" i="1"/>
  <c r="A11708" i="1"/>
  <c r="B11708" i="1"/>
  <c r="C11708" i="1"/>
  <c r="A11959" i="1"/>
  <c r="B11959" i="1"/>
  <c r="C11959" i="1"/>
  <c r="A2076" i="1"/>
  <c r="B2076" i="1"/>
  <c r="C2076" i="1"/>
  <c r="A5740" i="1"/>
  <c r="B5740" i="1"/>
  <c r="C5740" i="1"/>
  <c r="A13815" i="1"/>
  <c r="B13815" i="1"/>
  <c r="C13815" i="1"/>
  <c r="A6994" i="1"/>
  <c r="B6994" i="1"/>
  <c r="C6994" i="1"/>
  <c r="A9911" i="1"/>
  <c r="B9911" i="1"/>
  <c r="C9911" i="1"/>
  <c r="A8622" i="1"/>
  <c r="B8622" i="1"/>
  <c r="C8622" i="1"/>
  <c r="A13545" i="1"/>
  <c r="B13545" i="1"/>
  <c r="C13545" i="1"/>
  <c r="A559" i="1"/>
  <c r="B559" i="1"/>
  <c r="C559" i="1"/>
  <c r="A8824" i="1"/>
  <c r="B8824" i="1"/>
  <c r="C8824" i="1"/>
  <c r="A4794" i="1"/>
  <c r="B4794" i="1"/>
  <c r="C4794" i="1"/>
  <c r="A4321" i="1"/>
  <c r="B4321" i="1"/>
  <c r="C4321" i="1"/>
  <c r="A5938" i="1"/>
  <c r="B5938" i="1"/>
  <c r="C5938" i="1"/>
  <c r="A9422" i="1"/>
  <c r="B9422" i="1"/>
  <c r="C9422" i="1"/>
  <c r="A13313" i="1"/>
  <c r="B13313" i="1"/>
  <c r="C13313" i="1"/>
  <c r="A3952" i="1"/>
  <c r="B3952" i="1"/>
  <c r="C3952" i="1"/>
  <c r="A11607" i="1"/>
  <c r="B11607" i="1"/>
  <c r="C11607" i="1"/>
  <c r="A499" i="1"/>
  <c r="B499" i="1"/>
  <c r="C499" i="1"/>
  <c r="A9580" i="1"/>
  <c r="B9580" i="1"/>
  <c r="C9580" i="1"/>
  <c r="A123" i="1"/>
  <c r="B123" i="1"/>
  <c r="C123" i="1"/>
  <c r="A10725" i="1"/>
  <c r="B10725" i="1"/>
  <c r="A4391" i="1"/>
  <c r="B4391" i="1"/>
  <c r="C4391" i="1"/>
  <c r="A10070" i="1"/>
  <c r="B10070" i="1"/>
  <c r="C10070" i="1"/>
  <c r="A10253" i="1"/>
  <c r="B10253" i="1"/>
  <c r="C10253" i="1"/>
  <c r="A1264" i="1"/>
  <c r="B1264" i="1"/>
  <c r="C1264" i="1"/>
  <c r="A5919" i="1"/>
  <c r="B5919" i="1"/>
  <c r="C5919" i="1"/>
  <c r="A5875" i="1"/>
  <c r="B5875" i="1"/>
  <c r="C5875" i="1"/>
  <c r="A6789" i="1"/>
  <c r="B6789" i="1"/>
  <c r="C6789" i="1"/>
  <c r="A3257" i="1"/>
  <c r="B3257" i="1"/>
  <c r="C3257" i="1"/>
  <c r="A10833" i="1"/>
  <c r="B10833" i="1"/>
  <c r="C10833" i="1"/>
  <c r="A1424" i="1"/>
  <c r="B1424" i="1"/>
  <c r="C1424" i="1"/>
  <c r="A3854" i="1"/>
  <c r="B3854" i="1"/>
  <c r="C3854" i="1"/>
  <c r="A2794" i="1"/>
  <c r="B2794" i="1"/>
  <c r="C2794" i="1"/>
  <c r="A4089" i="1"/>
  <c r="B4089" i="1"/>
  <c r="C4089" i="1"/>
  <c r="A6403" i="1"/>
  <c r="B6403" i="1"/>
  <c r="C6403" i="1"/>
  <c r="A3027" i="1"/>
  <c r="B3027" i="1"/>
  <c r="C3027" i="1"/>
  <c r="A8204" i="1"/>
  <c r="B8204" i="1"/>
  <c r="C8204" i="1"/>
  <c r="A10063" i="1"/>
  <c r="B10063" i="1"/>
  <c r="C10063" i="1"/>
  <c r="A4790" i="1"/>
  <c r="B4790" i="1"/>
  <c r="C4790" i="1"/>
  <c r="A11699" i="1"/>
  <c r="B11699" i="1"/>
  <c r="C11699" i="1"/>
  <c r="A6020" i="1"/>
  <c r="B6020" i="1"/>
  <c r="C6020" i="1"/>
  <c r="A4151" i="1"/>
  <c r="B4151" i="1"/>
  <c r="C4151" i="1"/>
  <c r="A7296" i="1"/>
  <c r="B7296" i="1"/>
  <c r="C7296" i="1"/>
  <c r="A8787" i="1"/>
  <c r="B8787" i="1"/>
  <c r="C8787" i="1"/>
  <c r="A4404" i="1"/>
  <c r="B4404" i="1"/>
  <c r="C4404" i="1"/>
  <c r="A4482" i="1"/>
  <c r="B4482" i="1"/>
  <c r="C4482" i="1"/>
  <c r="A354" i="1"/>
  <c r="B354" i="1"/>
  <c r="C354" i="1"/>
  <c r="A11324" i="1"/>
  <c r="B11324" i="1"/>
  <c r="C11324" i="1"/>
  <c r="A3094" i="1"/>
  <c r="B3094" i="1"/>
  <c r="C3094" i="1"/>
  <c r="A5047" i="1"/>
  <c r="B5047" i="1"/>
  <c r="C5047" i="1"/>
  <c r="A690" i="1"/>
  <c r="B690" i="1"/>
  <c r="C690" i="1"/>
  <c r="A3260" i="1"/>
  <c r="B3260" i="1"/>
  <c r="C3260" i="1"/>
  <c r="A1750" i="1"/>
  <c r="B1750" i="1"/>
  <c r="C1750" i="1"/>
  <c r="A7462" i="1"/>
  <c r="B7462" i="1"/>
  <c r="C7462" i="1"/>
  <c r="A12437" i="1"/>
  <c r="B12437" i="1"/>
  <c r="C12437" i="1"/>
  <c r="A8523" i="1"/>
  <c r="B8523" i="1"/>
  <c r="C8523" i="1"/>
  <c r="A6813" i="1"/>
  <c r="B6813" i="1"/>
  <c r="C6813" i="1"/>
  <c r="A8930" i="1"/>
  <c r="B8930" i="1"/>
  <c r="C8930" i="1"/>
  <c r="A11782" i="1"/>
  <c r="B11782" i="1"/>
  <c r="C11782" i="1"/>
  <c r="A10412" i="1"/>
  <c r="B10412" i="1"/>
  <c r="C10412" i="1"/>
  <c r="A1257" i="1"/>
  <c r="B1257" i="1"/>
  <c r="C1257" i="1"/>
  <c r="A10027" i="1"/>
  <c r="B10027" i="1"/>
  <c r="C10027" i="1"/>
  <c r="A7193" i="1"/>
  <c r="B7193" i="1"/>
  <c r="C7193" i="1"/>
  <c r="A9561" i="1"/>
  <c r="B9561" i="1"/>
  <c r="C9561" i="1"/>
  <c r="A3837" i="1"/>
  <c r="B3837" i="1"/>
  <c r="C3837" i="1"/>
  <c r="A11342" i="1"/>
  <c r="B11342" i="1"/>
  <c r="C11342" i="1"/>
  <c r="A711" i="1"/>
  <c r="B711" i="1"/>
  <c r="C711" i="1"/>
  <c r="A925" i="1"/>
  <c r="B925" i="1"/>
  <c r="C925" i="1"/>
  <c r="A4654" i="1"/>
  <c r="B4654" i="1"/>
  <c r="C4654" i="1"/>
  <c r="A10134" i="1"/>
  <c r="B10134" i="1"/>
  <c r="C10134" i="1"/>
  <c r="A5117" i="1"/>
  <c r="B5117" i="1"/>
  <c r="C5117" i="1"/>
  <c r="A8938" i="1"/>
  <c r="B8938" i="1"/>
  <c r="C8938" i="1"/>
  <c r="A1962" i="1"/>
  <c r="B1962" i="1"/>
  <c r="C1962" i="1"/>
  <c r="A12180" i="1"/>
  <c r="B12180" i="1"/>
  <c r="C12180" i="1"/>
  <c r="A7242" i="1"/>
  <c r="B7242" i="1"/>
  <c r="C7242" i="1"/>
  <c r="A7443" i="1"/>
  <c r="B7443" i="1"/>
  <c r="C7443" i="1"/>
  <c r="A9799" i="1"/>
  <c r="B9799" i="1"/>
  <c r="C9799" i="1"/>
  <c r="A5872" i="1"/>
  <c r="B5872" i="1"/>
  <c r="C5872" i="1"/>
  <c r="A12222" i="1"/>
  <c r="B12222" i="1"/>
  <c r="C12222" i="1"/>
  <c r="A11360" i="1"/>
  <c r="B11360" i="1"/>
  <c r="C11360" i="1"/>
  <c r="A11653" i="1"/>
  <c r="B11653" i="1"/>
  <c r="C11653" i="1"/>
  <c r="A5499" i="1"/>
  <c r="B5499" i="1"/>
  <c r="C5499" i="1"/>
  <c r="A1118" i="1"/>
  <c r="B1118" i="1"/>
  <c r="C1118" i="1"/>
  <c r="A6426" i="1"/>
  <c r="B6426" i="1"/>
  <c r="C6426" i="1"/>
  <c r="A12712" i="1"/>
  <c r="B12712" i="1"/>
  <c r="C12712" i="1"/>
  <c r="A3946" i="1"/>
  <c r="B3946" i="1"/>
  <c r="C3946" i="1"/>
  <c r="A5794" i="1"/>
  <c r="B5794" i="1"/>
  <c r="C5794" i="1"/>
  <c r="A4230" i="1"/>
  <c r="B4230" i="1"/>
  <c r="C4230" i="1"/>
  <c r="A6651" i="1"/>
  <c r="B6651" i="1"/>
  <c r="C6651" i="1"/>
  <c r="A162" i="1"/>
  <c r="B162" i="1"/>
  <c r="C162" i="1"/>
  <c r="A1038" i="1"/>
  <c r="B1038" i="1"/>
  <c r="C1038" i="1"/>
  <c r="A2264" i="1"/>
  <c r="B2264" i="1"/>
  <c r="C2264" i="1"/>
  <c r="A12621" i="1"/>
  <c r="B12621" i="1"/>
  <c r="C12621" i="1"/>
  <c r="A6670" i="1"/>
  <c r="B6670" i="1"/>
  <c r="C6670" i="1"/>
  <c r="A13327" i="1"/>
  <c r="B13327" i="1"/>
  <c r="C13327" i="1"/>
  <c r="A11150" i="1"/>
  <c r="B11150" i="1"/>
  <c r="C11150" i="1"/>
  <c r="A12975" i="1"/>
  <c r="B12975" i="1"/>
  <c r="C12975" i="1"/>
  <c r="A13856" i="1"/>
  <c r="B13856" i="1"/>
  <c r="C13856" i="1"/>
  <c r="A5627" i="1"/>
  <c r="B5627" i="1"/>
  <c r="C5627" i="1"/>
  <c r="A2906" i="1"/>
  <c r="B2906" i="1"/>
  <c r="C2906" i="1"/>
  <c r="A10374" i="1"/>
  <c r="B10374" i="1"/>
  <c r="C10374" i="1"/>
  <c r="A11334" i="1"/>
  <c r="B11334" i="1"/>
  <c r="C11334" i="1"/>
  <c r="A10534" i="1"/>
  <c r="B10534" i="1"/>
  <c r="C10534" i="1"/>
  <c r="A10774" i="1"/>
  <c r="B10774" i="1"/>
  <c r="C10774" i="1"/>
  <c r="A1306" i="1"/>
  <c r="B1306" i="1"/>
  <c r="C1306" i="1"/>
  <c r="A1965" i="1"/>
  <c r="B1965" i="1"/>
  <c r="C1965" i="1"/>
  <c r="A3838" i="1"/>
  <c r="B3838" i="1"/>
  <c r="C3838" i="1"/>
  <c r="A10739" i="1"/>
  <c r="B10739" i="1"/>
  <c r="C10739" i="1"/>
  <c r="A7376" i="1"/>
  <c r="B7376" i="1"/>
  <c r="C7376" i="1"/>
  <c r="A6901" i="1"/>
  <c r="B6901" i="1"/>
  <c r="C6901" i="1"/>
  <c r="A10148" i="1"/>
  <c r="B10148" i="1"/>
  <c r="C10148" i="1"/>
  <c r="A9156" i="1"/>
  <c r="B9156" i="1"/>
  <c r="C9156" i="1"/>
  <c r="A9037" i="1"/>
  <c r="B9037" i="1"/>
  <c r="C9037" i="1"/>
  <c r="A2852" i="1"/>
  <c r="B2852" i="1"/>
  <c r="C2852" i="1"/>
  <c r="A13915" i="1"/>
  <c r="B13915" i="1"/>
  <c r="C13915" i="1"/>
  <c r="A10287" i="1"/>
  <c r="B10287" i="1"/>
  <c r="C10287" i="1"/>
  <c r="A12278" i="1"/>
  <c r="B12278" i="1"/>
  <c r="C12278" i="1"/>
  <c r="A3595" i="1"/>
  <c r="B3595" i="1"/>
  <c r="C3595" i="1"/>
  <c r="A1328" i="1"/>
  <c r="B1328" i="1"/>
  <c r="C1328" i="1"/>
  <c r="A11228" i="1"/>
  <c r="B11228" i="1"/>
  <c r="C11228" i="1"/>
  <c r="A11229" i="1"/>
  <c r="B11229" i="1"/>
  <c r="C11229" i="1"/>
  <c r="A6612" i="1"/>
  <c r="B6612" i="1"/>
  <c r="C6612" i="1"/>
  <c r="A6506" i="1"/>
  <c r="B6506" i="1"/>
  <c r="C6506" i="1"/>
  <c r="A4286" i="1"/>
  <c r="B4286" i="1"/>
  <c r="C4286" i="1"/>
  <c r="A12949" i="1"/>
  <c r="B12949" i="1"/>
  <c r="C12949" i="1"/>
  <c r="A9771" i="1"/>
  <c r="B9771" i="1"/>
  <c r="C9771" i="1"/>
  <c r="A6753" i="1"/>
  <c r="B6753" i="1"/>
  <c r="C6753" i="1"/>
  <c r="A7371" i="1"/>
  <c r="B7371" i="1"/>
  <c r="C7371" i="1"/>
  <c r="A2226" i="1"/>
  <c r="B2226" i="1"/>
  <c r="C2226" i="1"/>
  <c r="A11413" i="1"/>
  <c r="B11413" i="1"/>
  <c r="C11413" i="1"/>
  <c r="A7542" i="1"/>
  <c r="B7542" i="1"/>
  <c r="C7542" i="1"/>
  <c r="A8709" i="1"/>
  <c r="B8709" i="1"/>
  <c r="C8709" i="1"/>
  <c r="A9100" i="1"/>
  <c r="B9100" i="1"/>
  <c r="C9100" i="1"/>
  <c r="A9454" i="1"/>
  <c r="B9454" i="1"/>
  <c r="C9454" i="1"/>
  <c r="A887" i="1"/>
  <c r="B887" i="1"/>
  <c r="C887" i="1"/>
  <c r="A1936" i="1"/>
  <c r="B1936" i="1"/>
  <c r="C1936" i="1"/>
  <c r="A7114" i="1"/>
  <c r="B7114" i="1"/>
  <c r="C7114" i="1"/>
  <c r="A406" i="1"/>
  <c r="B406" i="1"/>
  <c r="C406" i="1"/>
  <c r="A4808" i="1"/>
  <c r="B4808" i="1"/>
  <c r="C4808" i="1"/>
  <c r="A3400" i="1"/>
  <c r="B3400" i="1"/>
  <c r="C3400" i="1"/>
  <c r="A13033" i="1"/>
  <c r="B13033" i="1"/>
  <c r="C13033" i="1"/>
  <c r="A3009" i="1"/>
  <c r="B3009" i="1"/>
  <c r="C3009" i="1"/>
  <c r="A2252" i="1"/>
  <c r="B2252" i="1"/>
  <c r="C2252" i="1"/>
  <c r="A12648" i="1"/>
  <c r="B12648" i="1"/>
  <c r="C12648" i="1"/>
  <c r="A10347" i="1"/>
  <c r="B10347" i="1"/>
  <c r="C10347" i="1"/>
  <c r="A9455" i="1"/>
  <c r="B9455" i="1"/>
  <c r="C9455" i="1"/>
  <c r="A9473" i="1"/>
  <c r="B9473" i="1"/>
  <c r="C9473" i="1"/>
  <c r="A12412" i="1"/>
  <c r="B12412" i="1"/>
  <c r="C12412" i="1"/>
  <c r="A4373" i="1"/>
  <c r="B4373" i="1"/>
  <c r="C4373" i="1"/>
  <c r="A346" i="1"/>
  <c r="B346" i="1"/>
  <c r="C346" i="1"/>
  <c r="A8772" i="1"/>
  <c r="B8772" i="1"/>
  <c r="C8772" i="1"/>
  <c r="A3307" i="1"/>
  <c r="B3307" i="1"/>
  <c r="C3307" i="1"/>
  <c r="A4008" i="1"/>
  <c r="B4008" i="1"/>
  <c r="C4008" i="1"/>
  <c r="A4118" i="1"/>
  <c r="B4118" i="1"/>
  <c r="C4118" i="1"/>
  <c r="A12057" i="1"/>
  <c r="B12057" i="1"/>
  <c r="C12057" i="1"/>
  <c r="A11162" i="1"/>
  <c r="B11162" i="1"/>
  <c r="C11162" i="1"/>
  <c r="A13164" i="1"/>
  <c r="B13164" i="1"/>
  <c r="C13164" i="1"/>
  <c r="A11163" i="1"/>
  <c r="B11163" i="1"/>
  <c r="C11163" i="1"/>
  <c r="A12932" i="1"/>
  <c r="B12932" i="1"/>
  <c r="C12932" i="1"/>
  <c r="A11095" i="1"/>
  <c r="B11095" i="1"/>
  <c r="C11095" i="1"/>
  <c r="A1798" i="1"/>
  <c r="B1798" i="1"/>
  <c r="C1798" i="1"/>
  <c r="A4355" i="1"/>
  <c r="B4355" i="1"/>
  <c r="C4355" i="1"/>
  <c r="A3501" i="1"/>
  <c r="B3501" i="1"/>
  <c r="C3501" i="1"/>
  <c r="A11835" i="1"/>
  <c r="B11835" i="1"/>
  <c r="C11835" i="1"/>
  <c r="A7635" i="1"/>
  <c r="B7635" i="1"/>
  <c r="C7635" i="1"/>
  <c r="A5897" i="1"/>
  <c r="B5897" i="1"/>
  <c r="C5897" i="1"/>
  <c r="A3923" i="1"/>
  <c r="B3923" i="1"/>
  <c r="C3923" i="1"/>
  <c r="A12908" i="1"/>
  <c r="B12908" i="1"/>
  <c r="C12908" i="1"/>
  <c r="A7613" i="1"/>
  <c r="B7613" i="1"/>
  <c r="C7613" i="1"/>
  <c r="A9560" i="1"/>
  <c r="B9560" i="1"/>
  <c r="C9560" i="1"/>
  <c r="A5379" i="1"/>
  <c r="B5379" i="1"/>
  <c r="C5379" i="1"/>
  <c r="A4073" i="1"/>
  <c r="B4073" i="1"/>
  <c r="C4073" i="1"/>
  <c r="A9456" i="1"/>
  <c r="B9456" i="1"/>
  <c r="C9456" i="1"/>
  <c r="A7993" i="1"/>
  <c r="B7993" i="1"/>
  <c r="C7993" i="1"/>
  <c r="A10073" i="1"/>
  <c r="B10073" i="1"/>
  <c r="C10073" i="1"/>
  <c r="A4532" i="1"/>
  <c r="B4532" i="1"/>
  <c r="C4532" i="1"/>
  <c r="A13318" i="1"/>
  <c r="B13318" i="1"/>
  <c r="C13318" i="1"/>
  <c r="A512" i="1"/>
  <c r="B512" i="1"/>
  <c r="C512" i="1"/>
  <c r="A2655" i="1"/>
  <c r="B2655" i="1"/>
  <c r="C2655" i="1"/>
  <c r="A9346" i="1"/>
  <c r="B9346" i="1"/>
  <c r="C9346" i="1"/>
  <c r="A11903" i="1"/>
  <c r="B11903" i="1"/>
  <c r="C11903" i="1"/>
  <c r="A11017" i="1"/>
  <c r="B11017" i="1"/>
  <c r="C11017" i="1"/>
  <c r="A9395" i="1"/>
  <c r="B9395" i="1"/>
  <c r="C9395" i="1"/>
  <c r="A4119" i="1"/>
  <c r="B4119" i="1"/>
  <c r="C4119" i="1"/>
  <c r="A4120" i="1"/>
  <c r="B4120" i="1"/>
  <c r="C4120" i="1"/>
  <c r="A870" i="1"/>
  <c r="B870" i="1"/>
  <c r="C870" i="1"/>
  <c r="A810" i="1"/>
  <c r="B810" i="1"/>
  <c r="C810" i="1"/>
  <c r="A7591" i="1"/>
  <c r="B7591" i="1"/>
  <c r="C7591" i="1"/>
  <c r="A8037" i="1"/>
  <c r="B8037" i="1"/>
  <c r="C8037" i="1"/>
  <c r="A10778" i="1"/>
  <c r="B10778" i="1"/>
  <c r="C10778" i="1"/>
  <c r="A1741" i="1"/>
  <c r="B1741" i="1"/>
  <c r="C1741" i="1"/>
  <c r="A12649" i="1"/>
  <c r="B12649" i="1"/>
  <c r="C12649" i="1"/>
  <c r="A10202" i="1"/>
  <c r="B10202" i="1"/>
  <c r="C10202" i="1"/>
  <c r="A13884" i="1"/>
  <c r="B13884" i="1"/>
  <c r="C13884" i="1"/>
  <c r="A6340" i="1"/>
  <c r="B6340" i="1"/>
  <c r="C6340" i="1"/>
  <c r="A336" i="1"/>
  <c r="B336" i="1"/>
  <c r="C336" i="1"/>
  <c r="A1396" i="1"/>
  <c r="B1396" i="1"/>
  <c r="C1396" i="1"/>
  <c r="A2111" i="1"/>
  <c r="B2111" i="1"/>
  <c r="C2111" i="1"/>
  <c r="A2080" i="1"/>
  <c r="B2080" i="1"/>
  <c r="C2080" i="1"/>
  <c r="A8040" i="1"/>
  <c r="B8040" i="1"/>
  <c r="C8040" i="1"/>
  <c r="A4558" i="1"/>
  <c r="B4558" i="1"/>
  <c r="C4558" i="1"/>
  <c r="A7279" i="1"/>
  <c r="B7279" i="1"/>
  <c r="C7279" i="1"/>
  <c r="A5478" i="1"/>
  <c r="B5478" i="1"/>
  <c r="C5478" i="1"/>
  <c r="A11680" i="1"/>
  <c r="B11680" i="1"/>
  <c r="C11680" i="1"/>
  <c r="A3640" i="1"/>
  <c r="B3640" i="1"/>
  <c r="C3640" i="1"/>
  <c r="A6012" i="1"/>
  <c r="B6012" i="1"/>
  <c r="C6012" i="1"/>
  <c r="A12191" i="1"/>
  <c r="B12191" i="1"/>
  <c r="C12191" i="1"/>
  <c r="A5635" i="1"/>
  <c r="B5635" i="1"/>
  <c r="C5635" i="1"/>
  <c r="A5026" i="1"/>
  <c r="B5026" i="1"/>
  <c r="C5026" i="1"/>
  <c r="A7232" i="1"/>
  <c r="B7232" i="1"/>
  <c r="C7232" i="1"/>
  <c r="A5735" i="1"/>
  <c r="B5735" i="1"/>
  <c r="C5735" i="1"/>
  <c r="A8269" i="1"/>
  <c r="B8269" i="1"/>
  <c r="C8269" i="1"/>
  <c r="A11709" i="1"/>
  <c r="B11709" i="1"/>
  <c r="C11709" i="1"/>
  <c r="A9541" i="1"/>
  <c r="B9541" i="1"/>
  <c r="C9541" i="1"/>
  <c r="A10144" i="1"/>
  <c r="B10144" i="1"/>
  <c r="C10144" i="1"/>
  <c r="A13897" i="1"/>
  <c r="B13897" i="1"/>
  <c r="C13897" i="1"/>
  <c r="A6362" i="1"/>
  <c r="B6362" i="1"/>
  <c r="C6362" i="1"/>
  <c r="A7597" i="1"/>
  <c r="B7597" i="1"/>
  <c r="C7597" i="1"/>
  <c r="A11146" i="1"/>
  <c r="B11146" i="1"/>
  <c r="C11146" i="1"/>
  <c r="A11147" i="1"/>
  <c r="B11147" i="1"/>
  <c r="C11147" i="1"/>
  <c r="A70" i="1"/>
  <c r="B70" i="1"/>
  <c r="C70" i="1"/>
  <c r="A75" i="1"/>
  <c r="B75" i="1"/>
  <c r="C75" i="1"/>
  <c r="A9996" i="1"/>
  <c r="B9996" i="1"/>
  <c r="C9996" i="1"/>
  <c r="A10390" i="1"/>
  <c r="B10390" i="1"/>
  <c r="C10390" i="1"/>
  <c r="A621" i="1"/>
  <c r="B621" i="1"/>
  <c r="C621" i="1"/>
  <c r="A1000" i="1"/>
  <c r="B1000" i="1"/>
  <c r="C1000" i="1"/>
  <c r="A2280" i="1"/>
  <c r="B2280" i="1"/>
  <c r="C2280" i="1"/>
  <c r="A13270" i="1"/>
  <c r="B13270" i="1"/>
  <c r="C13270" i="1"/>
  <c r="A3664" i="1"/>
  <c r="B3664" i="1"/>
  <c r="C3664" i="1"/>
  <c r="A11260" i="1"/>
  <c r="B11260" i="1"/>
  <c r="C11260" i="1"/>
  <c r="A7986" i="1"/>
  <c r="B7986" i="1"/>
  <c r="C7986" i="1"/>
  <c r="A9836" i="1"/>
  <c r="B9836" i="1"/>
  <c r="C9836" i="1"/>
  <c r="A3963" i="1"/>
  <c r="B3963" i="1"/>
  <c r="C3963" i="1"/>
  <c r="A2369" i="1"/>
  <c r="B2369" i="1"/>
  <c r="C2369" i="1"/>
  <c r="A3402" i="1"/>
  <c r="B3402" i="1"/>
  <c r="C3402" i="1"/>
  <c r="A7778" i="1"/>
  <c r="B7778" i="1"/>
  <c r="C7778" i="1"/>
  <c r="A1814" i="1"/>
  <c r="B1814" i="1"/>
  <c r="C1814" i="1"/>
  <c r="A9359" i="1"/>
  <c r="B9359" i="1"/>
  <c r="C9359" i="1"/>
  <c r="A11378" i="1"/>
  <c r="B11378" i="1"/>
  <c r="C11378" i="1"/>
  <c r="A9910" i="1"/>
  <c r="B9910" i="1"/>
  <c r="C9910" i="1"/>
  <c r="A13294" i="1"/>
  <c r="B13294" i="1"/>
  <c r="C13294" i="1"/>
  <c r="A8095" i="1"/>
  <c r="B8095" i="1"/>
  <c r="C8095" i="1"/>
  <c r="A1446" i="1"/>
  <c r="B1446" i="1"/>
  <c r="C1446" i="1"/>
  <c r="A12976" i="1"/>
  <c r="B12976" i="1"/>
  <c r="C12976" i="1"/>
  <c r="A355" i="1"/>
  <c r="B355" i="1"/>
  <c r="C355" i="1"/>
  <c r="A4157" i="1"/>
  <c r="B4157" i="1"/>
  <c r="C4157" i="1"/>
  <c r="A13507" i="1"/>
  <c r="B13507" i="1"/>
  <c r="C13507" i="1"/>
  <c r="A13896" i="1"/>
  <c r="B13896" i="1"/>
  <c r="C13896" i="1"/>
  <c r="A4473" i="1"/>
  <c r="B4473" i="1"/>
  <c r="C4473" i="1"/>
  <c r="A507" i="1"/>
  <c r="B507" i="1"/>
  <c r="C507" i="1"/>
  <c r="A8199" i="1"/>
  <c r="B8199" i="1"/>
  <c r="C8199" i="1"/>
  <c r="A849" i="1"/>
  <c r="B849" i="1"/>
  <c r="C849" i="1"/>
  <c r="A9251" i="1"/>
  <c r="B9251" i="1"/>
  <c r="C9251" i="1"/>
  <c r="A12517" i="1"/>
  <c r="B12517" i="1"/>
  <c r="C12517" i="1"/>
  <c r="A2339" i="1"/>
  <c r="B2339" i="1"/>
  <c r="C2339" i="1"/>
  <c r="A6242" i="1"/>
  <c r="B6242" i="1"/>
  <c r="C6242" i="1"/>
  <c r="A9417" i="1"/>
  <c r="B9417" i="1"/>
  <c r="C9417" i="1"/>
  <c r="A13711" i="1"/>
  <c r="B13711" i="1"/>
  <c r="C13711" i="1"/>
  <c r="A9283" i="1"/>
  <c r="B9283" i="1"/>
  <c r="C9283" i="1"/>
  <c r="A8014" i="1"/>
  <c r="B8014" i="1"/>
  <c r="C8014" i="1"/>
  <c r="A7360" i="1"/>
  <c r="B7360" i="1"/>
  <c r="C7360" i="1"/>
  <c r="A4873" i="1"/>
  <c r="B4873" i="1"/>
  <c r="C4873" i="1"/>
  <c r="A4966" i="1"/>
  <c r="B4966" i="1"/>
  <c r="C4966" i="1"/>
  <c r="A11327" i="1"/>
  <c r="B11327" i="1"/>
  <c r="C11327" i="1"/>
  <c r="A6480" i="1"/>
  <c r="B6480" i="1"/>
  <c r="C6480" i="1"/>
  <c r="A5946" i="1"/>
  <c r="B5946" i="1"/>
  <c r="C5946" i="1"/>
  <c r="A774" i="1"/>
  <c r="B774" i="1"/>
  <c r="C774" i="1"/>
  <c r="A7872" i="1"/>
  <c r="B7872" i="1"/>
  <c r="C7872" i="1"/>
  <c r="A3000" i="1"/>
  <c r="B3000" i="1"/>
  <c r="C3000" i="1"/>
  <c r="A8305" i="1"/>
  <c r="B8305" i="1"/>
  <c r="A8661" i="1"/>
  <c r="B8661" i="1"/>
  <c r="C8661" i="1"/>
  <c r="A13605" i="1"/>
  <c r="B13605" i="1"/>
  <c r="C13605" i="1"/>
  <c r="A11705" i="1"/>
  <c r="B11705" i="1"/>
  <c r="C11705" i="1"/>
  <c r="A8806" i="1"/>
  <c r="B8806" i="1"/>
  <c r="C8806" i="1"/>
  <c r="A13470" i="1"/>
  <c r="B13470" i="1"/>
  <c r="C13470" i="1"/>
  <c r="A13547" i="1"/>
  <c r="B13547" i="1"/>
  <c r="C13547" i="1"/>
  <c r="A5802" i="1"/>
  <c r="B5802" i="1"/>
  <c r="C5802" i="1"/>
  <c r="A8238" i="1"/>
  <c r="B8238" i="1"/>
  <c r="C8238" i="1"/>
  <c r="A10524" i="1"/>
  <c r="B10524" i="1"/>
  <c r="C10524" i="1"/>
  <c r="A13768" i="1"/>
  <c r="B13768" i="1"/>
  <c r="C13768" i="1"/>
  <c r="A9488" i="1"/>
  <c r="B9488" i="1"/>
  <c r="C9488" i="1"/>
  <c r="A3213" i="1"/>
  <c r="B3213" i="1"/>
  <c r="C3213" i="1"/>
  <c r="A11005" i="1"/>
  <c r="B11005" i="1"/>
  <c r="C11005" i="1"/>
  <c r="A9325" i="1"/>
  <c r="B9325" i="1"/>
  <c r="C9325" i="1"/>
  <c r="A3465" i="1"/>
  <c r="B3465" i="1"/>
  <c r="C3465" i="1"/>
  <c r="A9727" i="1"/>
  <c r="B9727" i="1"/>
  <c r="C9727" i="1"/>
  <c r="A8458" i="1"/>
  <c r="B8458" i="1"/>
  <c r="C8458" i="1"/>
  <c r="A2989" i="1"/>
  <c r="B2989" i="1"/>
  <c r="C2989" i="1"/>
  <c r="A7449" i="1"/>
  <c r="B7449" i="1"/>
  <c r="C7449" i="1"/>
  <c r="A4146" i="1"/>
  <c r="B4146" i="1"/>
  <c r="C4146" i="1"/>
  <c r="A8548" i="1"/>
  <c r="B8548" i="1"/>
  <c r="C8548" i="1"/>
  <c r="A11009" i="1"/>
  <c r="B11009" i="1"/>
  <c r="C11009" i="1"/>
  <c r="A995" i="1"/>
  <c r="B995" i="1"/>
  <c r="C995" i="1"/>
  <c r="A10539" i="1"/>
  <c r="B10539" i="1"/>
  <c r="C10539" i="1"/>
  <c r="A793" i="1"/>
  <c r="B793" i="1"/>
  <c r="C793" i="1"/>
  <c r="A623" i="1"/>
  <c r="B623" i="1"/>
  <c r="C623" i="1"/>
  <c r="A4048" i="1"/>
  <c r="B4048" i="1"/>
  <c r="C4048" i="1"/>
  <c r="A2821" i="1"/>
  <c r="B2821" i="1"/>
  <c r="C2821" i="1"/>
  <c r="A7295" i="1"/>
  <c r="B7295" i="1"/>
  <c r="C7295" i="1"/>
  <c r="A13374" i="1"/>
  <c r="B13374" i="1"/>
  <c r="C13374" i="1"/>
  <c r="A1838" i="1"/>
  <c r="B1838" i="1"/>
  <c r="C1838" i="1"/>
  <c r="A9768" i="1"/>
  <c r="B9768" i="1"/>
  <c r="C9768" i="1"/>
  <c r="A4853" i="1"/>
  <c r="B4853" i="1"/>
  <c r="C4853" i="1"/>
  <c r="A10611" i="1"/>
  <c r="B10611" i="1"/>
  <c r="C10611" i="1"/>
  <c r="A4140" i="1"/>
  <c r="B4140" i="1"/>
  <c r="C4140" i="1"/>
  <c r="A5933" i="1"/>
  <c r="B5933" i="1"/>
  <c r="C5933" i="1"/>
  <c r="A5644" i="1"/>
  <c r="B5644" i="1"/>
  <c r="C5644" i="1"/>
  <c r="A6605" i="1"/>
  <c r="B6605" i="1"/>
  <c r="C6605" i="1"/>
  <c r="A12243" i="1"/>
  <c r="B12243" i="1"/>
  <c r="C12243" i="1"/>
  <c r="A5157" i="1"/>
  <c r="B5157" i="1"/>
  <c r="C5157" i="1"/>
  <c r="A7070" i="1"/>
  <c r="B7070" i="1"/>
  <c r="C7070" i="1"/>
  <c r="A1305" i="1"/>
  <c r="B1305" i="1"/>
  <c r="C1305" i="1"/>
  <c r="A3890" i="1"/>
  <c r="B3890" i="1"/>
  <c r="C3890" i="1"/>
  <c r="A5678" i="1"/>
  <c r="B5678" i="1"/>
  <c r="C5678" i="1"/>
  <c r="A10886" i="1"/>
  <c r="B10886" i="1"/>
  <c r="C10886" i="1"/>
  <c r="A12677" i="1"/>
  <c r="B12677" i="1"/>
  <c r="C12677" i="1"/>
  <c r="A4103" i="1"/>
  <c r="B4103" i="1"/>
  <c r="C4103" i="1"/>
  <c r="A13723" i="1"/>
  <c r="B13723" i="1"/>
  <c r="C13723" i="1"/>
  <c r="A2531" i="1"/>
  <c r="B2531" i="1"/>
  <c r="C2531" i="1"/>
  <c r="A6153" i="1"/>
  <c r="B6153" i="1"/>
  <c r="C6153" i="1"/>
  <c r="A6848" i="1"/>
  <c r="B6848" i="1"/>
  <c r="C6848" i="1"/>
  <c r="A2818" i="1"/>
  <c r="B2818" i="1"/>
  <c r="C2818" i="1"/>
  <c r="A5955" i="1"/>
  <c r="B5955" i="1"/>
  <c r="C5955" i="1"/>
  <c r="A10486" i="1"/>
  <c r="B10486" i="1"/>
  <c r="C10486" i="1"/>
  <c r="A3815" i="1"/>
  <c r="B3815" i="1"/>
  <c r="C3815" i="1"/>
  <c r="A1940" i="1"/>
  <c r="B1940" i="1"/>
  <c r="C1940" i="1"/>
  <c r="A7657" i="1"/>
  <c r="B7657" i="1"/>
  <c r="C7657" i="1"/>
  <c r="A8887" i="1"/>
  <c r="B8887" i="1"/>
  <c r="C8887" i="1"/>
  <c r="A9830" i="1"/>
  <c r="B9830" i="1"/>
  <c r="C9830" i="1"/>
  <c r="A3749" i="1"/>
  <c r="B3749" i="1"/>
  <c r="C3749" i="1"/>
  <c r="A8262" i="1"/>
  <c r="B8262" i="1"/>
  <c r="C8262" i="1"/>
  <c r="A11558" i="1"/>
  <c r="B11558" i="1"/>
  <c r="C11558" i="1"/>
  <c r="A5690" i="1"/>
  <c r="B5690" i="1"/>
  <c r="C5690" i="1"/>
  <c r="A6493" i="1"/>
  <c r="B6493" i="1"/>
  <c r="C6493" i="1"/>
  <c r="A7463" i="1"/>
  <c r="B7463" i="1"/>
  <c r="C7463" i="1"/>
  <c r="A7150" i="1"/>
  <c r="B7150" i="1"/>
  <c r="C7150" i="1"/>
  <c r="A6418" i="1"/>
  <c r="B6418" i="1"/>
  <c r="C6418" i="1"/>
  <c r="A10188" i="1"/>
  <c r="B10188" i="1"/>
  <c r="C10188" i="1"/>
  <c r="A13569" i="1"/>
  <c r="B13569" i="1"/>
  <c r="C13569" i="1"/>
  <c r="A11184" i="1"/>
  <c r="B11184" i="1"/>
  <c r="C11184" i="1"/>
  <c r="A11820" i="1"/>
  <c r="B11820" i="1"/>
  <c r="C11820" i="1"/>
  <c r="A12873" i="1"/>
  <c r="B12873" i="1"/>
  <c r="C12873" i="1"/>
  <c r="A10731" i="1"/>
  <c r="B10731" i="1"/>
  <c r="C10731" i="1"/>
  <c r="A9447" i="1"/>
  <c r="B9447" i="1"/>
  <c r="C9447" i="1"/>
  <c r="A8274" i="1"/>
  <c r="B8274" i="1"/>
  <c r="C8274" i="1"/>
  <c r="A2911" i="1"/>
  <c r="B2911" i="1"/>
  <c r="C2911" i="1"/>
  <c r="A3401" i="1"/>
  <c r="B3401" i="1"/>
  <c r="C3401" i="1"/>
  <c r="A9981" i="1"/>
  <c r="B9981" i="1"/>
  <c r="C9981" i="1"/>
  <c r="A423" i="1"/>
  <c r="B423" i="1"/>
  <c r="C423" i="1"/>
  <c r="A5921" i="1"/>
  <c r="B5921" i="1"/>
  <c r="C5921" i="1"/>
  <c r="A1776" i="1"/>
  <c r="B1776" i="1"/>
  <c r="C1776" i="1"/>
  <c r="A13090" i="1"/>
  <c r="B13090" i="1"/>
  <c r="C13090" i="1"/>
  <c r="A11821" i="1"/>
  <c r="B11821" i="1"/>
  <c r="C11821" i="1"/>
  <c r="A10047" i="1"/>
  <c r="B10047" i="1"/>
  <c r="C10047" i="1"/>
  <c r="A11498" i="1"/>
  <c r="B11498" i="1"/>
  <c r="C11498" i="1"/>
  <c r="A2685" i="1"/>
  <c r="B2685" i="1"/>
  <c r="C2685" i="1"/>
  <c r="A4593" i="1"/>
  <c r="B4593" i="1"/>
  <c r="C4593" i="1"/>
  <c r="A391" i="1"/>
  <c r="B391" i="1"/>
  <c r="C391" i="1"/>
  <c r="A10129" i="1"/>
  <c r="B10129" i="1"/>
  <c r="C10129" i="1"/>
  <c r="A5568" i="1"/>
  <c r="B5568" i="1"/>
  <c r="C5568" i="1"/>
  <c r="A8773" i="1"/>
  <c r="B8773" i="1"/>
  <c r="C8773" i="1"/>
  <c r="A11320" i="1"/>
  <c r="B11320" i="1"/>
  <c r="C11320" i="1"/>
  <c r="A4438" i="1"/>
  <c r="B4438" i="1"/>
  <c r="C4438" i="1"/>
  <c r="A7050" i="1"/>
  <c r="B7050" i="1"/>
  <c r="C7050" i="1"/>
  <c r="A12874" i="1"/>
  <c r="B12874" i="1"/>
  <c r="C12874" i="1"/>
  <c r="A5288" i="1"/>
  <c r="B5288" i="1"/>
  <c r="C5288" i="1"/>
  <c r="A3218" i="1"/>
  <c r="B3218" i="1"/>
  <c r="C3218" i="1"/>
  <c r="A8029" i="1"/>
  <c r="B8029" i="1"/>
  <c r="C8029" i="1"/>
  <c r="A357" i="1"/>
  <c r="B357" i="1"/>
  <c r="C357" i="1"/>
  <c r="A11842" i="1"/>
  <c r="B11842" i="1"/>
  <c r="C11842" i="1"/>
  <c r="A3882" i="1"/>
  <c r="B3882" i="1"/>
  <c r="C3882" i="1"/>
  <c r="A12237" i="1"/>
  <c r="B12237" i="1"/>
  <c r="C12237" i="1"/>
  <c r="A10795" i="1"/>
  <c r="B10795" i="1"/>
  <c r="C10795" i="1"/>
  <c r="A4709" i="1"/>
  <c r="B4709" i="1"/>
  <c r="C4709" i="1"/>
  <c r="A4767" i="1"/>
  <c r="B4767" i="1"/>
  <c r="C4767" i="1"/>
  <c r="A678" i="1"/>
  <c r="B678" i="1"/>
  <c r="C678" i="1"/>
  <c r="A90" i="1"/>
  <c r="B90" i="1"/>
  <c r="C90" i="1"/>
  <c r="A13778" i="1"/>
  <c r="B13778" i="1"/>
  <c r="C13778" i="1"/>
  <c r="A5728" i="1"/>
  <c r="B5728" i="1"/>
  <c r="C5728" i="1"/>
  <c r="A156" i="1"/>
  <c r="B156" i="1"/>
  <c r="C156" i="1"/>
  <c r="A8047" i="1"/>
  <c r="B8047" i="1"/>
  <c r="C8047" i="1"/>
  <c r="A11177" i="1"/>
  <c r="B11177" i="1"/>
  <c r="C11177" i="1"/>
  <c r="A9900" i="1"/>
  <c r="B9900" i="1"/>
  <c r="C9900" i="1"/>
  <c r="A9640" i="1"/>
  <c r="B9640" i="1"/>
  <c r="C9640" i="1"/>
  <c r="A4509" i="1"/>
  <c r="B4509" i="1"/>
  <c r="C4509" i="1"/>
  <c r="A5228" i="1"/>
  <c r="B5228" i="1"/>
  <c r="C5228" i="1"/>
  <c r="A12650" i="1"/>
  <c r="B12650" i="1"/>
  <c r="C12650" i="1"/>
  <c r="A2239" i="1"/>
  <c r="B2239" i="1"/>
  <c r="C2239" i="1"/>
  <c r="A12173" i="1"/>
  <c r="B12173" i="1"/>
  <c r="C12173" i="1"/>
  <c r="A1563" i="1"/>
  <c r="B1563" i="1"/>
  <c r="C1563" i="1"/>
  <c r="A12251" i="1"/>
  <c r="B12251" i="1"/>
  <c r="C12251" i="1"/>
  <c r="A4629" i="1"/>
  <c r="B4629" i="1"/>
  <c r="C4629" i="1"/>
  <c r="A4374" i="1"/>
  <c r="B4374" i="1"/>
  <c r="C4374" i="1"/>
  <c r="A287" i="1"/>
  <c r="B287" i="1"/>
  <c r="C287" i="1"/>
  <c r="A10846" i="1"/>
  <c r="B10846" i="1"/>
  <c r="C10846" i="1"/>
  <c r="A1381" i="1"/>
  <c r="B1381" i="1"/>
  <c r="C1381" i="1"/>
  <c r="A1382" i="1"/>
  <c r="B1382" i="1"/>
  <c r="C1382" i="1"/>
  <c r="A10497" i="1"/>
  <c r="B10497" i="1"/>
  <c r="C10497" i="1"/>
  <c r="A13826" i="1"/>
  <c r="B13826" i="1"/>
  <c r="C13826" i="1"/>
  <c r="A5403" i="1"/>
  <c r="B5403" i="1"/>
  <c r="C5403" i="1"/>
  <c r="A304" i="1"/>
  <c r="B304" i="1"/>
  <c r="C304" i="1"/>
  <c r="A11148" i="1"/>
  <c r="B11148" i="1"/>
  <c r="C11148" i="1"/>
  <c r="A236" i="1"/>
  <c r="B236" i="1"/>
  <c r="C236" i="1"/>
  <c r="A10275" i="1"/>
  <c r="B10275" i="1"/>
  <c r="C10275" i="1"/>
  <c r="A13100" i="1"/>
  <c r="B13100" i="1"/>
  <c r="C13100" i="1"/>
  <c r="A13089" i="1"/>
  <c r="B13089" i="1"/>
  <c r="C13089" i="1"/>
  <c r="A6304" i="1"/>
  <c r="B6304" i="1"/>
  <c r="C6304" i="1"/>
  <c r="A99" i="1"/>
  <c r="B99" i="1"/>
  <c r="C99" i="1"/>
  <c r="A501" i="1"/>
  <c r="B501" i="1"/>
  <c r="C501" i="1"/>
  <c r="A2853" i="1"/>
  <c r="B2853" i="1"/>
  <c r="C2853" i="1"/>
  <c r="A5628" i="1"/>
  <c r="B5628" i="1"/>
  <c r="C5628" i="1"/>
  <c r="A13404" i="1"/>
  <c r="B13404" i="1"/>
  <c r="C13404" i="1"/>
  <c r="A12651" i="1"/>
  <c r="B12651" i="1"/>
  <c r="C12651" i="1"/>
  <c r="A12652" i="1"/>
  <c r="B12652" i="1"/>
  <c r="C12652" i="1"/>
  <c r="A7045" i="1"/>
  <c r="B7045" i="1"/>
  <c r="C7045" i="1"/>
  <c r="A1751" i="1"/>
  <c r="B1751" i="1"/>
  <c r="C1751" i="1"/>
  <c r="A7953" i="1"/>
  <c r="B7953" i="1"/>
  <c r="C7953" i="1"/>
  <c r="A12851" i="1"/>
  <c r="B12851" i="1"/>
  <c r="C12851" i="1"/>
  <c r="A6552" i="1"/>
  <c r="B6552" i="1"/>
  <c r="C6552" i="1"/>
  <c r="A4809" i="1"/>
  <c r="B4809" i="1"/>
  <c r="C4809" i="1"/>
  <c r="A3692" i="1"/>
  <c r="B3692" i="1"/>
  <c r="C3692" i="1"/>
  <c r="A7766" i="1"/>
  <c r="B7766" i="1"/>
  <c r="C7766" i="1"/>
  <c r="A3641" i="1"/>
  <c r="B3641" i="1"/>
  <c r="C3641" i="1"/>
  <c r="A8053" i="1"/>
  <c r="B8053" i="1"/>
  <c r="C8053" i="1"/>
  <c r="A672" i="1"/>
  <c r="B672" i="1"/>
  <c r="C672" i="1"/>
  <c r="A1104" i="1"/>
  <c r="B1104" i="1"/>
  <c r="C1104" i="1"/>
  <c r="A1218" i="1"/>
  <c r="B1218" i="1"/>
  <c r="C1218" i="1"/>
  <c r="A7401" i="1"/>
  <c r="B7401" i="1"/>
  <c r="C7401" i="1"/>
  <c r="A9899" i="1"/>
  <c r="B9899" i="1"/>
  <c r="C9899" i="1"/>
  <c r="A8267" i="1"/>
  <c r="B8267" i="1"/>
  <c r="C8267" i="1"/>
  <c r="A4009" i="1"/>
  <c r="B4009" i="1"/>
  <c r="C4009" i="1"/>
  <c r="A998" i="1"/>
  <c r="B998" i="1"/>
  <c r="C998" i="1"/>
  <c r="A11258" i="1"/>
  <c r="B11258" i="1"/>
  <c r="C11258" i="1"/>
  <c r="A8289" i="1"/>
  <c r="B8289" i="1"/>
  <c r="C8289" i="1"/>
  <c r="A12586" i="1"/>
  <c r="B12586" i="1"/>
  <c r="C12586" i="1"/>
  <c r="A10575" i="1"/>
  <c r="B10575" i="1"/>
  <c r="C10575" i="1"/>
  <c r="A13312" i="1"/>
  <c r="B13312" i="1"/>
  <c r="C13312" i="1"/>
  <c r="A13669" i="1"/>
  <c r="B13669" i="1"/>
  <c r="C13669" i="1"/>
  <c r="A6489" i="1"/>
  <c r="B6489" i="1"/>
  <c r="C6489" i="1"/>
  <c r="A6419" i="1"/>
  <c r="B6419" i="1"/>
  <c r="C6419" i="1"/>
  <c r="A1207" i="1"/>
  <c r="B1207" i="1"/>
  <c r="C1207" i="1"/>
  <c r="A5453" i="1"/>
  <c r="B5453" i="1"/>
  <c r="C5453" i="1"/>
  <c r="A13761" i="1"/>
  <c r="B13761" i="1"/>
  <c r="C13761" i="1"/>
  <c r="A7943" i="1"/>
  <c r="B7943" i="1"/>
  <c r="C7943" i="1"/>
  <c r="A10723" i="1"/>
  <c r="B10723" i="1"/>
  <c r="C10723" i="1"/>
  <c r="A6292" i="1"/>
  <c r="B6292" i="1"/>
  <c r="C6292" i="1"/>
  <c r="A2063" i="1"/>
  <c r="B2063" i="1"/>
  <c r="C2063" i="1"/>
  <c r="A6583" i="1"/>
  <c r="B6583" i="1"/>
  <c r="C6583" i="1"/>
  <c r="A1372" i="1"/>
  <c r="B1372" i="1"/>
  <c r="C1372" i="1"/>
  <c r="A6055" i="1"/>
  <c r="B6055" i="1"/>
  <c r="C6055" i="1"/>
  <c r="A6124" i="1"/>
  <c r="B6124" i="1"/>
  <c r="C6124" i="1"/>
  <c r="A1431" i="1"/>
  <c r="B1431" i="1"/>
  <c r="C1431" i="1"/>
  <c r="A9779" i="1"/>
  <c r="B9779" i="1"/>
  <c r="C9779" i="1"/>
  <c r="A8082" i="1"/>
  <c r="B8082" i="1"/>
  <c r="C8082" i="1"/>
  <c r="A5236" i="1"/>
  <c r="B5236" i="1"/>
  <c r="C5236" i="1"/>
  <c r="A9985" i="1"/>
  <c r="B9985" i="1"/>
  <c r="C9985" i="1"/>
  <c r="A3659" i="1"/>
  <c r="B3659" i="1"/>
  <c r="C3659" i="1"/>
  <c r="A7337" i="1"/>
  <c r="B7337" i="1"/>
  <c r="C7337" i="1"/>
  <c r="A2868" i="1"/>
  <c r="B2868" i="1"/>
  <c r="C2868" i="1"/>
  <c r="A10529" i="1"/>
  <c r="B10529" i="1"/>
  <c r="C10529" i="1"/>
  <c r="A8223" i="1"/>
  <c r="B8223" i="1"/>
  <c r="C8223" i="1"/>
  <c r="A11795" i="1"/>
  <c r="B11795" i="1"/>
  <c r="C11795" i="1"/>
  <c r="A10311" i="1"/>
  <c r="B10311" i="1"/>
  <c r="C10311" i="1"/>
  <c r="A7982" i="1"/>
  <c r="B7982" i="1"/>
  <c r="C7982" i="1"/>
  <c r="A12319" i="1"/>
  <c r="B12319" i="1"/>
  <c r="C12319" i="1"/>
  <c r="A12358" i="1"/>
  <c r="B12358" i="1"/>
  <c r="C12358" i="1"/>
  <c r="A12359" i="1"/>
  <c r="B12359" i="1"/>
  <c r="C12359" i="1"/>
  <c r="A6591" i="1"/>
  <c r="B6591" i="1"/>
  <c r="C6591" i="1"/>
  <c r="A5176" i="1"/>
  <c r="B5176" i="1"/>
  <c r="C5176" i="1"/>
  <c r="A3227" i="1"/>
  <c r="B3227" i="1"/>
  <c r="C3227" i="1"/>
  <c r="A12403" i="1"/>
  <c r="B12403" i="1"/>
  <c r="C12403" i="1"/>
  <c r="A5177" i="1"/>
  <c r="B5177" i="1"/>
  <c r="C5177" i="1"/>
  <c r="A13500" i="1"/>
  <c r="B13500" i="1"/>
  <c r="C13500" i="1"/>
  <c r="A4749" i="1"/>
  <c r="B4749" i="1"/>
  <c r="C4749" i="1"/>
  <c r="A5158" i="1"/>
  <c r="B5158" i="1"/>
  <c r="C5158" i="1"/>
  <c r="A647" i="1"/>
  <c r="B647" i="1"/>
  <c r="C647" i="1"/>
  <c r="A10704" i="1"/>
  <c r="B10704" i="1"/>
  <c r="C10704" i="1"/>
  <c r="A9770" i="1"/>
  <c r="B9770" i="1"/>
  <c r="C9770" i="1"/>
  <c r="A9175" i="1"/>
  <c r="B9175" i="1"/>
  <c r="C9175" i="1"/>
  <c r="A13197" i="1"/>
  <c r="B13197" i="1"/>
  <c r="C13197" i="1"/>
  <c r="A12460" i="1"/>
  <c r="B12460" i="1"/>
  <c r="C12460" i="1"/>
  <c r="A13814" i="1"/>
  <c r="B13814" i="1"/>
  <c r="C13814" i="1"/>
  <c r="A10322" i="1"/>
  <c r="B10322" i="1"/>
  <c r="C10322" i="1"/>
  <c r="A5956" i="1"/>
  <c r="B5956" i="1"/>
  <c r="C5956" i="1"/>
  <c r="A677" i="1"/>
  <c r="B677" i="1"/>
  <c r="C677" i="1"/>
  <c r="A7611" i="1"/>
  <c r="B7611" i="1"/>
  <c r="C7611" i="1"/>
  <c r="A3697" i="1"/>
  <c r="B3697" i="1"/>
  <c r="C3697" i="1"/>
  <c r="A9840" i="1"/>
  <c r="B9840" i="1"/>
  <c r="C9840" i="1"/>
  <c r="A1345" i="1"/>
  <c r="B1345" i="1"/>
  <c r="C1345" i="1"/>
  <c r="A7658" i="1"/>
  <c r="B7658" i="1"/>
  <c r="C7658" i="1"/>
  <c r="A12060" i="1"/>
  <c r="B12060" i="1"/>
  <c r="C12060" i="1"/>
  <c r="A11062" i="1"/>
  <c r="B11062" i="1"/>
  <c r="C11062" i="1"/>
  <c r="A7682" i="1"/>
  <c r="B7682" i="1"/>
  <c r="C7682" i="1"/>
  <c r="A4553" i="1"/>
  <c r="B4553" i="1"/>
  <c r="C4553" i="1"/>
  <c r="A7659" i="1"/>
  <c r="B7659" i="1"/>
  <c r="C7659" i="1"/>
  <c r="A829" i="1"/>
  <c r="B829" i="1"/>
  <c r="C829" i="1"/>
  <c r="A1463" i="1"/>
  <c r="B1463" i="1"/>
  <c r="C1463" i="1"/>
  <c r="A8816" i="1"/>
  <c r="B8816" i="1"/>
  <c r="C8816" i="1"/>
  <c r="A5466" i="1"/>
  <c r="B5466" i="1"/>
  <c r="C5466" i="1"/>
  <c r="A3138" i="1"/>
  <c r="B3138" i="1"/>
  <c r="C3138" i="1"/>
  <c r="A103" i="1"/>
  <c r="B103" i="1"/>
  <c r="C103" i="1"/>
  <c r="A1313" i="1"/>
  <c r="B1313" i="1"/>
  <c r="C1313" i="1"/>
  <c r="A1911" i="1"/>
  <c r="B1911" i="1"/>
  <c r="C1911" i="1"/>
  <c r="A359" i="1"/>
  <c r="B359" i="1"/>
  <c r="C359" i="1"/>
  <c r="A12791" i="1"/>
  <c r="B12791" i="1"/>
  <c r="C12791" i="1"/>
  <c r="A1198" i="1"/>
  <c r="B1198" i="1"/>
  <c r="C1198" i="1"/>
  <c r="A3121" i="1"/>
  <c r="B3121" i="1"/>
  <c r="C3121" i="1"/>
  <c r="A1677" i="1"/>
  <c r="B1677" i="1"/>
  <c r="C1677" i="1"/>
  <c r="A11269" i="1"/>
  <c r="B11269" i="1"/>
  <c r="C11269" i="1"/>
  <c r="A5216" i="1"/>
  <c r="B5216" i="1"/>
  <c r="C5216" i="1"/>
  <c r="A4493" i="1"/>
  <c r="B4493" i="1"/>
  <c r="C4493" i="1"/>
  <c r="A6769" i="1"/>
  <c r="B6769" i="1"/>
  <c r="C6769" i="1"/>
  <c r="A8105" i="1"/>
  <c r="B8105" i="1"/>
  <c r="C8105" i="1"/>
  <c r="A8711" i="1"/>
  <c r="B8711" i="1"/>
  <c r="C8711" i="1"/>
  <c r="A1009" i="1"/>
  <c r="B1009" i="1"/>
  <c r="C1009" i="1"/>
  <c r="A182" i="1"/>
  <c r="B182" i="1"/>
  <c r="C182" i="1"/>
  <c r="A6667" i="1"/>
  <c r="B6667" i="1"/>
  <c r="C6667" i="1"/>
  <c r="A4813" i="1"/>
  <c r="B4813" i="1"/>
  <c r="C4813" i="1"/>
  <c r="A3880" i="1"/>
  <c r="B3880" i="1"/>
  <c r="C3880" i="1"/>
  <c r="A13899" i="1"/>
  <c r="B13899" i="1"/>
  <c r="C13899" i="1"/>
  <c r="A9366" i="1"/>
  <c r="B9366" i="1"/>
  <c r="C9366" i="1"/>
  <c r="A8119" i="1"/>
  <c r="B8119" i="1"/>
  <c r="C8119" i="1"/>
  <c r="A636" i="1"/>
  <c r="B636" i="1"/>
  <c r="C636" i="1"/>
  <c r="A1586" i="1"/>
  <c r="B1586" i="1"/>
  <c r="C1586" i="1"/>
  <c r="A3766" i="1"/>
  <c r="B3766" i="1"/>
  <c r="C3766" i="1"/>
  <c r="A13328" i="1"/>
  <c r="B13328" i="1"/>
  <c r="C13328" i="1"/>
  <c r="A3322" i="1"/>
  <c r="B3322" i="1"/>
  <c r="C3322" i="1"/>
  <c r="A3939" i="1"/>
  <c r="B3939" i="1"/>
  <c r="C3939" i="1"/>
  <c r="A12136" i="1"/>
  <c r="B12136" i="1"/>
  <c r="C12136" i="1"/>
  <c r="A6847" i="1"/>
  <c r="B6847" i="1"/>
  <c r="C6847" i="1"/>
  <c r="A1629" i="1"/>
  <c r="B1629" i="1"/>
  <c r="C1629" i="1"/>
  <c r="A10251" i="1"/>
  <c r="B10251" i="1"/>
  <c r="C10251" i="1"/>
  <c r="A1875" i="1"/>
  <c r="B1875" i="1"/>
  <c r="C1875" i="1"/>
  <c r="A5523" i="1"/>
  <c r="B5523" i="1"/>
  <c r="C5523" i="1"/>
  <c r="A12363" i="1"/>
  <c r="B12363" i="1"/>
  <c r="C12363" i="1"/>
  <c r="A12853" i="1"/>
  <c r="B12853" i="1"/>
  <c r="C12853" i="1"/>
  <c r="A8820" i="1"/>
  <c r="B8820" i="1"/>
  <c r="C8820" i="1"/>
  <c r="A9548" i="1"/>
  <c r="B9548" i="1"/>
  <c r="C9548" i="1"/>
  <c r="A13904" i="1"/>
  <c r="B13904" i="1"/>
  <c r="C13904" i="1"/>
  <c r="A7931" i="1"/>
  <c r="B7931" i="1"/>
  <c r="C7931" i="1"/>
  <c r="A2976" i="1"/>
  <c r="B2976" i="1"/>
  <c r="C2976" i="1"/>
  <c r="A5241" i="1"/>
  <c r="B5241" i="1"/>
  <c r="C5241" i="1"/>
  <c r="A8717" i="1"/>
  <c r="B8717" i="1"/>
  <c r="C8717" i="1"/>
  <c r="A11617" i="1"/>
  <c r="B11617" i="1"/>
  <c r="C11617" i="1"/>
  <c r="A2397" i="1"/>
  <c r="B2397" i="1"/>
  <c r="C2397" i="1"/>
  <c r="A9277" i="1"/>
  <c r="B9277" i="1"/>
  <c r="C9277" i="1"/>
  <c r="A12802" i="1"/>
  <c r="B12802" i="1"/>
  <c r="C12802" i="1"/>
  <c r="A13657" i="1"/>
  <c r="B13657" i="1"/>
  <c r="C13657" i="1"/>
  <c r="A6233" i="1"/>
  <c r="B6233" i="1"/>
  <c r="C6233" i="1"/>
  <c r="A9515" i="1"/>
  <c r="B9515" i="1"/>
  <c r="C9515" i="1"/>
  <c r="A11527" i="1"/>
  <c r="B11527" i="1"/>
  <c r="C11527" i="1"/>
  <c r="A2892" i="1"/>
  <c r="B2892" i="1"/>
  <c r="C2892" i="1"/>
  <c r="A12584" i="1"/>
  <c r="B12584" i="1"/>
  <c r="C12584" i="1"/>
  <c r="A4857" i="1"/>
  <c r="B4857" i="1"/>
  <c r="C4857" i="1"/>
  <c r="A12302" i="1"/>
  <c r="B12302" i="1"/>
  <c r="C12302" i="1"/>
  <c r="A4736" i="1"/>
  <c r="B4736" i="1"/>
  <c r="C4736" i="1"/>
  <c r="A13384" i="1"/>
  <c r="B13384" i="1"/>
  <c r="C13384" i="1"/>
  <c r="A2070" i="1"/>
  <c r="B2070" i="1"/>
  <c r="C2070" i="1"/>
  <c r="A8412" i="1"/>
  <c r="B8412" i="1"/>
  <c r="C8412" i="1"/>
  <c r="A3858" i="1"/>
  <c r="B3858" i="1"/>
  <c r="C3858" i="1"/>
  <c r="A6815" i="1"/>
  <c r="B6815" i="1"/>
  <c r="C6815" i="1"/>
  <c r="A11440" i="1"/>
  <c r="B11440" i="1"/>
  <c r="C11440" i="1"/>
  <c r="A1260" i="1"/>
  <c r="B1260" i="1"/>
  <c r="C1260" i="1"/>
  <c r="A9036" i="1"/>
  <c r="B9036" i="1"/>
  <c r="C9036" i="1"/>
  <c r="A9089" i="1"/>
  <c r="B9089" i="1"/>
  <c r="C9089" i="1"/>
  <c r="A9440" i="1"/>
  <c r="B9440" i="1"/>
  <c r="C9440" i="1"/>
  <c r="A7649" i="1"/>
  <c r="B7649" i="1"/>
  <c r="C7649" i="1"/>
  <c r="A12273" i="1"/>
  <c r="B12273" i="1"/>
  <c r="C12273" i="1"/>
  <c r="A10708" i="1"/>
  <c r="B10708" i="1"/>
  <c r="C10708" i="1"/>
  <c r="A9984" i="1"/>
  <c r="B9984" i="1"/>
  <c r="C9984" i="1"/>
  <c r="A8483" i="1"/>
  <c r="B8483" i="1"/>
  <c r="C8483" i="1"/>
  <c r="A12279" i="1"/>
  <c r="B12279" i="1"/>
  <c r="C12279" i="1"/>
  <c r="A8123" i="1"/>
  <c r="B8123" i="1"/>
  <c r="C8123" i="1"/>
  <c r="A10860" i="1"/>
  <c r="B10860" i="1"/>
  <c r="C10860" i="1"/>
  <c r="A6754" i="1"/>
  <c r="B6754" i="1"/>
  <c r="C6754" i="1"/>
  <c r="A10194" i="1"/>
  <c r="B10194" i="1"/>
  <c r="C10194" i="1"/>
  <c r="A7490" i="1"/>
  <c r="B7490" i="1"/>
  <c r="C7490" i="1"/>
  <c r="A1383" i="1"/>
  <c r="B1383" i="1"/>
  <c r="C1383" i="1"/>
  <c r="A6458" i="1"/>
  <c r="B6458" i="1"/>
  <c r="C6458" i="1"/>
  <c r="A11025" i="1"/>
  <c r="B11025" i="1"/>
  <c r="C11025" i="1"/>
  <c r="A383" i="1"/>
  <c r="B383" i="1"/>
  <c r="C383" i="1"/>
  <c r="A2119" i="1"/>
  <c r="B2119" i="1"/>
  <c r="C2119" i="1"/>
  <c r="A7896" i="1"/>
  <c r="B7896" i="1"/>
  <c r="C7896" i="1"/>
  <c r="A5269" i="1"/>
  <c r="B5269" i="1"/>
  <c r="C5269" i="1"/>
  <c r="A4638" i="1"/>
  <c r="B4638" i="1"/>
  <c r="C4638" i="1"/>
  <c r="A12875" i="1"/>
  <c r="B12875" i="1"/>
  <c r="C12875" i="1"/>
  <c r="A604" i="1"/>
  <c r="B604" i="1"/>
  <c r="C604" i="1"/>
  <c r="A8235" i="1"/>
  <c r="B8235" i="1"/>
  <c r="C8235" i="1"/>
  <c r="A9519" i="1"/>
  <c r="B9519" i="1"/>
  <c r="C9519" i="1"/>
  <c r="A65" i="1"/>
  <c r="B65" i="1"/>
  <c r="C65" i="1"/>
  <c r="A128" i="1"/>
  <c r="B128" i="1"/>
  <c r="C128" i="1"/>
  <c r="A5763" i="1"/>
  <c r="B5763" i="1"/>
  <c r="C5763" i="1"/>
  <c r="A399" i="1"/>
  <c r="B399" i="1"/>
  <c r="C399" i="1"/>
  <c r="A12392" i="1"/>
  <c r="B12392" i="1"/>
  <c r="C12392" i="1"/>
  <c r="A12230" i="1"/>
  <c r="B12230" i="1"/>
  <c r="C12230" i="1"/>
  <c r="A12876" i="1"/>
  <c r="B12876" i="1"/>
  <c r="C12876" i="1"/>
  <c r="A12326" i="1"/>
  <c r="B12326" i="1"/>
  <c r="C12326" i="1"/>
  <c r="A4439" i="1"/>
  <c r="B4439" i="1"/>
  <c r="C4439" i="1"/>
  <c r="A4440" i="1"/>
  <c r="B4440" i="1"/>
  <c r="C4440" i="1"/>
  <c r="A11642" i="1"/>
  <c r="B11642" i="1"/>
  <c r="C11642" i="1"/>
  <c r="A11242" i="1"/>
  <c r="B11242" i="1"/>
  <c r="C11242" i="1"/>
  <c r="A11362" i="1"/>
  <c r="B11362" i="1"/>
  <c r="C11362" i="1"/>
  <c r="A12592" i="1"/>
  <c r="B12592" i="1"/>
  <c r="C12592" i="1"/>
  <c r="A11511" i="1"/>
  <c r="B11511" i="1"/>
  <c r="C11511" i="1"/>
  <c r="A6755" i="1"/>
  <c r="B6755" i="1"/>
  <c r="C6755" i="1"/>
  <c r="A8645" i="1"/>
  <c r="B8645" i="1"/>
  <c r="C8645" i="1"/>
  <c r="A11710" i="1"/>
  <c r="B11710" i="1"/>
  <c r="C11710" i="1"/>
  <c r="A11671" i="1"/>
  <c r="B11671" i="1"/>
  <c r="C11671" i="1"/>
  <c r="A4822" i="1"/>
  <c r="B4822" i="1"/>
  <c r="C4822" i="1"/>
  <c r="A12456" i="1"/>
  <c r="B12456" i="1"/>
  <c r="C12456" i="1"/>
  <c r="A2656" i="1"/>
  <c r="B2656" i="1"/>
  <c r="C2656" i="1"/>
  <c r="A1745" i="1"/>
  <c r="B1745" i="1"/>
  <c r="C1745" i="1"/>
  <c r="A4789" i="1"/>
  <c r="B4789" i="1"/>
  <c r="C4789" i="1"/>
  <c r="A11164" i="1"/>
  <c r="B11164" i="1"/>
  <c r="C11164" i="1"/>
  <c r="A550" i="1"/>
  <c r="B550" i="1"/>
  <c r="C550" i="1"/>
  <c r="A9448" i="1"/>
  <c r="B9448" i="1"/>
  <c r="C9448" i="1"/>
  <c r="A2240" i="1"/>
  <c r="B2240" i="1"/>
  <c r="C2240" i="1"/>
  <c r="A10613" i="1"/>
  <c r="B10613" i="1"/>
  <c r="C10613" i="1"/>
  <c r="A12877" i="1"/>
  <c r="B12877" i="1"/>
  <c r="C12877" i="1"/>
  <c r="A4074" i="1"/>
  <c r="B4074" i="1"/>
  <c r="C4074" i="1"/>
  <c r="A13191" i="1"/>
  <c r="B13191" i="1"/>
  <c r="C13191" i="1"/>
  <c r="A3769" i="1"/>
  <c r="B3769" i="1"/>
  <c r="C3769" i="1"/>
  <c r="A13764" i="1"/>
  <c r="B13764" i="1"/>
  <c r="C13764" i="1"/>
  <c r="A8782" i="1"/>
  <c r="B8782" i="1"/>
  <c r="C8782" i="1"/>
  <c r="A10864" i="1"/>
  <c r="B10864" i="1"/>
  <c r="C10864" i="1"/>
  <c r="A1726" i="1"/>
  <c r="B1726" i="1"/>
  <c r="C1726" i="1"/>
  <c r="A7536" i="1"/>
  <c r="B7536" i="1"/>
  <c r="C7536" i="1"/>
  <c r="A7730" i="1"/>
  <c r="B7730" i="1"/>
  <c r="C7730" i="1"/>
  <c r="A9526" i="1"/>
  <c r="B9526" i="1"/>
  <c r="C9526" i="1"/>
  <c r="A4486" i="1"/>
  <c r="B4486" i="1"/>
  <c r="C4486" i="1"/>
  <c r="A11503" i="1"/>
  <c r="B11503" i="1"/>
  <c r="C11503" i="1"/>
  <c r="A5314" i="1"/>
  <c r="B5314" i="1"/>
  <c r="C5314" i="1"/>
  <c r="A2204" i="1"/>
  <c r="B2204" i="1"/>
  <c r="C2204" i="1"/>
  <c r="A12653" i="1"/>
  <c r="B12653" i="1"/>
  <c r="C12653" i="1"/>
  <c r="A11013" i="1"/>
  <c r="B11013" i="1"/>
  <c r="C11013" i="1"/>
  <c r="A11921" i="1"/>
  <c r="B11921" i="1"/>
  <c r="C11921" i="1"/>
  <c r="A3320" i="1"/>
  <c r="B3320" i="1"/>
  <c r="C3320" i="1"/>
  <c r="A8427" i="1"/>
  <c r="B8427" i="1"/>
  <c r="C8427" i="1"/>
  <c r="A7450" i="1"/>
  <c r="B7450" i="1"/>
  <c r="C7450" i="1"/>
  <c r="A6341" i="1"/>
  <c r="B6341" i="1"/>
  <c r="C6341" i="1"/>
  <c r="A3441" i="1"/>
  <c r="B3441" i="1"/>
  <c r="C3441" i="1"/>
  <c r="A10652" i="1"/>
  <c r="B10652" i="1"/>
  <c r="C10652" i="1"/>
  <c r="A8960" i="1"/>
  <c r="B8960" i="1"/>
  <c r="C8960" i="1"/>
  <c r="A6976" i="1"/>
  <c r="B6976" i="1"/>
  <c r="C6976" i="1"/>
  <c r="A5587" i="1"/>
  <c r="B5587" i="1"/>
  <c r="C5587" i="1"/>
  <c r="A6797" i="1"/>
  <c r="B6797" i="1"/>
  <c r="C6797" i="1"/>
  <c r="A11744" i="1"/>
  <c r="B11744" i="1"/>
  <c r="C11744" i="1"/>
  <c r="A10243" i="1"/>
  <c r="B10243" i="1"/>
  <c r="C10243" i="1"/>
  <c r="A3105" i="1"/>
  <c r="B3105" i="1"/>
  <c r="C3105" i="1"/>
  <c r="A5406" i="1"/>
  <c r="B5406" i="1"/>
  <c r="C5406" i="1"/>
  <c r="A6234" i="1"/>
  <c r="B6234" i="1"/>
  <c r="C6234" i="1"/>
  <c r="A8397" i="1"/>
  <c r="B8397" i="1"/>
  <c r="C8397" i="1"/>
  <c r="A8587" i="1"/>
  <c r="B8587" i="1"/>
  <c r="C8587" i="1"/>
  <c r="A2389" i="1"/>
  <c r="B2389" i="1"/>
  <c r="C2389" i="1"/>
  <c r="A11131" i="1"/>
  <c r="B11131" i="1"/>
  <c r="C11131" i="1"/>
  <c r="A82" i="1"/>
  <c r="B82" i="1"/>
  <c r="C82" i="1"/>
  <c r="A3839" i="1"/>
  <c r="B3839" i="1"/>
  <c r="C3839" i="1"/>
  <c r="A1097" i="1"/>
  <c r="B1097" i="1"/>
  <c r="C1097" i="1"/>
  <c r="A4797" i="1"/>
  <c r="B4797" i="1"/>
  <c r="C4797" i="1"/>
  <c r="A3107" i="1"/>
  <c r="B3107" i="1"/>
  <c r="C3107" i="1"/>
  <c r="A6" i="1"/>
  <c r="B6" i="1"/>
  <c r="C6" i="1"/>
  <c r="A10413" i="1"/>
  <c r="B10413" i="1"/>
  <c r="C10413" i="1"/>
  <c r="A2047" i="1"/>
  <c r="B2047" i="1"/>
  <c r="C2047" i="1"/>
  <c r="A6326" i="1"/>
  <c r="B6326" i="1"/>
  <c r="C6326" i="1"/>
  <c r="A5904" i="1"/>
  <c r="B5904" i="1"/>
  <c r="C5904" i="1"/>
  <c r="A6626" i="1"/>
  <c r="B6626" i="1"/>
  <c r="C6626" i="1"/>
  <c r="A971" i="1"/>
  <c r="B971" i="1"/>
  <c r="C971" i="1"/>
  <c r="A1426" i="1"/>
  <c r="B1426" i="1"/>
  <c r="C1426" i="1"/>
  <c r="A2228" i="1"/>
  <c r="B2228" i="1"/>
  <c r="C2228" i="1"/>
  <c r="A10767" i="1"/>
  <c r="B10767" i="1"/>
  <c r="C10767" i="1"/>
  <c r="A10672" i="1"/>
  <c r="B10672" i="1"/>
  <c r="C10672" i="1"/>
  <c r="A4183" i="1"/>
  <c r="B4183" i="1"/>
  <c r="C4183" i="1"/>
  <c r="A3304" i="1"/>
  <c r="B3304" i="1"/>
  <c r="C3304" i="1"/>
  <c r="A4477" i="1"/>
  <c r="B4477" i="1"/>
  <c r="C4477" i="1"/>
  <c r="A1249" i="1"/>
  <c r="B1249" i="1"/>
  <c r="C1249" i="1"/>
  <c r="A5211" i="1"/>
  <c r="B5211" i="1"/>
  <c r="C5211" i="1"/>
  <c r="A10343" i="1"/>
  <c r="B10343" i="1"/>
  <c r="C10343" i="1"/>
  <c r="A8058" i="1"/>
  <c r="B8058" i="1"/>
  <c r="C8058" i="1"/>
  <c r="A8232" i="1"/>
  <c r="B8232" i="1"/>
  <c r="C8232" i="1"/>
  <c r="A6742" i="1"/>
  <c r="B6742" i="1"/>
  <c r="C6742" i="1"/>
  <c r="A1715" i="1"/>
  <c r="B1715" i="1"/>
  <c r="C1715" i="1"/>
  <c r="A8323" i="1"/>
  <c r="B8323" i="1"/>
  <c r="C8323" i="1"/>
  <c r="A356" i="1"/>
  <c r="B356" i="1"/>
  <c r="C356" i="1"/>
  <c r="A4152" i="1"/>
  <c r="B4152" i="1"/>
  <c r="C4152" i="1"/>
  <c r="A2007" i="1"/>
  <c r="B2007" i="1"/>
  <c r="C2007" i="1"/>
  <c r="A8416" i="1"/>
  <c r="B8416" i="1"/>
  <c r="C8416" i="1"/>
  <c r="A10277" i="1"/>
  <c r="B10277" i="1"/>
  <c r="C10277" i="1"/>
  <c r="A1024" i="1"/>
  <c r="B1024" i="1"/>
  <c r="C1024" i="1"/>
  <c r="A12524" i="1"/>
  <c r="B12524" i="1"/>
  <c r="C12524" i="1"/>
  <c r="A12307" i="1"/>
  <c r="B12307" i="1"/>
  <c r="C12307" i="1"/>
  <c r="A12105" i="1"/>
  <c r="B12105" i="1"/>
  <c r="C12105" i="1"/>
  <c r="A10471" i="1"/>
  <c r="B10471" i="1"/>
  <c r="C10471" i="1"/>
  <c r="A5835" i="1"/>
  <c r="B5835" i="1"/>
  <c r="C5835" i="1"/>
  <c r="A12961" i="1"/>
  <c r="B12961" i="1"/>
  <c r="C12961" i="1"/>
  <c r="A3840" i="1"/>
  <c r="B3840" i="1"/>
  <c r="C3840" i="1"/>
  <c r="A7714" i="1"/>
  <c r="B7714" i="1"/>
  <c r="C7714" i="1"/>
  <c r="A3862" i="1"/>
  <c r="B3862" i="1"/>
  <c r="C3862" i="1"/>
  <c r="A5340" i="1"/>
  <c r="B5340" i="1"/>
  <c r="C5340" i="1"/>
  <c r="A12939" i="1"/>
  <c r="B12939" i="1"/>
  <c r="C12939" i="1"/>
  <c r="A6051" i="1"/>
  <c r="B6051" i="1"/>
  <c r="C6051" i="1"/>
  <c r="A6125" i="1"/>
  <c r="B6125" i="1"/>
  <c r="C6125" i="1"/>
  <c r="A11739" i="1"/>
  <c r="B11739" i="1"/>
  <c r="C11739" i="1"/>
  <c r="A7349" i="1"/>
  <c r="B7349" i="1"/>
  <c r="C7349" i="1"/>
  <c r="A13044" i="1"/>
  <c r="B13044" i="1"/>
  <c r="C13044" i="1"/>
  <c r="A11310" i="1"/>
  <c r="B11310" i="1"/>
  <c r="C11310" i="1"/>
  <c r="A8002" i="1"/>
  <c r="B8002" i="1"/>
  <c r="C8002" i="1"/>
  <c r="A3162" i="1"/>
  <c r="B3162" i="1"/>
  <c r="C3162" i="1"/>
  <c r="A9806" i="1"/>
  <c r="B9806" i="1"/>
  <c r="C9806" i="1"/>
  <c r="A9230" i="1"/>
  <c r="B9230" i="1"/>
  <c r="C9230" i="1"/>
  <c r="A10503" i="1"/>
  <c r="B10503" i="1"/>
  <c r="C10503" i="1"/>
  <c r="A10600" i="1"/>
  <c r="B10600" i="1"/>
  <c r="C10600" i="1"/>
  <c r="A3522" i="1"/>
  <c r="B3522" i="1"/>
  <c r="C3522" i="1"/>
  <c r="A12360" i="1"/>
  <c r="B12360" i="1"/>
  <c r="C12360" i="1"/>
  <c r="A13804" i="1"/>
  <c r="B13804" i="1"/>
  <c r="C13804" i="1"/>
  <c r="A12361" i="1"/>
  <c r="B12361" i="1"/>
  <c r="C12361" i="1"/>
  <c r="A3221" i="1"/>
  <c r="B3221" i="1"/>
  <c r="C3221" i="1"/>
  <c r="A4220" i="1"/>
  <c r="B4220" i="1"/>
  <c r="C4220" i="1"/>
  <c r="A7015" i="1"/>
  <c r="B7015" i="1"/>
  <c r="C7015" i="1"/>
  <c r="A7103" i="1"/>
  <c r="B7103" i="1"/>
  <c r="A7320" i="1"/>
  <c r="B7320" i="1"/>
  <c r="C7320" i="1"/>
  <c r="A13639" i="1"/>
  <c r="B13639" i="1"/>
  <c r="C13639" i="1"/>
  <c r="A1023" i="1"/>
  <c r="B1023" i="1"/>
  <c r="C1023" i="1"/>
  <c r="A5261" i="1"/>
  <c r="B5261" i="1"/>
  <c r="C5261" i="1"/>
  <c r="A5028" i="1"/>
  <c r="B5028" i="1"/>
  <c r="C5028" i="1"/>
  <c r="A10025" i="1"/>
  <c r="B10025" i="1"/>
  <c r="C10025" i="1"/>
  <c r="A5303" i="1"/>
  <c r="B5303" i="1"/>
  <c r="C5303" i="1"/>
  <c r="A5458" i="1"/>
  <c r="B5458" i="1"/>
  <c r="C5458" i="1"/>
  <c r="A1360" i="1"/>
  <c r="B1360" i="1"/>
  <c r="C1360" i="1"/>
  <c r="A3597" i="1"/>
  <c r="B3597" i="1"/>
  <c r="C3597" i="1"/>
  <c r="A2189" i="1"/>
  <c r="B2189" i="1"/>
  <c r="C2189" i="1"/>
  <c r="A3343" i="1"/>
  <c r="B3343" i="1"/>
  <c r="C3343" i="1"/>
  <c r="A4665" i="1"/>
  <c r="B4665" i="1"/>
  <c r="C4665" i="1"/>
  <c r="A11794" i="1"/>
  <c r="B11794" i="1"/>
  <c r="C11794" i="1"/>
  <c r="A11425" i="1"/>
  <c r="B11425" i="1"/>
  <c r="C11425" i="1"/>
  <c r="A4113" i="1"/>
  <c r="B4113" i="1"/>
  <c r="C4113" i="1"/>
  <c r="A3270" i="1"/>
  <c r="B3270" i="1"/>
  <c r="C3270" i="1"/>
  <c r="A1983" i="1"/>
  <c r="B1983" i="1"/>
  <c r="C1983" i="1"/>
  <c r="A9397" i="1"/>
  <c r="B9397" i="1"/>
  <c r="C9397" i="1"/>
  <c r="A5595" i="1"/>
  <c r="B5595" i="1"/>
  <c r="C5595" i="1"/>
  <c r="A794" i="1"/>
  <c r="B794" i="1"/>
  <c r="C794" i="1"/>
  <c r="A5544" i="1"/>
  <c r="B5544" i="1"/>
  <c r="C5544" i="1"/>
  <c r="A7404" i="1"/>
  <c r="B7404" i="1"/>
  <c r="C7404" i="1"/>
  <c r="A3460" i="1"/>
  <c r="B3460" i="1"/>
  <c r="C3460" i="1"/>
  <c r="A12440" i="1"/>
  <c r="B12440" i="1"/>
  <c r="C12440" i="1"/>
  <c r="A12803" i="1"/>
  <c r="B12803" i="1"/>
  <c r="C12803" i="1"/>
  <c r="A5866" i="1"/>
  <c r="B5866" i="1"/>
  <c r="C5866" i="1"/>
  <c r="A4276" i="1"/>
  <c r="B4276" i="1"/>
  <c r="C4276" i="1"/>
  <c r="A1098" i="1"/>
  <c r="B1098" i="1"/>
  <c r="C1098" i="1"/>
  <c r="A8212" i="1"/>
  <c r="B8212" i="1"/>
  <c r="C8212" i="1"/>
  <c r="A1275" i="1"/>
  <c r="B1275" i="1"/>
  <c r="C1275" i="1"/>
  <c r="A6003" i="1"/>
  <c r="B6003" i="1"/>
  <c r="C6003" i="1"/>
  <c r="A10055" i="1"/>
  <c r="B10055" i="1"/>
  <c r="C10055" i="1"/>
  <c r="A6179" i="1"/>
  <c r="B6179" i="1"/>
  <c r="C6179" i="1"/>
  <c r="A3961" i="1"/>
  <c r="B3961" i="1"/>
  <c r="C3961" i="1"/>
  <c r="A747" i="1"/>
  <c r="B747" i="1"/>
  <c r="C747" i="1"/>
  <c r="A814" i="1"/>
  <c r="B814" i="1"/>
  <c r="C814" i="1"/>
  <c r="A486" i="1"/>
  <c r="B486" i="1"/>
  <c r="C486" i="1"/>
  <c r="A3754" i="1"/>
  <c r="B3754" i="1"/>
  <c r="C3754" i="1"/>
  <c r="A5308" i="1"/>
  <c r="B5308" i="1"/>
  <c r="C5308" i="1"/>
  <c r="A3444" i="1"/>
  <c r="B3444" i="1"/>
  <c r="C3444" i="1"/>
  <c r="A2018" i="1"/>
  <c r="B2018" i="1"/>
  <c r="C2018" i="1"/>
  <c r="A684" i="1"/>
  <c r="B684" i="1"/>
  <c r="C684" i="1"/>
  <c r="A12426" i="1"/>
  <c r="B12426" i="1"/>
  <c r="C12426" i="1"/>
  <c r="A5504" i="1"/>
  <c r="B5504" i="1"/>
  <c r="C5504" i="1"/>
  <c r="A52" i="1"/>
  <c r="B52" i="1"/>
  <c r="C52" i="1"/>
  <c r="A50" i="1"/>
  <c r="B50" i="1"/>
  <c r="C50" i="1"/>
  <c r="A5493" i="1"/>
  <c r="B5493" i="1"/>
  <c r="C5493" i="1"/>
  <c r="A1089" i="1"/>
  <c r="B1089" i="1"/>
  <c r="C1089" i="1"/>
  <c r="A7469" i="1"/>
  <c r="B7469" i="1"/>
  <c r="C7469" i="1"/>
  <c r="A11175" i="1"/>
  <c r="B11175" i="1"/>
  <c r="C11175" i="1"/>
  <c r="A6313" i="1"/>
  <c r="B6313" i="1"/>
  <c r="C6313" i="1"/>
  <c r="A9449" i="1"/>
  <c r="B9449" i="1"/>
  <c r="C9449" i="1"/>
  <c r="A1889" i="1"/>
  <c r="B1889" i="1"/>
  <c r="C1889" i="1"/>
  <c r="A9622" i="1"/>
  <c r="B9622" i="1"/>
  <c r="C9622" i="1"/>
  <c r="A11611" i="1"/>
  <c r="B11611" i="1"/>
  <c r="C11611" i="1"/>
  <c r="A10614" i="1"/>
  <c r="B10614" i="1"/>
  <c r="C10614" i="1"/>
  <c r="A11026" i="1"/>
  <c r="B11026" i="1"/>
  <c r="C11026" i="1"/>
  <c r="A12878" i="1"/>
  <c r="B12878" i="1"/>
  <c r="C12878" i="1"/>
  <c r="A226" i="1"/>
  <c r="B226" i="1"/>
  <c r="C226" i="1"/>
  <c r="A11084" i="1"/>
  <c r="B11084" i="1"/>
  <c r="C11084" i="1"/>
  <c r="A11165" i="1"/>
  <c r="B11165" i="1"/>
  <c r="C11165" i="1"/>
  <c r="A6160" i="1"/>
  <c r="B6160" i="1"/>
  <c r="C6160" i="1"/>
  <c r="A9755" i="1"/>
  <c r="B9755" i="1"/>
  <c r="C9755" i="1"/>
  <c r="A13916" i="1"/>
  <c r="B13916" i="1"/>
  <c r="C13916" i="1"/>
  <c r="A11870" i="1"/>
  <c r="B11870" i="1"/>
  <c r="C11870" i="1"/>
  <c r="A1879" i="1"/>
  <c r="B1879" i="1"/>
  <c r="C1879" i="1"/>
  <c r="A6145" i="1"/>
  <c r="B6145" i="1"/>
  <c r="C6145" i="1"/>
  <c r="A13686" i="1"/>
  <c r="B13686" i="1"/>
  <c r="C13686" i="1"/>
  <c r="A4470" i="1"/>
  <c r="B4470" i="1"/>
  <c r="C4470" i="1"/>
  <c r="A10673" i="1"/>
  <c r="B10673" i="1"/>
  <c r="C10673" i="1"/>
  <c r="A279" i="1"/>
  <c r="B279" i="1"/>
  <c r="C279" i="1"/>
  <c r="A11125" i="1"/>
  <c r="B11125" i="1"/>
  <c r="C11125" i="1"/>
  <c r="A8213" i="1"/>
  <c r="B8213" i="1"/>
  <c r="C8213" i="1"/>
  <c r="A5890" i="1"/>
  <c r="B5890" i="1"/>
  <c r="C5890" i="1"/>
  <c r="A13662" i="1"/>
  <c r="B13662" i="1"/>
  <c r="C13662" i="1"/>
  <c r="A12269" i="1"/>
  <c r="B12269" i="1"/>
  <c r="C12269" i="1"/>
  <c r="A11738" i="1"/>
  <c r="B11738" i="1"/>
  <c r="C11738" i="1"/>
  <c r="A4079" i="1"/>
  <c r="B4079" i="1"/>
  <c r="C4079" i="1"/>
  <c r="A8508" i="1"/>
  <c r="B8508" i="1"/>
  <c r="C8508" i="1"/>
  <c r="A7122" i="1"/>
  <c r="B7122" i="1"/>
  <c r="C7122" i="1"/>
  <c r="A7327" i="1"/>
  <c r="B7327" i="1"/>
  <c r="C7327" i="1"/>
  <c r="A5217" i="1"/>
  <c r="B5217" i="1"/>
  <c r="C5217" i="1"/>
  <c r="A6657" i="1"/>
  <c r="B6657" i="1"/>
  <c r="C6657" i="1"/>
  <c r="A3015" i="1"/>
  <c r="B3015" i="1"/>
  <c r="C3015" i="1"/>
  <c r="A2732" i="1"/>
  <c r="B2732" i="1"/>
  <c r="C2732" i="1"/>
  <c r="A7374" i="1"/>
  <c r="B7374" i="1"/>
  <c r="C7374" i="1"/>
  <c r="A11040" i="1"/>
  <c r="B11040" i="1"/>
  <c r="C11040" i="1"/>
  <c r="A12122" i="1"/>
  <c r="B12122" i="1"/>
  <c r="C12122" i="1"/>
  <c r="A11414" i="1"/>
  <c r="B11414" i="1"/>
  <c r="C11414" i="1"/>
  <c r="A11020" i="1"/>
  <c r="B11020" i="1"/>
  <c r="C11020" i="1"/>
  <c r="A7545" i="1"/>
  <c r="B7545" i="1"/>
  <c r="C7545" i="1"/>
  <c r="A9040" i="1"/>
  <c r="B9040" i="1"/>
  <c r="C9040" i="1"/>
  <c r="A7221" i="1"/>
  <c r="B7221" i="1"/>
  <c r="C7221" i="1"/>
  <c r="A9807" i="1"/>
  <c r="B9807" i="1"/>
  <c r="C9807" i="1"/>
  <c r="A9457" i="1"/>
  <c r="B9457" i="1"/>
  <c r="C9457" i="1"/>
  <c r="A9929" i="1"/>
  <c r="B9929" i="1"/>
  <c r="C9929" i="1"/>
  <c r="A12694" i="1"/>
  <c r="B12694" i="1"/>
  <c r="C12694" i="1"/>
  <c r="A13225" i="1"/>
  <c r="B13225" i="1"/>
  <c r="C13225" i="1"/>
  <c r="A420" i="1"/>
  <c r="B420" i="1"/>
  <c r="C420" i="1"/>
  <c r="A9269" i="1"/>
  <c r="B9269" i="1"/>
  <c r="C9269" i="1"/>
  <c r="A1687" i="1"/>
  <c r="B1687" i="1"/>
  <c r="C1687" i="1"/>
  <c r="A10079" i="1"/>
  <c r="B10079" i="1"/>
  <c r="C10079" i="1"/>
  <c r="A12858" i="1"/>
  <c r="B12858" i="1"/>
  <c r="C12858" i="1"/>
  <c r="A10147" i="1"/>
  <c r="B10147" i="1"/>
  <c r="C10147" i="1"/>
  <c r="A6878" i="1"/>
  <c r="B6878" i="1"/>
  <c r="C6878" i="1"/>
  <c r="A7388" i="1"/>
  <c r="B7388" i="1"/>
  <c r="C7388" i="1"/>
  <c r="A12186" i="1"/>
  <c r="B12186" i="1"/>
  <c r="C12186" i="1"/>
  <c r="A155" i="1"/>
  <c r="B155" i="1"/>
  <c r="C155" i="1"/>
  <c r="A10729" i="1"/>
  <c r="B10729" i="1"/>
  <c r="C10729" i="1"/>
  <c r="A1890" i="1"/>
  <c r="B1890" i="1"/>
  <c r="C1890" i="1"/>
  <c r="A7491" i="1"/>
  <c r="B7491" i="1"/>
  <c r="C7491" i="1"/>
  <c r="A10254" i="1"/>
  <c r="B10254" i="1"/>
  <c r="C10254" i="1"/>
  <c r="A12654" i="1"/>
  <c r="B12654" i="1"/>
  <c r="C12654" i="1"/>
  <c r="A13534" i="1"/>
  <c r="B13534" i="1"/>
  <c r="C13534" i="1"/>
  <c r="A11140" i="1"/>
  <c r="B11140" i="1"/>
  <c r="C11140" i="1"/>
  <c r="A1970" i="1"/>
  <c r="B1970" i="1"/>
  <c r="C1970" i="1"/>
  <c r="A2139" i="1"/>
  <c r="B2139" i="1"/>
  <c r="C2139" i="1"/>
  <c r="A2617" i="1"/>
  <c r="B2617" i="1"/>
  <c r="C2617" i="1"/>
  <c r="A9180" i="1"/>
  <c r="B9180" i="1"/>
  <c r="C9180" i="1"/>
  <c r="A1204" i="1"/>
  <c r="B1204" i="1"/>
  <c r="C1204" i="1"/>
  <c r="A4265" i="1"/>
  <c r="B4265" i="1"/>
  <c r="C4265" i="1"/>
  <c r="A4428" i="1"/>
  <c r="B4428" i="1"/>
  <c r="C4428" i="1"/>
  <c r="A7492" i="1"/>
  <c r="B7492" i="1"/>
  <c r="C7492" i="1"/>
  <c r="A3239" i="1"/>
  <c r="B3239" i="1"/>
  <c r="C3239" i="1"/>
  <c r="A13463" i="1"/>
  <c r="B13463" i="1"/>
  <c r="C13463" i="1"/>
  <c r="A13685" i="1"/>
  <c r="B13685" i="1"/>
  <c r="C13685" i="1"/>
  <c r="A5793" i="1"/>
  <c r="B5793" i="1"/>
  <c r="C5793" i="1"/>
  <c r="A296" i="1"/>
  <c r="B296" i="1"/>
  <c r="C296" i="1"/>
  <c r="A5569" i="1"/>
  <c r="B5569" i="1"/>
  <c r="C5569" i="1"/>
  <c r="A13035" i="1"/>
  <c r="B13035" i="1"/>
  <c r="C13035" i="1"/>
  <c r="A2686" i="1"/>
  <c r="B2686" i="1"/>
  <c r="C2686" i="1"/>
  <c r="A7563" i="1"/>
  <c r="B7563" i="1"/>
  <c r="C7563" i="1"/>
  <c r="A5977" i="1"/>
  <c r="B5977" i="1"/>
  <c r="C5977" i="1"/>
  <c r="A8563" i="1"/>
  <c r="B8563" i="1"/>
  <c r="C8563" i="1"/>
  <c r="A13264" i="1"/>
  <c r="B13264" i="1"/>
  <c r="C13264" i="1"/>
  <c r="A10395" i="1"/>
  <c r="B10395" i="1"/>
  <c r="C10395" i="1"/>
  <c r="A11960" i="1"/>
  <c r="B11960" i="1"/>
  <c r="C11960" i="1"/>
  <c r="A10100" i="1"/>
  <c r="B10100" i="1"/>
  <c r="C10100" i="1"/>
  <c r="A8828" i="1"/>
  <c r="B8828" i="1"/>
  <c r="C8828" i="1"/>
  <c r="A3897" i="1"/>
  <c r="B3897" i="1"/>
  <c r="C3897" i="1"/>
  <c r="A2166" i="1"/>
  <c r="B2166" i="1"/>
  <c r="C2166" i="1"/>
  <c r="A13031" i="1"/>
  <c r="B13031" i="1"/>
  <c r="C13031" i="1"/>
  <c r="A2195" i="1"/>
  <c r="B2195" i="1"/>
  <c r="C2195" i="1"/>
  <c r="A7875" i="1"/>
  <c r="B7875" i="1"/>
  <c r="C7875" i="1"/>
  <c r="A3913" i="1"/>
  <c r="B3913" i="1"/>
  <c r="C3913" i="1"/>
  <c r="A6342" i="1"/>
  <c r="B6342" i="1"/>
  <c r="C6342" i="1"/>
  <c r="A98" i="1"/>
  <c r="B98" i="1"/>
  <c r="C98" i="1"/>
  <c r="A6157" i="1"/>
  <c r="B6157" i="1"/>
  <c r="C6157" i="1"/>
  <c r="A1273" i="1"/>
  <c r="B1273" i="1"/>
  <c r="C1273" i="1"/>
  <c r="A2551" i="1"/>
  <c r="B2551" i="1"/>
  <c r="C2551" i="1"/>
  <c r="A72" i="1"/>
  <c r="B72" i="1"/>
  <c r="C72" i="1"/>
  <c r="A13402" i="1"/>
  <c r="B13402" i="1"/>
  <c r="C13402" i="1"/>
  <c r="A11141" i="1"/>
  <c r="B11141" i="1"/>
  <c r="C11141" i="1"/>
  <c r="A10052" i="1"/>
  <c r="B10052" i="1"/>
  <c r="C10052" i="1"/>
  <c r="A2640" i="1"/>
  <c r="B2640" i="1"/>
  <c r="C2640" i="1"/>
  <c r="A11654" i="1"/>
  <c r="B11654" i="1"/>
  <c r="C11654" i="1"/>
  <c r="A4750" i="1"/>
  <c r="B4750" i="1"/>
  <c r="C4750" i="1"/>
  <c r="A1254" i="1"/>
  <c r="B1254" i="1"/>
  <c r="C1254" i="1"/>
  <c r="A3310" i="1"/>
  <c r="B3310" i="1"/>
  <c r="C3310" i="1"/>
  <c r="A1501" i="1"/>
  <c r="B1501" i="1"/>
  <c r="C1501" i="1"/>
  <c r="A8729" i="1"/>
  <c r="B8729" i="1"/>
  <c r="C8729" i="1"/>
  <c r="A12886" i="1"/>
  <c r="B12886" i="1"/>
  <c r="C12886" i="1"/>
  <c r="A2843" i="1"/>
  <c r="B2843" i="1"/>
  <c r="C2843" i="1"/>
  <c r="A3729" i="1"/>
  <c r="B3729" i="1"/>
  <c r="C3729" i="1"/>
  <c r="A107" i="1"/>
  <c r="B107" i="1"/>
  <c r="C107" i="1"/>
  <c r="A9123" i="1"/>
  <c r="B9123" i="1"/>
  <c r="C9123" i="1"/>
  <c r="A10558" i="1"/>
  <c r="B10558" i="1"/>
  <c r="C10558" i="1"/>
  <c r="A5807" i="1"/>
  <c r="B5807" i="1"/>
  <c r="C5807" i="1"/>
  <c r="A6972" i="1"/>
  <c r="B6972" i="1"/>
  <c r="C6972" i="1"/>
  <c r="A203" i="1"/>
  <c r="B203" i="1"/>
  <c r="C203" i="1"/>
  <c r="A3866" i="1"/>
  <c r="B3866" i="1"/>
  <c r="C3866" i="1"/>
  <c r="A12930" i="1"/>
  <c r="B12930" i="1"/>
  <c r="C12930" i="1"/>
  <c r="A9588" i="1"/>
  <c r="B9588" i="1"/>
  <c r="C9588" i="1"/>
  <c r="A10414" i="1"/>
  <c r="B10414" i="1"/>
  <c r="C10414" i="1"/>
  <c r="A7861" i="1"/>
  <c r="B7861" i="1"/>
  <c r="C7861" i="1"/>
  <c r="A9594" i="1"/>
  <c r="B9594" i="1"/>
  <c r="C9594" i="1"/>
  <c r="A11597" i="1"/>
  <c r="B11597" i="1"/>
  <c r="C11597" i="1"/>
  <c r="A3002" i="1"/>
  <c r="B3002" i="1"/>
  <c r="C3002" i="1"/>
  <c r="A1120" i="1"/>
  <c r="B1120" i="1"/>
  <c r="C1120" i="1"/>
  <c r="A9891" i="1"/>
  <c r="B9891" i="1"/>
  <c r="C9891" i="1"/>
  <c r="A6268" i="1"/>
  <c r="B6268" i="1"/>
  <c r="C6268" i="1"/>
  <c r="A5651" i="1"/>
  <c r="B5651" i="1"/>
  <c r="C5651" i="1"/>
  <c r="A4212" i="1"/>
  <c r="B4212" i="1"/>
  <c r="C4212" i="1"/>
  <c r="A6975" i="1"/>
  <c r="B6975" i="1"/>
  <c r="C6975" i="1"/>
  <c r="A5089" i="1"/>
  <c r="B5089" i="1"/>
  <c r="C5089" i="1"/>
  <c r="A12318" i="1"/>
  <c r="B12318" i="1"/>
  <c r="C12318" i="1"/>
  <c r="A3251" i="1"/>
  <c r="B3251" i="1"/>
  <c r="C3251" i="1"/>
  <c r="A4879" i="1"/>
  <c r="B4879" i="1"/>
  <c r="C4879" i="1"/>
  <c r="A3542" i="1"/>
  <c r="B3542" i="1"/>
  <c r="C3542" i="1"/>
  <c r="A11253" i="1"/>
  <c r="B11253" i="1"/>
  <c r="C11253" i="1"/>
  <c r="A8091" i="1"/>
  <c r="B8091" i="1"/>
  <c r="C8091" i="1"/>
  <c r="A5610" i="1"/>
  <c r="B5610" i="1"/>
  <c r="C5610" i="1"/>
  <c r="A9520" i="1"/>
  <c r="B9520" i="1"/>
  <c r="C9520" i="1"/>
  <c r="A1753" i="1"/>
  <c r="B1753" i="1"/>
  <c r="C1753" i="1"/>
  <c r="A8290" i="1"/>
  <c r="B8290" i="1"/>
  <c r="C8290" i="1"/>
  <c r="A8896" i="1"/>
  <c r="B8896" i="1"/>
  <c r="C8896" i="1"/>
  <c r="A13585" i="1"/>
  <c r="B13585" i="1"/>
  <c r="C13585" i="1"/>
  <c r="A4550" i="1"/>
  <c r="B4550" i="1"/>
  <c r="C4550" i="1"/>
  <c r="A8821" i="1"/>
  <c r="B8821" i="1"/>
  <c r="C8821" i="1"/>
  <c r="A13430" i="1"/>
  <c r="B13430" i="1"/>
  <c r="C13430" i="1"/>
  <c r="A9694" i="1"/>
  <c r="B9694" i="1"/>
  <c r="C9694" i="1"/>
  <c r="A456" i="1"/>
  <c r="B456" i="1"/>
  <c r="C456" i="1"/>
  <c r="A648" i="1"/>
  <c r="B648" i="1"/>
  <c r="C648" i="1"/>
  <c r="A3938" i="1"/>
  <c r="B3938" i="1"/>
  <c r="C3938" i="1"/>
  <c r="A5966" i="1"/>
  <c r="B5966" i="1"/>
  <c r="C5966" i="1"/>
  <c r="A4936" i="1"/>
  <c r="B4936" i="1"/>
  <c r="C4936" i="1"/>
  <c r="A13443" i="1"/>
  <c r="B13443" i="1"/>
  <c r="C13443" i="1"/>
  <c r="A10826" i="1"/>
  <c r="B10826" i="1"/>
  <c r="C10826" i="1"/>
  <c r="A10750" i="1"/>
  <c r="B10750" i="1"/>
  <c r="C10750" i="1"/>
  <c r="A7372" i="1"/>
  <c r="B7372" i="1"/>
  <c r="C7372" i="1"/>
  <c r="A13050" i="1"/>
  <c r="B13050" i="1"/>
  <c r="C13050" i="1"/>
  <c r="A5623" i="1"/>
  <c r="B5623" i="1"/>
  <c r="C5623" i="1"/>
  <c r="A10689" i="1"/>
  <c r="B10689" i="1"/>
  <c r="C10689" i="1"/>
  <c r="A7142" i="1"/>
  <c r="B7142" i="1"/>
  <c r="C7142" i="1"/>
  <c r="A5179" i="1"/>
  <c r="B5179" i="1"/>
  <c r="C5179" i="1"/>
  <c r="A6486" i="1"/>
  <c r="B6486" i="1"/>
  <c r="C6486" i="1"/>
  <c r="A8679" i="1"/>
  <c r="B8679" i="1"/>
  <c r="C8679" i="1"/>
  <c r="A6833" i="1"/>
  <c r="B6833" i="1"/>
  <c r="C6833" i="1"/>
  <c r="A11773" i="1"/>
  <c r="B11773" i="1"/>
  <c r="C11773" i="1"/>
  <c r="A798" i="1"/>
  <c r="B798" i="1"/>
  <c r="C798" i="1"/>
  <c r="A3099" i="1"/>
  <c r="B3099" i="1"/>
  <c r="C3099" i="1"/>
  <c r="A13799" i="1"/>
  <c r="B13799" i="1"/>
  <c r="C13799" i="1"/>
  <c r="A5088" i="1"/>
  <c r="B5088" i="1"/>
  <c r="C5088" i="1"/>
  <c r="A9642" i="1"/>
  <c r="B9642" i="1"/>
  <c r="C9642" i="1"/>
  <c r="A8424" i="1"/>
  <c r="B8424" i="1"/>
  <c r="C8424" i="1"/>
  <c r="A890" i="1"/>
  <c r="B890" i="1"/>
  <c r="C890" i="1"/>
  <c r="A5559" i="1"/>
  <c r="B5559" i="1"/>
  <c r="C5559" i="1"/>
  <c r="A1807" i="1"/>
  <c r="B1807" i="1"/>
  <c r="C1807" i="1"/>
  <c r="A4741" i="1"/>
  <c r="B4741" i="1"/>
  <c r="C4741" i="1"/>
  <c r="A3739" i="1"/>
  <c r="B3739" i="1"/>
  <c r="C3739" i="1"/>
  <c r="A3584" i="1"/>
  <c r="B3584" i="1"/>
  <c r="C3584" i="1"/>
  <c r="A3841" i="1"/>
  <c r="B3841" i="1"/>
  <c r="C3841" i="1"/>
  <c r="A7286" i="1"/>
  <c r="B7286" i="1"/>
  <c r="C7286" i="1"/>
  <c r="A10325" i="1"/>
  <c r="B10325" i="1"/>
  <c r="C10325" i="1"/>
  <c r="A7048" i="1"/>
  <c r="B7048" i="1"/>
  <c r="C7048" i="1"/>
  <c r="A9893" i="1"/>
  <c r="B9893" i="1"/>
  <c r="C9893" i="1"/>
  <c r="A3282" i="1"/>
  <c r="B3282" i="1"/>
  <c r="C3282" i="1"/>
  <c r="A7566" i="1"/>
  <c r="B7566" i="1"/>
  <c r="C7566" i="1"/>
  <c r="A38" i="1"/>
  <c r="B38" i="1"/>
  <c r="C38" i="1"/>
  <c r="A10307" i="1"/>
  <c r="B10307" i="1"/>
  <c r="C10307" i="1"/>
  <c r="A8813" i="1"/>
  <c r="B8813" i="1"/>
  <c r="C8813" i="1"/>
  <c r="A13701" i="1"/>
  <c r="B13701" i="1"/>
  <c r="C13701" i="1"/>
  <c r="A9892" i="1"/>
  <c r="B9892" i="1"/>
  <c r="C9892" i="1"/>
  <c r="A8362" i="1"/>
  <c r="B8362" i="1"/>
  <c r="C8362" i="1"/>
  <c r="A3457" i="1"/>
  <c r="B3457" i="1"/>
  <c r="C3457" i="1"/>
  <c r="A4940" i="1"/>
  <c r="B4940" i="1"/>
  <c r="C4940" i="1"/>
  <c r="A4443" i="1"/>
  <c r="B4443" i="1"/>
  <c r="C4443" i="1"/>
  <c r="A3170" i="1"/>
  <c r="B3170" i="1"/>
  <c r="C3170" i="1"/>
  <c r="A5637" i="1"/>
  <c r="B5637" i="1"/>
  <c r="C5637" i="1"/>
  <c r="A12185" i="1"/>
  <c r="B12185" i="1"/>
  <c r="C12185" i="1"/>
  <c r="A10065" i="1"/>
  <c r="B10065" i="1"/>
  <c r="C10065" i="1"/>
  <c r="A4221" i="1"/>
  <c r="B4221" i="1"/>
  <c r="C4221" i="1"/>
  <c r="A7104" i="1"/>
  <c r="B7104" i="1"/>
  <c r="A4824" i="1"/>
  <c r="B4824" i="1"/>
  <c r="C4824" i="1"/>
  <c r="A9740" i="1"/>
  <c r="B9740" i="1"/>
  <c r="C9740" i="1"/>
  <c r="A751" i="1"/>
  <c r="B751" i="1"/>
  <c r="C751" i="1"/>
  <c r="A742" i="1"/>
  <c r="B742" i="1"/>
  <c r="C742" i="1"/>
  <c r="A3458" i="1"/>
  <c r="B3458" i="1"/>
  <c r="C3458" i="1"/>
  <c r="A4552" i="1"/>
  <c r="B4552" i="1"/>
  <c r="C4552" i="1"/>
  <c r="A525" i="1"/>
  <c r="B525" i="1"/>
  <c r="C525" i="1"/>
  <c r="A11326" i="1"/>
  <c r="B11326" i="1"/>
  <c r="C11326" i="1"/>
  <c r="A10136" i="1"/>
  <c r="B10136" i="1"/>
  <c r="C10136" i="1"/>
  <c r="A9756" i="1"/>
  <c r="B9756" i="1"/>
  <c r="C9756" i="1"/>
  <c r="A1297" i="1"/>
  <c r="B1297" i="1"/>
  <c r="C1297" i="1"/>
  <c r="A3433" i="1"/>
  <c r="B3433" i="1"/>
  <c r="C3433" i="1"/>
  <c r="A8116" i="1"/>
  <c r="B8116" i="1"/>
  <c r="C8116" i="1"/>
  <c r="A11027" i="1"/>
  <c r="B11027" i="1"/>
  <c r="C11027" i="1"/>
  <c r="A4389" i="1"/>
  <c r="B4389" i="1"/>
  <c r="C4389" i="1"/>
  <c r="A760" i="1"/>
  <c r="B760" i="1"/>
  <c r="C760" i="1"/>
  <c r="A1951" i="1"/>
  <c r="B1951" i="1"/>
  <c r="C1951" i="1"/>
  <c r="A10918" i="1"/>
  <c r="B10918" i="1"/>
  <c r="C10918" i="1"/>
  <c r="A8456" i="1"/>
  <c r="B8456" i="1"/>
  <c r="C8456" i="1"/>
  <c r="A6648" i="1"/>
  <c r="B6648" i="1"/>
  <c r="C6648" i="1"/>
  <c r="A2466" i="1"/>
  <c r="B2466" i="1"/>
  <c r="C2466" i="1"/>
  <c r="A6743" i="1"/>
  <c r="B6743" i="1"/>
  <c r="C6743" i="1"/>
  <c r="A2290" i="1"/>
  <c r="B2290" i="1"/>
  <c r="C2290" i="1"/>
  <c r="A55" i="1"/>
  <c r="B55" i="1"/>
  <c r="C55" i="1"/>
  <c r="A11818" i="1"/>
  <c r="B11818" i="1"/>
  <c r="C11818" i="1"/>
  <c r="A4533" i="1"/>
  <c r="B4533" i="1"/>
  <c r="C4533" i="1"/>
  <c r="A459" i="1"/>
  <c r="B459" i="1"/>
  <c r="C459" i="1"/>
  <c r="A8693" i="1"/>
  <c r="B8693" i="1"/>
  <c r="C8693" i="1"/>
  <c r="A5570" i="1"/>
  <c r="B5570" i="1"/>
  <c r="C5570" i="1"/>
  <c r="A9198" i="1"/>
  <c r="B9198" i="1"/>
  <c r="C9198" i="1"/>
  <c r="A7115" i="1"/>
  <c r="B7115" i="1"/>
  <c r="C7115" i="1"/>
  <c r="A5922" i="1"/>
  <c r="B5922" i="1"/>
  <c r="C5922" i="1"/>
  <c r="A432" i="1"/>
  <c r="B432" i="1"/>
  <c r="C432" i="1"/>
  <c r="A12148" i="1"/>
  <c r="B12148" i="1"/>
  <c r="C12148" i="1"/>
  <c r="A13598" i="1"/>
  <c r="B13598" i="1"/>
  <c r="C13598" i="1"/>
  <c r="A1060" i="1"/>
  <c r="B1060" i="1"/>
  <c r="C1060" i="1"/>
  <c r="A152" i="1"/>
  <c r="B152" i="1"/>
  <c r="C152" i="1"/>
  <c r="A4734" i="1"/>
  <c r="B4734" i="1"/>
  <c r="C4734" i="1"/>
  <c r="A8433" i="1"/>
  <c r="B8433" i="1"/>
  <c r="C8433" i="1"/>
  <c r="A13779" i="1"/>
  <c r="B13779" i="1"/>
  <c r="C13779" i="1"/>
  <c r="A7767" i="1"/>
  <c r="B7767" i="1"/>
  <c r="C7767" i="1"/>
  <c r="A2325" i="1"/>
  <c r="B2325" i="1"/>
  <c r="C2325" i="1"/>
  <c r="A8" i="1"/>
  <c r="B8" i="1"/>
  <c r="C8" i="1"/>
  <c r="A9" i="1"/>
  <c r="B9" i="1"/>
  <c r="C9" i="1"/>
  <c r="A10" i="1"/>
  <c r="B10" i="1"/>
  <c r="C10" i="1"/>
  <c r="A11" i="1"/>
  <c r="B11" i="1"/>
  <c r="C11" i="1"/>
  <c r="A232" i="1"/>
  <c r="B232" i="1"/>
  <c r="C232" i="1"/>
  <c r="A7626" i="1"/>
  <c r="B7626" i="1"/>
  <c r="C7626" i="1"/>
  <c r="A13416" i="1"/>
  <c r="B13416" i="1"/>
  <c r="C13416" i="1"/>
  <c r="A9713" i="1"/>
  <c r="B9713" i="1"/>
  <c r="C9713" i="1"/>
  <c r="A11621" i="1"/>
  <c r="B11621" i="1"/>
  <c r="C11621" i="1"/>
  <c r="A6416" i="1"/>
  <c r="B6416" i="1"/>
  <c r="C6416" i="1"/>
  <c r="A11096" i="1"/>
  <c r="B11096" i="1"/>
  <c r="C11096" i="1"/>
  <c r="A1731" i="1"/>
  <c r="B1731" i="1"/>
  <c r="C1731" i="1"/>
  <c r="A4193" i="1"/>
  <c r="B4193" i="1"/>
  <c r="C4193" i="1"/>
  <c r="A2556" i="1"/>
  <c r="B2556" i="1"/>
  <c r="C2556" i="1"/>
  <c r="A915" i="1"/>
  <c r="B915" i="1"/>
  <c r="C915" i="1"/>
  <c r="A1873" i="1"/>
  <c r="B1873" i="1"/>
  <c r="C1873" i="1"/>
  <c r="A8192" i="1"/>
  <c r="B8192" i="1"/>
  <c r="C8192" i="1"/>
  <c r="A8268" i="1"/>
  <c r="B8268" i="1"/>
  <c r="C8268" i="1"/>
  <c r="A7377" i="1"/>
  <c r="B7377" i="1"/>
  <c r="C7377" i="1"/>
  <c r="A13037" i="1"/>
  <c r="B13037" i="1"/>
  <c r="C13037" i="1"/>
  <c r="A4986" i="1"/>
  <c r="B4986" i="1"/>
  <c r="C4986" i="1"/>
  <c r="A4987" i="1"/>
  <c r="B4987" i="1"/>
  <c r="C4987" i="1"/>
  <c r="A6679" i="1"/>
  <c r="B6679" i="1"/>
  <c r="C6679" i="1"/>
  <c r="A13726" i="1"/>
  <c r="B13726" i="1"/>
  <c r="C13726" i="1"/>
  <c r="A941" i="1"/>
  <c r="B941" i="1"/>
  <c r="C941" i="1"/>
  <c r="A5186" i="1"/>
  <c r="B5186" i="1"/>
  <c r="C5186" i="1"/>
  <c r="A469" i="1"/>
  <c r="B469" i="1"/>
  <c r="C469" i="1"/>
  <c r="A470" i="1"/>
  <c r="B470" i="1"/>
  <c r="C470" i="1"/>
  <c r="A4472" i="1"/>
  <c r="B4472" i="1"/>
  <c r="C4472" i="1"/>
  <c r="A11392" i="1"/>
  <c r="B11392" i="1"/>
  <c r="C11392" i="1"/>
  <c r="A7579" i="1"/>
  <c r="B7579" i="1"/>
  <c r="C7579" i="1"/>
  <c r="A10083" i="1"/>
  <c r="B10083" i="1"/>
  <c r="C10083" i="1"/>
  <c r="A6879" i="1"/>
  <c r="B6879" i="1"/>
  <c r="C6879" i="1"/>
  <c r="A3771" i="1"/>
  <c r="B3771" i="1"/>
  <c r="C3771" i="1"/>
  <c r="A4478" i="1"/>
  <c r="B4478" i="1"/>
  <c r="C4478" i="1"/>
  <c r="A5012" i="1"/>
  <c r="B5012" i="1"/>
  <c r="C5012" i="1"/>
  <c r="A5013" i="1"/>
  <c r="B5013" i="1"/>
  <c r="C5013" i="1"/>
  <c r="A5014" i="1"/>
  <c r="B5014" i="1"/>
  <c r="C5014" i="1"/>
  <c r="A3799" i="1"/>
  <c r="B3799" i="1"/>
  <c r="C3799" i="1"/>
  <c r="A4014" i="1"/>
  <c r="B4014" i="1"/>
  <c r="C4014" i="1"/>
  <c r="A4019" i="1"/>
  <c r="B4019" i="1"/>
  <c r="C4019" i="1"/>
  <c r="A11186" i="1"/>
  <c r="B11186" i="1"/>
  <c r="C11186" i="1"/>
  <c r="A1135" i="1"/>
  <c r="B1135" i="1"/>
  <c r="C1135" i="1"/>
  <c r="A12293" i="1"/>
  <c r="B12293" i="1"/>
  <c r="C12293" i="1"/>
  <c r="A1384" i="1"/>
  <c r="B1384" i="1"/>
  <c r="C1384" i="1"/>
  <c r="A11028" i="1"/>
  <c r="B11028" i="1"/>
  <c r="C11028" i="1"/>
  <c r="A3559" i="1"/>
  <c r="B3559" i="1"/>
  <c r="C3559" i="1"/>
  <c r="A2275" i="1"/>
  <c r="B2275" i="1"/>
  <c r="C2275" i="1"/>
  <c r="A168" i="1"/>
  <c r="B168" i="1"/>
  <c r="C168" i="1"/>
  <c r="A7325" i="1"/>
  <c r="B7325" i="1"/>
  <c r="C7325" i="1"/>
  <c r="A11566" i="1"/>
  <c r="B11566" i="1"/>
  <c r="C11566" i="1"/>
  <c r="A13361" i="1"/>
  <c r="B13361" i="1"/>
  <c r="C13361" i="1"/>
  <c r="A560" i="1"/>
  <c r="B560" i="1"/>
  <c r="C560" i="1"/>
  <c r="A10263" i="1"/>
  <c r="B10263" i="1"/>
  <c r="C10263" i="1"/>
  <c r="A9604" i="1"/>
  <c r="B9604" i="1"/>
  <c r="C9604" i="1"/>
  <c r="A10475" i="1"/>
  <c r="B10475" i="1"/>
  <c r="C10475" i="1"/>
  <c r="A11683" i="1"/>
  <c r="B11683" i="1"/>
  <c r="C11683" i="1"/>
  <c r="A7245" i="1"/>
  <c r="B7245" i="1"/>
  <c r="C7245" i="1"/>
  <c r="A13930" i="1"/>
  <c r="B13930" i="1"/>
  <c r="C13930" i="1"/>
  <c r="A13931" i="1"/>
  <c r="B13931" i="1"/>
  <c r="C13931" i="1"/>
  <c r="A69" i="1"/>
  <c r="B69" i="1"/>
  <c r="C69" i="1"/>
  <c r="A143" i="1"/>
  <c r="B143" i="1"/>
  <c r="C143" i="1"/>
  <c r="A618" i="1"/>
  <c r="B618" i="1"/>
  <c r="C618" i="1"/>
  <c r="A1310" i="1"/>
  <c r="B1310" i="1"/>
  <c r="C1310" i="1"/>
  <c r="A12561" i="1"/>
  <c r="B12561" i="1"/>
  <c r="C12561" i="1"/>
  <c r="A10328" i="1"/>
  <c r="B10328" i="1"/>
  <c r="C10328" i="1"/>
  <c r="A9029" i="1"/>
  <c r="B9029" i="1"/>
  <c r="C9029" i="1"/>
  <c r="A649" i="1"/>
  <c r="B649" i="1"/>
  <c r="C649" i="1"/>
  <c r="A10200" i="1"/>
  <c r="B10200" i="1"/>
  <c r="C10200" i="1"/>
  <c r="A8038" i="1"/>
  <c r="B8038" i="1"/>
  <c r="C8038" i="1"/>
  <c r="A8032" i="1"/>
  <c r="B8032" i="1"/>
  <c r="C8032" i="1"/>
  <c r="A11707" i="1"/>
  <c r="B11707" i="1"/>
  <c r="C11707" i="1"/>
  <c r="A5540" i="1"/>
  <c r="B5540" i="1"/>
  <c r="C5540" i="1"/>
  <c r="A13038" i="1"/>
  <c r="B13038" i="1"/>
  <c r="C13038" i="1"/>
  <c r="A5233" i="1"/>
  <c r="B5233" i="1"/>
  <c r="C5233" i="1"/>
  <c r="A9222" i="1"/>
  <c r="B9222" i="1"/>
  <c r="C9222" i="1"/>
  <c r="A13516" i="1"/>
  <c r="B13516" i="1"/>
  <c r="C13516" i="1"/>
  <c r="A3303" i="1"/>
  <c r="B3303" i="1"/>
  <c r="C3303" i="1"/>
  <c r="A11101" i="1"/>
  <c r="B11101" i="1"/>
  <c r="C11101" i="1"/>
  <c r="A1099" i="1"/>
  <c r="B1099" i="1"/>
  <c r="C1099" i="1"/>
  <c r="A1502" i="1"/>
  <c r="B1502" i="1"/>
  <c r="C1502" i="1"/>
  <c r="A11796" i="1"/>
  <c r="B11796" i="1"/>
  <c r="C11796" i="1"/>
  <c r="A4778" i="1"/>
  <c r="B4778" i="1"/>
  <c r="C4778" i="1"/>
  <c r="A5226" i="1"/>
  <c r="B5226" i="1"/>
  <c r="C5226" i="1"/>
  <c r="A6190" i="1"/>
  <c r="B6190" i="1"/>
  <c r="C6190" i="1"/>
  <c r="A9571" i="1"/>
  <c r="B9571" i="1"/>
  <c r="C9571" i="1"/>
  <c r="A10214" i="1"/>
  <c r="B10214" i="1"/>
  <c r="C10214" i="1"/>
  <c r="A6955" i="1"/>
  <c r="B6955" i="1"/>
  <c r="C6955" i="1"/>
  <c r="A2165" i="1"/>
  <c r="B2165" i="1"/>
  <c r="C2165" i="1"/>
  <c r="A937" i="1"/>
  <c r="B937" i="1"/>
  <c r="C937" i="1"/>
  <c r="A6014" i="1"/>
  <c r="B6014" i="1"/>
  <c r="C6014" i="1"/>
  <c r="A9078" i="1"/>
  <c r="B9078" i="1"/>
  <c r="C9078" i="1"/>
  <c r="A9969" i="1"/>
  <c r="B9969" i="1"/>
  <c r="C9969" i="1"/>
  <c r="A1184" i="1"/>
  <c r="B1184" i="1"/>
  <c r="C1184" i="1"/>
  <c r="A6343" i="1"/>
  <c r="B6343" i="1"/>
  <c r="C6343" i="1"/>
  <c r="A463" i="1"/>
  <c r="B463" i="1"/>
  <c r="C463" i="1"/>
  <c r="A9905" i="1"/>
  <c r="B9905" i="1"/>
  <c r="C9905" i="1"/>
  <c r="A8845" i="1"/>
  <c r="B8845" i="1"/>
  <c r="C8845" i="1"/>
  <c r="A6706" i="1"/>
  <c r="B6706" i="1"/>
  <c r="C6706" i="1"/>
  <c r="A12743" i="1"/>
  <c r="B12743" i="1"/>
  <c r="C12743" i="1"/>
  <c r="A13368" i="1"/>
  <c r="B13368" i="1"/>
  <c r="C13368" i="1"/>
  <c r="A11494" i="1"/>
  <c r="B11494" i="1"/>
  <c r="C11494" i="1"/>
  <c r="A9152" i="1"/>
  <c r="B9152" i="1"/>
  <c r="C9152" i="1"/>
  <c r="A9403" i="1"/>
  <c r="B9403" i="1"/>
  <c r="C9403" i="1"/>
  <c r="A6330" i="1"/>
  <c r="B6330" i="1"/>
  <c r="C6330" i="1"/>
  <c r="A12079" i="1"/>
  <c r="B12079" i="1"/>
  <c r="C12079" i="1"/>
  <c r="A431" i="1"/>
  <c r="B431" i="1"/>
  <c r="C431" i="1"/>
  <c r="A4952" i="1"/>
  <c r="B4952" i="1"/>
  <c r="C4952" i="1"/>
  <c r="A4729" i="1"/>
  <c r="B4729" i="1"/>
  <c r="C4729" i="1"/>
  <c r="A7079" i="1"/>
  <c r="B7079" i="1"/>
  <c r="C7079" i="1"/>
  <c r="A283" i="1"/>
  <c r="B283" i="1"/>
  <c r="C283" i="1"/>
  <c r="A13476" i="1"/>
  <c r="B13476" i="1"/>
  <c r="C13476" i="1"/>
  <c r="A8345" i="1"/>
  <c r="B8345" i="1"/>
  <c r="C8345" i="1"/>
  <c r="A12946" i="1"/>
  <c r="B12946" i="1"/>
  <c r="C12946" i="1"/>
  <c r="A6005" i="1"/>
  <c r="B6005" i="1"/>
  <c r="C6005" i="1"/>
  <c r="A7043" i="1"/>
  <c r="B7043" i="1"/>
  <c r="C7043" i="1"/>
  <c r="A8630" i="1"/>
  <c r="B8630" i="1"/>
  <c r="C8630" i="1"/>
  <c r="A872" i="1"/>
  <c r="B872" i="1"/>
  <c r="C872" i="1"/>
  <c r="A13641" i="1"/>
  <c r="B13641" i="1"/>
  <c r="C13641" i="1"/>
  <c r="A10653" i="1"/>
  <c r="B10653" i="1"/>
  <c r="C10653" i="1"/>
  <c r="A7316" i="1"/>
  <c r="B7316" i="1"/>
  <c r="C7316" i="1"/>
  <c r="A4730" i="1"/>
  <c r="B4730" i="1"/>
  <c r="C4730" i="1"/>
  <c r="A11919" i="1"/>
  <c r="B11919" i="1"/>
  <c r="C11919" i="1"/>
  <c r="A1531" i="1"/>
  <c r="B1531" i="1"/>
  <c r="C1531" i="1"/>
  <c r="A957" i="1"/>
  <c r="B957" i="1"/>
  <c r="C957" i="1"/>
  <c r="A10678" i="1"/>
  <c r="B10678" i="1"/>
  <c r="C10678" i="1"/>
  <c r="A4751" i="1"/>
  <c r="B4751" i="1"/>
  <c r="C4751" i="1"/>
  <c r="A8969" i="1"/>
  <c r="B8969" i="1"/>
  <c r="C8969" i="1"/>
  <c r="A1725" i="1"/>
  <c r="B1725" i="1"/>
  <c r="C1725" i="1"/>
  <c r="A2943" i="1"/>
  <c r="B2943" i="1"/>
  <c r="C2943" i="1"/>
  <c r="A9013" i="1"/>
  <c r="B9013" i="1"/>
  <c r="C9013" i="1"/>
  <c r="A13591" i="1"/>
  <c r="B13591" i="1"/>
  <c r="C13591" i="1"/>
  <c r="A13086" i="1"/>
  <c r="B13086" i="1"/>
  <c r="C13086" i="1"/>
  <c r="A277" i="1"/>
  <c r="B277" i="1"/>
  <c r="C277" i="1"/>
  <c r="A9831" i="1"/>
  <c r="B9831" i="1"/>
  <c r="C9831" i="1"/>
  <c r="A702" i="1"/>
  <c r="B702" i="1"/>
  <c r="C702" i="1"/>
  <c r="A3842" i="1"/>
  <c r="B3842" i="1"/>
  <c r="C3842" i="1"/>
  <c r="A4331" i="1"/>
  <c r="B4331" i="1"/>
  <c r="C4331" i="1"/>
  <c r="A6536" i="1"/>
  <c r="B6536" i="1"/>
  <c r="C6536" i="1"/>
  <c r="A1292" i="1"/>
  <c r="B1292" i="1"/>
  <c r="C1292" i="1"/>
  <c r="A3298" i="1"/>
  <c r="B3298" i="1"/>
  <c r="C3298" i="1"/>
  <c r="A655" i="1"/>
  <c r="B655" i="1"/>
  <c r="C655" i="1"/>
  <c r="A3375" i="1"/>
  <c r="B3375" i="1"/>
  <c r="C3375" i="1"/>
  <c r="A10714" i="1"/>
  <c r="B10714" i="1"/>
  <c r="C10714" i="1"/>
  <c r="A1005" i="1"/>
  <c r="B1005" i="1"/>
  <c r="C1005" i="1"/>
  <c r="A13379" i="1"/>
  <c r="B13379" i="1"/>
  <c r="C13379" i="1"/>
  <c r="A1115" i="1"/>
  <c r="B1115" i="1"/>
  <c r="C1115" i="1"/>
  <c r="A6690" i="1"/>
  <c r="B6690" i="1"/>
  <c r="C6690" i="1"/>
  <c r="A712" i="1"/>
  <c r="B712" i="1"/>
  <c r="C712" i="1"/>
  <c r="A11453" i="1"/>
  <c r="B11453" i="1"/>
  <c r="C11453" i="1"/>
  <c r="A11569" i="1"/>
  <c r="B11569" i="1"/>
  <c r="C11569" i="1"/>
  <c r="A7280" i="1"/>
  <c r="B7280" i="1"/>
  <c r="C7280" i="1"/>
  <c r="A13790" i="1"/>
  <c r="B13790" i="1"/>
  <c r="C13790" i="1"/>
  <c r="A10268" i="1"/>
  <c r="B10268" i="1"/>
  <c r="C10268" i="1"/>
  <c r="A5399" i="1"/>
  <c r="B5399" i="1"/>
  <c r="C5399" i="1"/>
  <c r="A13833" i="1"/>
  <c r="B13833" i="1"/>
  <c r="C13833" i="1"/>
  <c r="A9922" i="1"/>
  <c r="B9922" i="1"/>
  <c r="C9922" i="1"/>
  <c r="A4001" i="1"/>
  <c r="B4001" i="1"/>
  <c r="C4001" i="1"/>
  <c r="A4623" i="1"/>
  <c r="B4623" i="1"/>
  <c r="C4623" i="1"/>
  <c r="A4752" i="1"/>
  <c r="B4752" i="1"/>
  <c r="C4752" i="1"/>
  <c r="A13514" i="1"/>
  <c r="B13514" i="1"/>
  <c r="C13514" i="1"/>
  <c r="A4753" i="1"/>
  <c r="B4753" i="1"/>
  <c r="C4753" i="1"/>
  <c r="A1031" i="1"/>
  <c r="B1031" i="1"/>
  <c r="C1031" i="1"/>
  <c r="A658" i="1"/>
  <c r="B658" i="1"/>
  <c r="C658" i="1"/>
  <c r="A11729" i="1"/>
  <c r="B11729" i="1"/>
  <c r="C11729" i="1"/>
  <c r="A13716" i="1"/>
  <c r="B13716" i="1"/>
  <c r="C13716" i="1"/>
  <c r="A10706" i="1"/>
  <c r="B10706" i="1"/>
  <c r="C10706" i="1"/>
  <c r="A6406" i="1"/>
  <c r="B6406" i="1"/>
  <c r="C6406" i="1"/>
  <c r="A1039" i="1"/>
  <c r="B1039" i="1"/>
  <c r="C1039" i="1"/>
  <c r="A9988" i="1"/>
  <c r="B9988" i="1"/>
  <c r="C9988" i="1"/>
  <c r="A11248" i="1"/>
  <c r="B11248" i="1"/>
  <c r="C11248" i="1"/>
  <c r="A13719" i="1"/>
  <c r="B13719" i="1"/>
  <c r="C13719" i="1"/>
  <c r="A10436" i="1"/>
  <c r="B10436" i="1"/>
  <c r="C10436" i="1"/>
  <c r="A2390" i="1"/>
  <c r="B2390" i="1"/>
  <c r="C2390" i="1"/>
  <c r="A62" i="1"/>
  <c r="B62" i="1"/>
  <c r="C62" i="1"/>
  <c r="A10400" i="1"/>
  <c r="B10400" i="1"/>
  <c r="C10400" i="1"/>
  <c r="A3454" i="1"/>
  <c r="B3454" i="1"/>
  <c r="C3454" i="1"/>
  <c r="A10917" i="1"/>
  <c r="B10917" i="1"/>
  <c r="C10917" i="1"/>
  <c r="A13107" i="1"/>
  <c r="B13107" i="1"/>
  <c r="C13107" i="1"/>
  <c r="A12069" i="1"/>
  <c r="B12069" i="1"/>
  <c r="C12069" i="1"/>
  <c r="A12393" i="1"/>
  <c r="B12393" i="1"/>
  <c r="C12393" i="1"/>
  <c r="A9876" i="1"/>
  <c r="B9876" i="1"/>
  <c r="C9876" i="1"/>
  <c r="A5578" i="1"/>
  <c r="B5578" i="1"/>
  <c r="C5578" i="1"/>
  <c r="A8829" i="1"/>
  <c r="B8829" i="1"/>
  <c r="C8829" i="1"/>
  <c r="A11261" i="1"/>
  <c r="B11261" i="1"/>
  <c r="C11261" i="1"/>
  <c r="A12620" i="1"/>
  <c r="B12620" i="1"/>
  <c r="C12620" i="1"/>
  <c r="A413" i="1"/>
  <c r="B413" i="1"/>
  <c r="C413" i="1"/>
  <c r="A1076" i="1"/>
  <c r="B1076" i="1"/>
  <c r="C1076" i="1"/>
  <c r="A5247" i="1"/>
  <c r="B5247" i="1"/>
  <c r="C5247" i="1"/>
  <c r="A7493" i="1"/>
  <c r="B7493" i="1"/>
  <c r="C7493" i="1"/>
  <c r="A10865" i="1"/>
  <c r="B10865" i="1"/>
  <c r="C10865" i="1"/>
  <c r="A4168" i="1"/>
  <c r="B4168" i="1"/>
  <c r="C4168" i="1"/>
  <c r="A13780" i="1"/>
  <c r="B13780" i="1"/>
  <c r="C13780" i="1"/>
  <c r="A4121" i="1"/>
  <c r="B4121" i="1"/>
  <c r="C4121" i="1"/>
  <c r="A3459" i="1"/>
  <c r="B3459" i="1"/>
  <c r="C3459" i="1"/>
  <c r="A9373" i="1"/>
  <c r="B9373" i="1"/>
  <c r="C9373" i="1"/>
  <c r="A9570" i="1"/>
  <c r="B9570" i="1"/>
  <c r="C9570" i="1"/>
  <c r="A8518" i="1"/>
  <c r="B8518" i="1"/>
  <c r="C8518" i="1"/>
  <c r="A5607" i="1"/>
  <c r="B5607" i="1"/>
  <c r="C5607" i="1"/>
  <c r="A11961" i="1"/>
  <c r="B11961" i="1"/>
  <c r="C11961" i="1"/>
  <c r="A129" i="1"/>
  <c r="B129" i="1"/>
  <c r="C129" i="1"/>
  <c r="A1657" i="1"/>
  <c r="B1657" i="1"/>
  <c r="C1657" i="1"/>
  <c r="A1241" i="1"/>
  <c r="B1241" i="1"/>
  <c r="C1241" i="1"/>
  <c r="A4122" i="1"/>
  <c r="B4122" i="1"/>
  <c r="C4122" i="1"/>
  <c r="A743" i="1"/>
  <c r="B743" i="1"/>
  <c r="C743" i="1"/>
  <c r="A5636" i="1"/>
  <c r="B5636" i="1"/>
  <c r="C5636" i="1"/>
  <c r="A6537" i="1"/>
  <c r="B6537" i="1"/>
  <c r="C6537" i="1"/>
  <c r="A3818" i="1"/>
  <c r="B3818" i="1"/>
  <c r="C3818" i="1"/>
  <c r="A6344" i="1"/>
  <c r="B6344" i="1"/>
  <c r="C6344" i="1"/>
  <c r="A12655" i="1"/>
  <c r="B12655" i="1"/>
  <c r="C12655" i="1"/>
  <c r="A9278" i="1"/>
  <c r="B9278" i="1"/>
  <c r="C9278" i="1"/>
  <c r="A8514" i="1"/>
  <c r="B8514" i="1"/>
  <c r="C8514" i="1"/>
  <c r="A7222" i="1"/>
  <c r="B7222" i="1"/>
  <c r="C7222" i="1"/>
  <c r="A7537" i="1"/>
  <c r="B7537" i="1"/>
  <c r="C7537" i="1"/>
  <c r="A6192" i="1"/>
  <c r="B6192" i="1"/>
  <c r="C6192" i="1"/>
  <c r="A11029" i="1"/>
  <c r="B11029" i="1"/>
  <c r="C11029" i="1"/>
  <c r="A11541" i="1"/>
  <c r="B11541" i="1"/>
  <c r="C11541" i="1"/>
  <c r="A11962" i="1"/>
  <c r="B11962" i="1"/>
  <c r="C11962" i="1"/>
  <c r="A9474" i="1"/>
  <c r="B9474" i="1"/>
  <c r="C9474" i="1"/>
  <c r="A12546" i="1"/>
  <c r="B12546" i="1"/>
  <c r="C12546" i="1"/>
  <c r="A9288" i="1"/>
  <c r="B9288" i="1"/>
  <c r="C9288" i="1"/>
  <c r="A10691" i="1"/>
  <c r="B10691" i="1"/>
  <c r="C10691" i="1"/>
  <c r="A11571" i="1"/>
  <c r="B11571" i="1"/>
  <c r="C11571" i="1"/>
  <c r="A10604" i="1"/>
  <c r="B10604" i="1"/>
  <c r="C10604" i="1"/>
  <c r="A3288" i="1"/>
  <c r="B3288" i="1"/>
  <c r="C3288" i="1"/>
  <c r="A6221" i="1"/>
  <c r="B6221" i="1"/>
  <c r="C6221" i="1"/>
  <c r="A12149" i="1"/>
  <c r="B12149" i="1"/>
  <c r="C12149" i="1"/>
  <c r="A7230" i="1"/>
  <c r="B7230" i="1"/>
  <c r="C7230" i="1"/>
  <c r="A4839" i="1"/>
  <c r="B4839" i="1"/>
  <c r="C4839" i="1"/>
  <c r="A5964" i="1"/>
  <c r="B5964" i="1"/>
  <c r="C5964" i="1"/>
  <c r="A5965" i="1"/>
  <c r="B5965" i="1"/>
  <c r="C5965" i="1"/>
  <c r="A8394" i="1"/>
  <c r="B8394" i="1"/>
  <c r="C8394" i="1"/>
  <c r="A124" i="1"/>
  <c r="B124" i="1"/>
  <c r="C124" i="1"/>
  <c r="A11560" i="1"/>
  <c r="B11560" i="1"/>
  <c r="C11560" i="1"/>
  <c r="A12" i="1"/>
  <c r="B12" i="1"/>
  <c r="C12" i="1"/>
  <c r="A7386" i="1"/>
  <c r="B7386" i="1"/>
  <c r="C7386" i="1"/>
  <c r="A13939" i="1"/>
  <c r="B13939" i="1"/>
  <c r="C13939" i="1"/>
  <c r="A9601" i="1"/>
  <c r="B9601" i="1"/>
  <c r="C9601" i="1"/>
  <c r="A2890" i="1"/>
  <c r="B2890" i="1"/>
  <c r="C2890" i="1"/>
  <c r="A11299" i="1"/>
  <c r="B11299" i="1"/>
  <c r="C11299" i="1"/>
  <c r="A7453" i="1"/>
  <c r="B7453" i="1"/>
  <c r="C7453" i="1"/>
  <c r="A4485" i="1"/>
  <c r="B4485" i="1"/>
  <c r="C4485" i="1"/>
  <c r="A8276" i="1"/>
  <c r="B8276" i="1"/>
  <c r="C8276" i="1"/>
  <c r="A9797" i="1"/>
  <c r="B9797" i="1"/>
  <c r="C9797" i="1"/>
  <c r="A10648" i="1"/>
  <c r="B10648" i="1"/>
  <c r="C10648" i="1"/>
  <c r="A10609" i="1"/>
  <c r="B10609" i="1"/>
  <c r="C10609" i="1"/>
  <c r="A8117" i="1"/>
  <c r="B8117" i="1"/>
  <c r="C8117" i="1"/>
  <c r="A1903" i="1"/>
  <c r="B1903" i="1"/>
  <c r="C1903" i="1"/>
  <c r="A12787" i="1"/>
  <c r="B12787" i="1"/>
  <c r="C12787" i="1"/>
  <c r="A13362" i="1"/>
  <c r="B13362" i="1"/>
  <c r="C13362" i="1"/>
  <c r="A9489" i="1"/>
  <c r="B9489" i="1"/>
  <c r="C9489" i="1"/>
  <c r="A6331" i="1"/>
  <c r="B6331" i="1"/>
  <c r="C6331" i="1"/>
  <c r="A4036" i="1"/>
  <c r="B4036" i="1"/>
  <c r="C4036" i="1"/>
  <c r="A4418" i="1"/>
  <c r="B4418" i="1"/>
  <c r="C4418" i="1"/>
  <c r="A3449" i="1"/>
  <c r="B3449" i="1"/>
  <c r="C3449" i="1"/>
  <c r="A12050" i="1"/>
  <c r="B12050" i="1"/>
  <c r="C12050" i="1"/>
  <c r="A2206" i="1"/>
  <c r="B2206" i="1"/>
  <c r="C2206" i="1"/>
  <c r="A3983" i="1"/>
  <c r="B3983" i="1"/>
  <c r="C3983" i="1"/>
  <c r="A3984" i="1"/>
  <c r="B3984" i="1"/>
  <c r="C3984" i="1"/>
  <c r="A12785" i="1"/>
  <c r="B12785" i="1"/>
  <c r="C12785" i="1"/>
  <c r="A8288" i="1"/>
  <c r="B8288" i="1"/>
  <c r="C8288" i="1"/>
  <c r="A9957" i="1"/>
  <c r="B9957" i="1"/>
  <c r="C9957" i="1"/>
  <c r="A3874" i="1"/>
  <c r="B3874" i="1"/>
  <c r="C3874" i="1"/>
  <c r="A9861" i="1"/>
  <c r="B9861" i="1"/>
  <c r="C9861" i="1"/>
  <c r="A2317" i="1"/>
  <c r="B2317" i="1"/>
  <c r="C2317" i="1"/>
  <c r="A2318" i="1"/>
  <c r="B2318" i="1"/>
  <c r="C2318" i="1"/>
  <c r="A13420" i="1"/>
  <c r="B13420" i="1"/>
  <c r="C13420" i="1"/>
  <c r="A9492" i="1"/>
  <c r="B9492" i="1"/>
  <c r="C9492" i="1"/>
  <c r="A4297" i="1"/>
  <c r="B4297" i="1"/>
  <c r="C4297" i="1"/>
  <c r="A2893" i="1"/>
  <c r="B2893" i="1"/>
  <c r="C2893" i="1"/>
  <c r="A7558" i="1"/>
  <c r="B7558" i="1"/>
  <c r="C7558" i="1"/>
  <c r="A5207" i="1"/>
  <c r="B5207" i="1"/>
  <c r="C5207" i="1"/>
  <c r="A6484" i="1"/>
  <c r="B6484" i="1"/>
  <c r="C6484" i="1"/>
  <c r="A5689" i="1"/>
  <c r="B5689" i="1"/>
  <c r="C5689" i="1"/>
  <c r="A8940" i="1"/>
  <c r="B8940" i="1"/>
  <c r="C8940" i="1"/>
  <c r="A451" i="1"/>
  <c r="B451" i="1"/>
  <c r="C451" i="1"/>
  <c r="A6880" i="1"/>
  <c r="B6880" i="1"/>
  <c r="C6880" i="1"/>
  <c r="A384" i="1"/>
  <c r="B384" i="1"/>
  <c r="C384" i="1"/>
  <c r="A96" i="1"/>
  <c r="B96" i="1"/>
  <c r="C96" i="1"/>
  <c r="A12144" i="1"/>
  <c r="B12144" i="1"/>
  <c r="C12144" i="1"/>
  <c r="A938" i="1"/>
  <c r="B938" i="1"/>
  <c r="C938" i="1"/>
  <c r="A8417" i="1"/>
  <c r="B8417" i="1"/>
  <c r="C8417" i="1"/>
  <c r="A11963" i="1"/>
  <c r="B11963" i="1"/>
  <c r="C11963" i="1"/>
  <c r="A8499" i="1"/>
  <c r="B8499" i="1"/>
  <c r="C8499" i="1"/>
  <c r="A9338" i="1"/>
  <c r="B9338" i="1"/>
  <c r="C9338" i="1"/>
  <c r="A9907" i="1"/>
  <c r="B9907" i="1"/>
  <c r="C9907" i="1"/>
  <c r="A12656" i="1"/>
  <c r="B12656" i="1"/>
  <c r="C12656" i="1"/>
  <c r="A5969" i="1"/>
  <c r="B5969" i="1"/>
  <c r="C5969" i="1"/>
  <c r="A6117" i="1"/>
  <c r="B6117" i="1"/>
  <c r="C6117" i="1"/>
  <c r="A1797" i="1"/>
  <c r="B1797" i="1"/>
  <c r="C1797" i="1"/>
  <c r="A7494" i="1"/>
  <c r="B7494" i="1"/>
  <c r="C7494" i="1"/>
  <c r="A9458" i="1"/>
  <c r="B9458" i="1"/>
  <c r="C9458" i="1"/>
  <c r="A13889" i="1"/>
  <c r="B13889" i="1"/>
  <c r="C13889" i="1"/>
  <c r="A2907" i="1"/>
  <c r="B2907" i="1"/>
  <c r="C2907" i="1"/>
  <c r="A8865" i="1"/>
  <c r="B8865" i="1"/>
  <c r="C8865" i="1"/>
  <c r="A9428" i="1"/>
  <c r="B9428" i="1"/>
  <c r="C9428" i="1"/>
  <c r="A5395" i="1"/>
  <c r="B5395" i="1"/>
  <c r="C5395" i="1"/>
  <c r="A10130" i="1"/>
  <c r="B10130" i="1"/>
  <c r="C10130" i="1"/>
  <c r="A9323" i="1"/>
  <c r="B9323" i="1"/>
  <c r="C9323" i="1"/>
  <c r="A10472" i="1"/>
  <c r="B10472" i="1"/>
  <c r="C10472" i="1"/>
  <c r="A4754" i="1"/>
  <c r="B4754" i="1"/>
  <c r="C4754" i="1"/>
  <c r="A5691" i="1"/>
  <c r="B5691" i="1"/>
  <c r="C5691" i="1"/>
  <c r="A12830" i="1"/>
  <c r="B12830" i="1"/>
  <c r="C12830" i="1"/>
  <c r="A3654" i="1"/>
  <c r="B3654" i="1"/>
  <c r="C3654" i="1"/>
  <c r="A2841" i="1"/>
  <c r="B2841" i="1"/>
  <c r="C2841" i="1"/>
  <c r="A1988" i="1"/>
  <c r="B1988" i="1"/>
  <c r="C1988" i="1"/>
  <c r="A8749" i="1"/>
  <c r="B8749" i="1"/>
  <c r="C8749" i="1"/>
  <c r="A4341" i="1"/>
  <c r="B4341" i="1"/>
  <c r="C4341" i="1"/>
  <c r="A5682" i="1"/>
  <c r="B5682" i="1"/>
  <c r="C5682" i="1"/>
  <c r="A5808" i="1"/>
  <c r="B5808" i="1"/>
  <c r="C5808" i="1"/>
  <c r="A8034" i="1"/>
  <c r="B8034" i="1"/>
  <c r="C8034" i="1"/>
  <c r="A12958" i="1"/>
  <c r="B12958" i="1"/>
  <c r="C12958" i="1"/>
  <c r="A5646" i="1"/>
  <c r="B5646" i="1"/>
  <c r="C5646" i="1"/>
  <c r="A12043" i="1"/>
  <c r="B12043" i="1"/>
  <c r="C12043" i="1"/>
  <c r="A9527" i="1"/>
  <c r="B9527" i="1"/>
  <c r="C9527" i="1"/>
  <c r="A10446" i="1"/>
  <c r="B10446" i="1"/>
  <c r="C10446" i="1"/>
  <c r="A2084" i="1"/>
  <c r="B2084" i="1"/>
  <c r="C2084" i="1"/>
  <c r="A1862" i="1"/>
  <c r="B1862" i="1"/>
  <c r="C1862" i="1"/>
  <c r="A7338" i="1"/>
  <c r="B7338" i="1"/>
  <c r="C7338" i="1"/>
  <c r="A13161" i="1"/>
  <c r="B13161" i="1"/>
  <c r="C13161" i="1"/>
  <c r="A9729" i="1"/>
  <c r="B9729" i="1"/>
  <c r="C9729" i="1"/>
  <c r="A7761" i="1"/>
  <c r="B7761" i="1"/>
  <c r="C7761" i="1"/>
  <c r="A11674" i="1"/>
  <c r="B11674" i="1"/>
  <c r="C11674" i="1"/>
  <c r="A11624" i="1"/>
  <c r="B11624" i="1"/>
  <c r="C11624" i="1"/>
  <c r="A11518" i="1"/>
  <c r="B11518" i="1"/>
  <c r="C11518" i="1"/>
  <c r="A5870" i="1"/>
  <c r="B5870" i="1"/>
  <c r="C5870" i="1"/>
  <c r="A10326" i="1"/>
  <c r="B10326" i="1"/>
  <c r="C10326" i="1"/>
  <c r="A8560" i="1"/>
  <c r="B8560" i="1"/>
  <c r="C8560" i="1"/>
  <c r="A3682" i="1"/>
  <c r="B3682" i="1"/>
  <c r="C3682" i="1"/>
  <c r="A7260" i="1"/>
  <c r="B7260" i="1"/>
  <c r="C7260" i="1"/>
  <c r="A7001" i="1"/>
  <c r="B7001" i="1"/>
  <c r="C7001" i="1"/>
  <c r="A12037" i="1"/>
  <c r="B12037" i="1"/>
  <c r="C12037" i="1"/>
  <c r="A521" i="1"/>
  <c r="B521" i="1"/>
  <c r="C521" i="1"/>
  <c r="A5392" i="1"/>
  <c r="B5392" i="1"/>
  <c r="C5392" i="1"/>
  <c r="A926" i="1"/>
  <c r="B926" i="1"/>
  <c r="C926" i="1"/>
  <c r="A4195" i="1"/>
  <c r="B4195" i="1"/>
  <c r="C4195" i="1"/>
  <c r="A7601" i="1"/>
  <c r="B7601" i="1"/>
  <c r="C7601" i="1"/>
  <c r="A2803" i="1"/>
  <c r="B2803" i="1"/>
  <c r="C2803" i="1"/>
  <c r="A2886" i="1"/>
  <c r="B2886" i="1"/>
  <c r="C2886" i="1"/>
  <c r="A1113" i="1"/>
  <c r="B1113" i="1"/>
  <c r="C1113" i="1"/>
  <c r="A13828" i="1"/>
  <c r="B13828" i="1"/>
  <c r="C13828" i="1"/>
  <c r="A9437" i="1"/>
  <c r="B9437" i="1"/>
  <c r="C9437" i="1"/>
  <c r="A10848" i="1"/>
  <c r="B10848" i="1"/>
  <c r="C10848" i="1"/>
  <c r="A10670" i="1"/>
  <c r="B10670" i="1"/>
  <c r="C10670" i="1"/>
  <c r="A4166" i="1"/>
  <c r="B4166" i="1"/>
  <c r="C4166" i="1"/>
  <c r="A487" i="1"/>
  <c r="B487" i="1"/>
  <c r="C487" i="1"/>
  <c r="A9742" i="1"/>
  <c r="B9742" i="1"/>
  <c r="C9742" i="1"/>
  <c r="A11774" i="1"/>
  <c r="B11774" i="1"/>
  <c r="C11774" i="1"/>
  <c r="A5441" i="1"/>
  <c r="B5441" i="1"/>
  <c r="C5441" i="1"/>
  <c r="A12850" i="1"/>
  <c r="B12850" i="1"/>
  <c r="C12850" i="1"/>
  <c r="A12465" i="1"/>
  <c r="B12465" i="1"/>
  <c r="C12465" i="1"/>
  <c r="A4360" i="1"/>
  <c r="B4360" i="1"/>
  <c r="C4360" i="1"/>
  <c r="A12937" i="1"/>
  <c r="B12937" i="1"/>
  <c r="C12937" i="1"/>
  <c r="A3134" i="1"/>
  <c r="B3134" i="1"/>
  <c r="C3134" i="1"/>
  <c r="A12266" i="1"/>
  <c r="B12266" i="1"/>
  <c r="C12266" i="1"/>
  <c r="A12593" i="1"/>
  <c r="B12593" i="1"/>
  <c r="C12593" i="1"/>
  <c r="A12402" i="1"/>
  <c r="B12402" i="1"/>
  <c r="C12402" i="1"/>
  <c r="A3550" i="1"/>
  <c r="B3550" i="1"/>
  <c r="C3550" i="1"/>
  <c r="A2569" i="1"/>
  <c r="B2569" i="1"/>
  <c r="C2569" i="1"/>
  <c r="A3661" i="1"/>
  <c r="B3661" i="1"/>
  <c r="C3661" i="1"/>
  <c r="A1377" i="1"/>
  <c r="B1377" i="1"/>
  <c r="C1377" i="1"/>
  <c r="A10127" i="1"/>
  <c r="B10127" i="1"/>
  <c r="C10127" i="1"/>
  <c r="A11845" i="1"/>
  <c r="B11845" i="1"/>
  <c r="C11845" i="1"/>
  <c r="A953" i="1"/>
  <c r="B953" i="1"/>
  <c r="C953" i="1"/>
  <c r="A10042" i="1"/>
  <c r="B10042" i="1"/>
  <c r="C10042" i="1"/>
  <c r="A7138" i="1"/>
  <c r="B7138" i="1"/>
  <c r="C7138" i="1"/>
  <c r="A13188" i="1"/>
  <c r="B13188" i="1"/>
  <c r="C13188" i="1"/>
  <c r="A3006" i="1"/>
  <c r="B3006" i="1"/>
  <c r="C3006" i="1"/>
  <c r="A2610" i="1"/>
  <c r="B2610" i="1"/>
  <c r="C2610" i="1"/>
  <c r="A1165" i="1"/>
  <c r="B1165" i="1"/>
  <c r="C1165" i="1"/>
  <c r="A1059" i="1"/>
  <c r="B1059" i="1"/>
  <c r="C1059" i="1"/>
  <c r="A944" i="1"/>
  <c r="B944" i="1"/>
  <c r="C944" i="1"/>
  <c r="A7002" i="1"/>
  <c r="B7002" i="1"/>
  <c r="C7002" i="1"/>
  <c r="A896" i="1"/>
  <c r="B896" i="1"/>
  <c r="C896" i="1"/>
  <c r="A6495" i="1"/>
  <c r="B6495" i="1"/>
  <c r="C6495" i="1"/>
  <c r="A4296" i="1"/>
  <c r="B4296" i="1"/>
  <c r="C4296" i="1"/>
  <c r="A7804" i="1"/>
  <c r="B7804" i="1"/>
  <c r="C7804" i="1"/>
  <c r="A7805" i="1"/>
  <c r="B7805" i="1"/>
  <c r="C7805" i="1"/>
  <c r="A10391" i="1"/>
  <c r="B10391" i="1"/>
  <c r="C10391" i="1"/>
  <c r="A2887" i="1"/>
  <c r="B2887" i="1"/>
  <c r="C2887" i="1"/>
  <c r="A7963" i="1"/>
  <c r="B7963" i="1"/>
  <c r="C7963" i="1"/>
  <c r="A9307" i="1"/>
  <c r="B9307" i="1"/>
  <c r="C9307" i="1"/>
  <c r="A10376" i="1"/>
  <c r="B10376" i="1"/>
  <c r="C10376" i="1"/>
  <c r="A10396" i="1"/>
  <c r="B10396" i="1"/>
  <c r="C10396" i="1"/>
  <c r="A9491" i="1"/>
  <c r="B9491" i="1"/>
  <c r="C9491" i="1"/>
  <c r="A8127" i="1"/>
  <c r="B8127" i="1"/>
  <c r="C8127" i="1"/>
  <c r="A7107" i="1"/>
  <c r="B7107" i="1"/>
  <c r="C7107" i="1"/>
  <c r="A10780" i="1"/>
  <c r="B10780" i="1"/>
  <c r="C10780" i="1"/>
  <c r="A6505" i="1"/>
  <c r="B6505" i="1"/>
  <c r="C6505" i="1"/>
  <c r="A7429" i="1"/>
  <c r="B7429" i="1"/>
  <c r="C7429" i="1"/>
  <c r="A13002" i="1"/>
  <c r="B13002" i="1"/>
  <c r="C13002" i="1"/>
  <c r="A5377" i="1"/>
  <c r="B5377" i="1"/>
  <c r="C5377" i="1"/>
  <c r="A12444" i="1"/>
  <c r="B12444" i="1"/>
  <c r="C12444" i="1"/>
  <c r="A12445" i="1"/>
  <c r="B12445" i="1"/>
  <c r="C12445" i="1"/>
  <c r="A11003" i="1"/>
  <c r="B11003" i="1"/>
  <c r="C11003" i="1"/>
  <c r="A8658" i="1"/>
  <c r="B8658" i="1"/>
  <c r="C8658" i="1"/>
  <c r="A2395" i="1"/>
  <c r="B2395" i="1"/>
  <c r="C2395" i="1"/>
  <c r="A8959" i="1"/>
  <c r="B8959" i="1"/>
  <c r="C8959" i="1"/>
  <c r="A8396" i="1"/>
  <c r="B8396" i="1"/>
  <c r="C8396" i="1"/>
  <c r="A4209" i="1"/>
  <c r="B4209" i="1"/>
  <c r="C4209" i="1"/>
  <c r="A1480" i="1"/>
  <c r="B1480" i="1"/>
  <c r="C1480" i="1"/>
  <c r="A9497" i="1"/>
  <c r="B9497" i="1"/>
  <c r="C9497" i="1"/>
  <c r="A11278" i="1"/>
  <c r="B11278" i="1"/>
  <c r="C11278" i="1"/>
  <c r="A12337" i="1"/>
  <c r="B12337" i="1"/>
  <c r="C12337" i="1"/>
  <c r="A5045" i="1"/>
  <c r="B5045" i="1"/>
  <c r="C5045" i="1"/>
  <c r="A11166" i="1"/>
  <c r="B11166" i="1"/>
  <c r="C11166" i="1"/>
  <c r="A3807" i="1"/>
  <c r="B3807" i="1"/>
  <c r="C3807" i="1"/>
  <c r="A12252" i="1"/>
  <c r="B12252" i="1"/>
  <c r="C12252" i="1"/>
  <c r="A1808" i="1"/>
  <c r="B1808" i="1"/>
  <c r="C1808" i="1"/>
  <c r="A4772" i="1"/>
  <c r="B4772" i="1"/>
  <c r="C4772" i="1"/>
  <c r="A10710" i="1"/>
  <c r="B10710" i="1"/>
  <c r="C10710" i="1"/>
  <c r="A6214" i="1"/>
  <c r="B6214" i="1"/>
  <c r="C6214" i="1"/>
  <c r="A11510" i="1"/>
  <c r="B11510" i="1"/>
  <c r="C11510" i="1"/>
  <c r="A1288" i="1"/>
  <c r="B1288" i="1"/>
  <c r="C1288" i="1"/>
  <c r="A3201" i="1"/>
  <c r="B3201" i="1"/>
  <c r="C3201" i="1"/>
  <c r="A7277" i="1"/>
  <c r="B7277" i="1"/>
  <c r="C7277" i="1"/>
  <c r="A5347" i="1"/>
  <c r="B5347" i="1"/>
  <c r="C5347" i="1"/>
  <c r="A2918" i="1"/>
  <c r="B2918" i="1"/>
  <c r="C2918" i="1"/>
  <c r="A13538" i="1"/>
  <c r="B13538" i="1"/>
  <c r="C13538" i="1"/>
  <c r="A5322" i="1"/>
  <c r="B5322" i="1"/>
  <c r="C5322" i="1"/>
  <c r="A53" i="1"/>
  <c r="B53" i="1"/>
  <c r="C53" i="1"/>
  <c r="A1385" i="1"/>
  <c r="B1385" i="1"/>
  <c r="C1385" i="1"/>
  <c r="A7064" i="1"/>
  <c r="B7064" i="1"/>
  <c r="C7064" i="1"/>
  <c r="A567" i="1"/>
  <c r="B567" i="1"/>
  <c r="C567" i="1"/>
  <c r="A6950" i="1"/>
  <c r="B6950" i="1"/>
  <c r="C6950" i="1"/>
  <c r="A3372" i="1"/>
  <c r="B3372" i="1"/>
  <c r="C3372" i="1"/>
  <c r="A2795" i="1"/>
  <c r="B2795" i="1"/>
  <c r="C2795" i="1"/>
  <c r="A4370" i="1"/>
  <c r="B4370" i="1"/>
  <c r="C4370" i="1"/>
  <c r="A268" i="1"/>
  <c r="B268" i="1"/>
  <c r="C268" i="1"/>
  <c r="A7538" i="1"/>
  <c r="B7538" i="1"/>
  <c r="C7538" i="1"/>
  <c r="A7319" i="1"/>
  <c r="B7319" i="1"/>
  <c r="C7319" i="1"/>
  <c r="A1998" i="1"/>
  <c r="B1998" i="1"/>
  <c r="C1998" i="1"/>
  <c r="A7180" i="1"/>
  <c r="B7180" i="1"/>
  <c r="C7180" i="1"/>
  <c r="A13875" i="1"/>
  <c r="B13875" i="1"/>
  <c r="C13875" i="1"/>
  <c r="A2804" i="1"/>
  <c r="B2804" i="1"/>
  <c r="C2804" i="1"/>
  <c r="A4066" i="1"/>
  <c r="B4066" i="1"/>
  <c r="C4066" i="1"/>
  <c r="A9540" i="1"/>
  <c r="B9540" i="1"/>
  <c r="C9540" i="1"/>
  <c r="A11172" i="1"/>
  <c r="B11172" i="1"/>
  <c r="C11172" i="1"/>
  <c r="A9459" i="1"/>
  <c r="B9459" i="1"/>
  <c r="C9459" i="1"/>
  <c r="A9450" i="1"/>
  <c r="B9450" i="1"/>
  <c r="C9450" i="1"/>
  <c r="A4944" i="1"/>
  <c r="B4944" i="1"/>
  <c r="C4944" i="1"/>
  <c r="A8963" i="1"/>
  <c r="B8963" i="1"/>
  <c r="C8963" i="1"/>
  <c r="A6868" i="1"/>
  <c r="B6868" i="1"/>
  <c r="C6868" i="1"/>
  <c r="A5320" i="1"/>
  <c r="B5320" i="1"/>
  <c r="C5320" i="1"/>
  <c r="A5321" i="1"/>
  <c r="B5321" i="1"/>
  <c r="C5321" i="1"/>
  <c r="A5428" i="1"/>
  <c r="B5428" i="1"/>
  <c r="C5428" i="1"/>
  <c r="A117" i="1"/>
  <c r="B117" i="1"/>
  <c r="C117" i="1"/>
  <c r="A122" i="1"/>
  <c r="B122" i="1"/>
  <c r="C122" i="1"/>
  <c r="A12100" i="1"/>
  <c r="B12100" i="1"/>
  <c r="C12100" i="1"/>
  <c r="A3029" i="1"/>
  <c r="B3029" i="1"/>
  <c r="C3029" i="1"/>
  <c r="A332" i="1"/>
  <c r="B332" i="1"/>
  <c r="C332" i="1"/>
  <c r="A7636" i="1"/>
  <c r="B7636" i="1"/>
  <c r="C7636" i="1"/>
  <c r="A893" i="1"/>
  <c r="B893" i="1"/>
  <c r="C893" i="1"/>
  <c r="A561" i="1"/>
  <c r="B561" i="1"/>
  <c r="C561" i="1"/>
  <c r="A671" i="1"/>
  <c r="B671" i="1"/>
  <c r="C671" i="1"/>
  <c r="A3646" i="1"/>
  <c r="B3646" i="1"/>
  <c r="C3646" i="1"/>
  <c r="A7721" i="1"/>
  <c r="B7721" i="1"/>
  <c r="C7721" i="1"/>
  <c r="A2132" i="1"/>
  <c r="B2132" i="1"/>
  <c r="C2132" i="1"/>
  <c r="A6026" i="1"/>
  <c r="B6026" i="1"/>
  <c r="C6026" i="1"/>
  <c r="A7116" i="1"/>
  <c r="B7116" i="1"/>
  <c r="C7116" i="1"/>
  <c r="A7117" i="1"/>
  <c r="B7117" i="1"/>
  <c r="C7117" i="1"/>
  <c r="A7118" i="1"/>
  <c r="B7118" i="1"/>
  <c r="C7118" i="1"/>
  <c r="A836" i="1"/>
  <c r="B836" i="1"/>
  <c r="C836" i="1"/>
  <c r="A8639" i="1"/>
  <c r="B8639" i="1"/>
  <c r="C8639" i="1"/>
  <c r="A3434" i="1"/>
  <c r="B3434" i="1"/>
  <c r="C3434" i="1"/>
  <c r="A11964" i="1"/>
  <c r="B11964" i="1"/>
  <c r="C11964" i="1"/>
  <c r="A4534" i="1"/>
  <c r="B4534" i="1"/>
  <c r="C4534" i="1"/>
  <c r="A6457" i="1"/>
  <c r="B6457" i="1"/>
  <c r="C6457" i="1"/>
  <c r="A2268" i="1"/>
  <c r="B2268" i="1"/>
  <c r="C2268" i="1"/>
  <c r="A2127" i="1"/>
  <c r="B2127" i="1"/>
  <c r="C2127" i="1"/>
  <c r="A5722" i="1"/>
  <c r="B5722" i="1"/>
  <c r="C5722" i="1"/>
  <c r="A324" i="1"/>
  <c r="B324" i="1"/>
  <c r="C324" i="1"/>
  <c r="A325" i="1"/>
  <c r="B325" i="1"/>
  <c r="C325" i="1"/>
  <c r="A698" i="1"/>
  <c r="B698" i="1"/>
  <c r="C698" i="1"/>
  <c r="A1070" i="1"/>
  <c r="B1070" i="1"/>
  <c r="C1070" i="1"/>
  <c r="A3496" i="1"/>
  <c r="B3496" i="1"/>
  <c r="C3496" i="1"/>
  <c r="A2346" i="1"/>
  <c r="B2346" i="1"/>
  <c r="C2346" i="1"/>
  <c r="A3278" i="1"/>
  <c r="B3278" i="1"/>
  <c r="C3278" i="1"/>
  <c r="A11727" i="1"/>
  <c r="B11727" i="1"/>
  <c r="C11727" i="1"/>
  <c r="A12657" i="1"/>
  <c r="B12657" i="1"/>
  <c r="C12657" i="1"/>
  <c r="A5516" i="1"/>
  <c r="B5516" i="1"/>
  <c r="C5516" i="1"/>
  <c r="A13242" i="1"/>
  <c r="B13242" i="1"/>
  <c r="C13242" i="1"/>
  <c r="A11799" i="1"/>
  <c r="B11799" i="1"/>
  <c r="C11799" i="1"/>
  <c r="A2880" i="1"/>
  <c r="B2880" i="1"/>
  <c r="C2880" i="1"/>
  <c r="A843" i="1"/>
  <c r="B843" i="1"/>
  <c r="C843" i="1"/>
  <c r="A1311" i="1"/>
  <c r="B1311" i="1"/>
  <c r="C1311" i="1"/>
  <c r="A2319" i="1"/>
  <c r="B2319" i="1"/>
  <c r="C2319" i="1"/>
  <c r="A12133" i="1"/>
  <c r="B12133" i="1"/>
  <c r="C12133" i="1"/>
  <c r="A1122" i="1"/>
  <c r="B1122" i="1"/>
  <c r="C1122" i="1"/>
  <c r="A1194" i="1"/>
  <c r="B1194" i="1"/>
  <c r="C1194" i="1"/>
  <c r="A6008" i="1"/>
  <c r="B6008" i="1"/>
  <c r="C6008" i="1"/>
  <c r="A6345" i="1"/>
  <c r="B6345" i="1"/>
  <c r="C6345" i="1"/>
  <c r="A2894" i="1"/>
  <c r="B2894" i="1"/>
  <c r="C2894" i="1"/>
  <c r="A2289" i="1"/>
  <c r="B2289" i="1"/>
  <c r="C2289" i="1"/>
  <c r="A1849" i="1"/>
  <c r="B1849" i="1"/>
  <c r="C1849" i="1"/>
  <c r="A11377" i="1"/>
  <c r="B11377" i="1"/>
  <c r="C11377" i="1"/>
  <c r="A3814" i="1"/>
  <c r="B3814" i="1"/>
  <c r="C3814" i="1"/>
  <c r="A7017" i="1"/>
  <c r="B7017" i="1"/>
  <c r="C7017" i="1"/>
  <c r="A7511" i="1"/>
  <c r="B7511" i="1"/>
  <c r="C7511" i="1"/>
  <c r="A5389" i="1"/>
  <c r="B5389" i="1"/>
  <c r="C5389" i="1"/>
  <c r="A6741" i="1"/>
  <c r="B6741" i="1"/>
  <c r="C6741" i="1"/>
  <c r="A3999" i="1"/>
  <c r="B3999" i="1"/>
  <c r="C3999" i="1"/>
  <c r="A9772" i="1"/>
  <c r="B9772" i="1"/>
  <c r="C9772" i="1"/>
  <c r="A7825" i="1"/>
  <c r="B7825" i="1"/>
  <c r="C7825" i="1"/>
  <c r="A2856" i="1"/>
  <c r="B2856" i="1"/>
  <c r="C2856" i="1"/>
  <c r="A10102" i="1"/>
  <c r="B10102" i="1"/>
  <c r="C10102" i="1"/>
  <c r="A2091" i="1"/>
  <c r="B2091" i="1"/>
  <c r="C2091" i="1"/>
  <c r="A11224" i="1"/>
  <c r="B11224" i="1"/>
  <c r="C11224" i="1"/>
  <c r="A8013" i="1"/>
  <c r="B8013" i="1"/>
  <c r="C8013" i="1"/>
  <c r="A2296" i="1"/>
  <c r="B2296" i="1"/>
  <c r="C2296" i="1"/>
  <c r="A532" i="1"/>
  <c r="B532" i="1"/>
  <c r="C532" i="1"/>
  <c r="A8774" i="1"/>
  <c r="B8774" i="1"/>
  <c r="C8774" i="1"/>
  <c r="A1853" i="1"/>
  <c r="B1853" i="1"/>
  <c r="C1853" i="1"/>
  <c r="A13933" i="1"/>
  <c r="B13933" i="1"/>
  <c r="C13933" i="1"/>
  <c r="A118" i="1"/>
  <c r="B118" i="1"/>
  <c r="C118" i="1"/>
  <c r="A1266" i="1"/>
  <c r="B1266" i="1"/>
  <c r="C1266" i="1"/>
  <c r="A11030" i="1"/>
  <c r="B11030" i="1"/>
  <c r="C11030" i="1"/>
  <c r="A11651" i="1"/>
  <c r="B11651" i="1"/>
  <c r="C11651" i="1"/>
  <c r="A3194" i="1"/>
  <c r="B3194" i="1"/>
  <c r="C3194" i="1"/>
  <c r="A3271" i="1"/>
  <c r="B3271" i="1"/>
  <c r="C3271" i="1"/>
  <c r="A4419" i="1"/>
  <c r="B4419" i="1"/>
  <c r="C4419" i="1"/>
  <c r="A10415" i="1"/>
  <c r="B10415" i="1"/>
  <c r="C10415" i="1"/>
  <c r="A5354" i="1"/>
  <c r="B5354" i="1"/>
  <c r="C5354" i="1"/>
  <c r="A454" i="1"/>
  <c r="B454" i="1"/>
  <c r="C454" i="1"/>
  <c r="A4397" i="1"/>
  <c r="B4397" i="1"/>
  <c r="C4397" i="1"/>
  <c r="A10493" i="1"/>
  <c r="B10493" i="1"/>
  <c r="C10493" i="1"/>
  <c r="A7072" i="1"/>
  <c r="B7072" i="1"/>
  <c r="C7072" i="1"/>
  <c r="A3229" i="1"/>
  <c r="B3229" i="1"/>
  <c r="C3229" i="1"/>
  <c r="A2112" i="1"/>
  <c r="B2112" i="1"/>
  <c r="C2112" i="1"/>
  <c r="A5864" i="1"/>
  <c r="B5864" i="1"/>
  <c r="C5864" i="1"/>
  <c r="A11638" i="1"/>
  <c r="B11638" i="1"/>
  <c r="C11638" i="1"/>
  <c r="A147" i="1"/>
  <c r="B147" i="1"/>
  <c r="C147" i="1"/>
  <c r="A5467" i="1"/>
  <c r="B5467" i="1"/>
  <c r="C5467" i="1"/>
  <c r="A12825" i="1"/>
  <c r="B12825" i="1"/>
  <c r="C12825" i="1"/>
  <c r="A11695" i="1"/>
  <c r="B11695" i="1"/>
  <c r="C11695" i="1"/>
  <c r="A476" i="1"/>
  <c r="B476" i="1"/>
  <c r="C476" i="1"/>
  <c r="A579" i="1"/>
  <c r="B579" i="1"/>
  <c r="C579" i="1"/>
  <c r="A10369" i="1"/>
  <c r="B10369" i="1"/>
  <c r="C10369" i="1"/>
  <c r="A6962" i="1"/>
  <c r="B6962" i="1"/>
  <c r="C6962" i="1"/>
  <c r="A6807" i="1"/>
  <c r="B6807" i="1"/>
  <c r="C6807" i="1"/>
  <c r="A9555" i="1"/>
  <c r="B9555" i="1"/>
  <c r="C9555" i="1"/>
  <c r="A5057" i="1"/>
  <c r="B5057" i="1"/>
  <c r="C5057" i="1"/>
  <c r="A1206" i="1"/>
  <c r="B1206" i="1"/>
  <c r="C1206" i="1"/>
  <c r="A7921" i="1"/>
  <c r="B7921" i="1"/>
  <c r="C7921" i="1"/>
  <c r="A10397" i="1"/>
  <c r="B10397" i="1"/>
  <c r="C10397" i="1"/>
  <c r="A9528" i="1"/>
  <c r="B9528" i="1"/>
  <c r="C9528" i="1"/>
  <c r="A5279" i="1"/>
  <c r="B5279" i="1"/>
  <c r="C5279" i="1"/>
  <c r="A13016" i="1"/>
  <c r="B13016" i="1"/>
  <c r="C13016" i="1"/>
  <c r="A13824" i="1"/>
  <c r="B13824" i="1"/>
  <c r="C13824" i="1"/>
  <c r="A11419" i="1"/>
  <c r="B11419" i="1"/>
  <c r="C11419" i="1"/>
  <c r="A12706" i="1"/>
  <c r="B12706" i="1"/>
  <c r="C12706" i="1"/>
  <c r="A9735" i="1"/>
  <c r="B9735" i="1"/>
  <c r="C9735" i="1"/>
  <c r="A6087" i="1"/>
  <c r="B6087" i="1"/>
  <c r="C6087" i="1"/>
  <c r="A5795" i="1"/>
  <c r="B5795" i="1"/>
  <c r="C5795" i="1"/>
  <c r="A6385" i="1"/>
  <c r="B6385" i="1"/>
  <c r="C6385" i="1"/>
  <c r="A9897" i="1"/>
  <c r="B9897" i="1"/>
  <c r="C9897" i="1"/>
  <c r="A5533" i="1"/>
  <c r="B5533" i="1"/>
  <c r="C5533" i="1"/>
  <c r="A13032" i="1"/>
  <c r="B13032" i="1"/>
  <c r="C13032" i="1"/>
  <c r="A7396" i="1"/>
  <c r="B7396" i="1"/>
  <c r="C7396" i="1"/>
  <c r="A12893" i="1"/>
  <c r="B12893" i="1"/>
  <c r="C12893" i="1"/>
  <c r="A8261" i="1"/>
  <c r="B8261" i="1"/>
  <c r="C8261" i="1"/>
  <c r="A12820" i="1"/>
  <c r="B12820" i="1"/>
  <c r="C12820" i="1"/>
  <c r="A10004" i="1"/>
  <c r="B10004" i="1"/>
  <c r="C10004" i="1"/>
  <c r="A3788" i="1"/>
  <c r="B3788" i="1"/>
  <c r="C3788" i="1"/>
  <c r="A954" i="1"/>
  <c r="B954" i="1"/>
  <c r="C954" i="1"/>
  <c r="A5439" i="1"/>
  <c r="B5439" i="1"/>
  <c r="C5439" i="1"/>
  <c r="A1116" i="1"/>
  <c r="B1116" i="1"/>
  <c r="C1116" i="1"/>
  <c r="A7105" i="1"/>
  <c r="B7105" i="1"/>
  <c r="A754" i="1"/>
  <c r="B754" i="1"/>
  <c r="C754" i="1"/>
  <c r="A4194" i="1"/>
  <c r="B4194" i="1"/>
  <c r="C4194" i="1"/>
  <c r="A11814" i="1"/>
  <c r="B11814" i="1"/>
  <c r="C11814" i="1"/>
  <c r="A1779" i="1"/>
  <c r="B1779" i="1"/>
  <c r="C1779" i="1"/>
  <c r="A9460" i="1"/>
  <c r="B9460" i="1"/>
  <c r="C9460" i="1"/>
  <c r="A1554" i="1"/>
  <c r="B1554" i="1"/>
  <c r="C1554" i="1"/>
  <c r="A2329" i="1"/>
  <c r="B2329" i="1"/>
  <c r="C2329" i="1"/>
  <c r="A6510" i="1"/>
  <c r="B6510" i="1"/>
  <c r="C6510" i="1"/>
  <c r="A9724" i="1"/>
  <c r="B9724" i="1"/>
  <c r="C9724" i="1"/>
  <c r="A7119" i="1"/>
  <c r="B7119" i="1"/>
  <c r="C7119" i="1"/>
  <c r="A2552" i="1"/>
  <c r="B2552" i="1"/>
  <c r="C2552" i="1"/>
  <c r="A12531" i="1"/>
  <c r="B12531" i="1"/>
  <c r="C12531" i="1"/>
  <c r="A460" i="1"/>
  <c r="B460" i="1"/>
  <c r="C460" i="1"/>
  <c r="A10175" i="1"/>
  <c r="B10175" i="1"/>
  <c r="C10175" i="1"/>
  <c r="A8949" i="1"/>
  <c r="B8949" i="1"/>
  <c r="C8949" i="1"/>
  <c r="A3446" i="1"/>
  <c r="B3446" i="1"/>
  <c r="C3446" i="1"/>
  <c r="A3853" i="1"/>
  <c r="B3853" i="1"/>
  <c r="C3853" i="1"/>
  <c r="A449" i="1"/>
  <c r="B449" i="1"/>
  <c r="C449" i="1"/>
  <c r="A8340" i="1"/>
  <c r="B8340" i="1"/>
  <c r="C8340" i="1"/>
  <c r="A12553" i="1"/>
  <c r="B12553" i="1"/>
  <c r="C12553" i="1"/>
  <c r="A634" i="1"/>
  <c r="B634" i="1"/>
  <c r="C634" i="1"/>
  <c r="A11517" i="1"/>
  <c r="B11517" i="1"/>
  <c r="C11517" i="1"/>
  <c r="A3917" i="1"/>
  <c r="B3917" i="1"/>
  <c r="C3917" i="1"/>
  <c r="A2401" i="1"/>
  <c r="B2401" i="1"/>
  <c r="C2401" i="1"/>
  <c r="A6193" i="1"/>
  <c r="B6193" i="1"/>
  <c r="C6193" i="1"/>
  <c r="A13571" i="1"/>
  <c r="B13571" i="1"/>
  <c r="C13571" i="1"/>
  <c r="A2190" i="1"/>
  <c r="B2190" i="1"/>
  <c r="C2190" i="1"/>
  <c r="A997" i="1"/>
  <c r="B997" i="1"/>
  <c r="C997" i="1"/>
  <c r="A1592" i="1"/>
  <c r="B1592" i="1"/>
  <c r="C1592" i="1"/>
  <c r="A10167" i="1"/>
  <c r="B10167" i="1"/>
  <c r="C10167" i="1"/>
  <c r="A12582" i="1"/>
  <c r="B12582" i="1"/>
  <c r="C12582" i="1"/>
  <c r="A685" i="1"/>
  <c r="B685" i="1"/>
  <c r="C685" i="1"/>
  <c r="A44" i="1"/>
  <c r="B44" i="1"/>
  <c r="C44" i="1"/>
  <c r="A45" i="1"/>
  <c r="B45" i="1"/>
  <c r="C45" i="1"/>
  <c r="A46" i="1"/>
  <c r="B46" i="1"/>
  <c r="C46" i="1"/>
  <c r="A47" i="1"/>
  <c r="B47" i="1"/>
  <c r="C47" i="1"/>
  <c r="A10184" i="1"/>
  <c r="B10184" i="1"/>
  <c r="C10184" i="1"/>
  <c r="A11422" i="1"/>
  <c r="B11422" i="1"/>
  <c r="C11422" i="1"/>
  <c r="A4172" i="1"/>
  <c r="B4172" i="1"/>
  <c r="C4172" i="1"/>
  <c r="A10139" i="1"/>
  <c r="B10139" i="1"/>
  <c r="C10139" i="1"/>
  <c r="A12717" i="1"/>
  <c r="B12717" i="1"/>
  <c r="C12717" i="1"/>
  <c r="A9696" i="1"/>
  <c r="B9696" i="1"/>
  <c r="C9696" i="1"/>
  <c r="A8866" i="1"/>
  <c r="B8866" i="1"/>
  <c r="C8866" i="1"/>
  <c r="A12658" i="1"/>
  <c r="B12658" i="1"/>
  <c r="C12658" i="1"/>
  <c r="A10720" i="1"/>
  <c r="B10720" i="1"/>
  <c r="C10720" i="1"/>
  <c r="A12451" i="1"/>
  <c r="B12451" i="1"/>
  <c r="C12451" i="1"/>
  <c r="A12365" i="1"/>
  <c r="B12365" i="1"/>
  <c r="C12365" i="1"/>
  <c r="A11904" i="1"/>
  <c r="B11904" i="1"/>
  <c r="C11904" i="1"/>
  <c r="A7332" i="1"/>
  <c r="B7332" i="1"/>
  <c r="C7332" i="1"/>
  <c r="A5934" i="1"/>
  <c r="B5934" i="1"/>
  <c r="C5934" i="1"/>
  <c r="A7032" i="1"/>
  <c r="B7032" i="1"/>
  <c r="C7032" i="1"/>
  <c r="A6839" i="1"/>
  <c r="B6839" i="1"/>
  <c r="C6839" i="1"/>
  <c r="A9427" i="1"/>
  <c r="B9427" i="1"/>
  <c r="C9427" i="1"/>
  <c r="A752" i="1"/>
  <c r="B752" i="1"/>
  <c r="C752" i="1"/>
  <c r="A2293" i="1"/>
  <c r="B2293" i="1"/>
  <c r="C2293" i="1"/>
  <c r="A3758" i="1"/>
  <c r="B3758" i="1"/>
  <c r="C3758" i="1"/>
  <c r="A9790" i="1"/>
  <c r="B9790" i="1"/>
  <c r="C9790" i="1"/>
  <c r="A8698" i="1"/>
  <c r="B8698" i="1"/>
  <c r="C8698" i="1"/>
  <c r="A4386" i="1"/>
  <c r="B4386" i="1"/>
  <c r="C4386" i="1"/>
  <c r="A609" i="1"/>
  <c r="B609" i="1"/>
  <c r="C609" i="1"/>
  <c r="A2059" i="1"/>
  <c r="B2059" i="1"/>
  <c r="C2059" i="1"/>
  <c r="A11270" i="1"/>
  <c r="B11270" i="1"/>
  <c r="C11270" i="1"/>
  <c r="A7516" i="1"/>
  <c r="B7516" i="1"/>
  <c r="C7516" i="1"/>
  <c r="A12699" i="1"/>
  <c r="B12699" i="1"/>
  <c r="C12699" i="1"/>
  <c r="A7470" i="1"/>
  <c r="B7470" i="1"/>
  <c r="C7470" i="1"/>
  <c r="A13076" i="1"/>
  <c r="B13076" i="1"/>
  <c r="C13076" i="1"/>
  <c r="A3582" i="1"/>
  <c r="B3582" i="1"/>
  <c r="C3582" i="1"/>
  <c r="A5657" i="1"/>
  <c r="B5657" i="1"/>
  <c r="C5657" i="1"/>
  <c r="A9511" i="1"/>
  <c r="B9511" i="1"/>
  <c r="C9511" i="1"/>
  <c r="A11542" i="1"/>
  <c r="B11542" i="1"/>
  <c r="C11542" i="1"/>
  <c r="A826" i="1"/>
  <c r="B826" i="1"/>
  <c r="C826" i="1"/>
  <c r="A12917" i="1"/>
  <c r="B12917" i="1"/>
  <c r="C12917" i="1"/>
  <c r="A2817" i="1"/>
  <c r="B2817" i="1"/>
  <c r="C2817" i="1"/>
  <c r="A3755" i="1"/>
  <c r="B3755" i="1"/>
  <c r="C3755" i="1"/>
  <c r="A1683" i="1"/>
  <c r="B1683" i="1"/>
  <c r="C1683" i="1"/>
  <c r="A4060" i="1"/>
  <c r="B4060" i="1"/>
  <c r="C4060" i="1"/>
  <c r="A2848" i="1"/>
  <c r="B2848" i="1"/>
  <c r="C2848" i="1"/>
  <c r="A2554" i="1"/>
  <c r="B2554" i="1"/>
  <c r="C2554" i="1"/>
  <c r="A12742" i="1"/>
  <c r="B12742" i="1"/>
  <c r="C12742" i="1"/>
  <c r="A5622" i="1"/>
  <c r="B5622" i="1"/>
  <c r="C5622" i="1"/>
  <c r="A10008" i="1"/>
  <c r="B10008" i="1"/>
  <c r="C10008" i="1"/>
  <c r="A2128" i="1"/>
  <c r="B2128" i="1"/>
  <c r="C2128" i="1"/>
  <c r="A9698" i="1"/>
  <c r="B9698" i="1"/>
  <c r="C9698" i="1"/>
  <c r="A7818" i="1"/>
  <c r="B7818" i="1"/>
  <c r="C7818" i="1"/>
  <c r="A10337" i="1"/>
  <c r="B10337" i="1"/>
  <c r="C10337" i="1"/>
  <c r="A5656" i="1"/>
  <c r="B5656" i="1"/>
  <c r="C5656" i="1"/>
  <c r="A1735" i="1"/>
  <c r="B1735" i="1"/>
  <c r="C1735" i="1"/>
  <c r="A2262" i="1"/>
  <c r="B2262" i="1"/>
  <c r="C2262" i="1"/>
  <c r="A12505" i="1"/>
  <c r="B12505" i="1"/>
  <c r="C12505" i="1"/>
  <c r="A12506" i="1"/>
  <c r="B12506" i="1"/>
  <c r="C12506" i="1"/>
  <c r="A11593" i="1"/>
  <c r="B11593" i="1"/>
  <c r="C11593" i="1"/>
  <c r="A7648" i="1"/>
  <c r="B7648" i="1"/>
  <c r="C7648" i="1"/>
  <c r="A10796" i="1"/>
  <c r="B10796" i="1"/>
  <c r="C10796" i="1"/>
  <c r="A6881" i="1"/>
  <c r="B6881" i="1"/>
  <c r="C6881" i="1"/>
  <c r="A11322" i="1"/>
  <c r="B11322" i="1"/>
  <c r="C11322" i="1"/>
  <c r="A8515" i="1"/>
  <c r="B8515" i="1"/>
  <c r="C8515" i="1"/>
  <c r="A9184" i="1"/>
  <c r="B9184" i="1"/>
  <c r="C9184" i="1"/>
  <c r="A7289" i="1"/>
  <c r="B7289" i="1"/>
  <c r="C7289" i="1"/>
  <c r="A7290" i="1"/>
  <c r="B7290" i="1"/>
  <c r="C7290" i="1"/>
  <c r="A7291" i="1"/>
  <c r="B7291" i="1"/>
  <c r="C7291" i="1"/>
  <c r="A7292" i="1"/>
  <c r="B7292" i="1"/>
  <c r="C7292" i="1"/>
  <c r="A4975" i="1"/>
  <c r="B4975" i="1"/>
  <c r="C4975" i="1"/>
  <c r="A11679" i="1"/>
  <c r="B11679" i="1"/>
  <c r="C11679" i="1"/>
  <c r="A1197" i="1"/>
  <c r="B1197" i="1"/>
  <c r="C1197" i="1"/>
  <c r="A9475" i="1"/>
  <c r="B9475" i="1"/>
  <c r="C9475" i="1"/>
  <c r="A7046" i="1"/>
  <c r="B7046" i="1"/>
  <c r="C7046" i="1"/>
  <c r="A3486" i="1"/>
  <c r="B3486" i="1"/>
  <c r="C3486" i="1"/>
  <c r="A11747" i="1"/>
  <c r="B11747" i="1"/>
  <c r="C11747" i="1"/>
  <c r="A12879" i="1"/>
  <c r="B12879" i="1"/>
  <c r="C12879" i="1"/>
  <c r="A2219" i="1"/>
  <c r="B2219" i="1"/>
  <c r="C2219" i="1"/>
  <c r="A2044" i="1"/>
  <c r="B2044" i="1"/>
  <c r="C2044" i="1"/>
  <c r="A5879" i="1"/>
  <c r="B5879" i="1"/>
  <c r="C5879" i="1"/>
  <c r="A3202" i="1"/>
  <c r="B3202" i="1"/>
  <c r="C3202" i="1"/>
  <c r="A10239" i="1"/>
  <c r="B10239" i="1"/>
  <c r="C10239" i="1"/>
  <c r="A11965" i="1"/>
  <c r="B11965" i="1"/>
  <c r="C11965" i="1"/>
  <c r="A4101" i="1"/>
  <c r="B4101" i="1"/>
  <c r="C4101" i="1"/>
  <c r="A13640" i="1"/>
  <c r="B13640" i="1"/>
  <c r="C13640" i="1"/>
  <c r="A4075" i="1"/>
  <c r="B4075" i="1"/>
  <c r="C4075" i="1"/>
  <c r="A10238" i="1"/>
  <c r="B10238" i="1"/>
  <c r="C10238" i="1"/>
  <c r="A2241" i="1"/>
  <c r="B2241" i="1"/>
  <c r="C2241" i="1"/>
  <c r="A11031" i="1"/>
  <c r="B11031" i="1"/>
  <c r="C11031" i="1"/>
  <c r="A309" i="1"/>
  <c r="B309" i="1"/>
  <c r="C309" i="1"/>
  <c r="A12150" i="1"/>
  <c r="B12150" i="1"/>
  <c r="C12150" i="1"/>
  <c r="A7355" i="1"/>
  <c r="B7355" i="1"/>
  <c r="C7355" i="1"/>
  <c r="A7356" i="1"/>
  <c r="B7356" i="1"/>
  <c r="C7356" i="1"/>
  <c r="A12659" i="1"/>
  <c r="B12659" i="1"/>
  <c r="C12659" i="1"/>
  <c r="A3792" i="1"/>
  <c r="B3792" i="1"/>
  <c r="C3792" i="1"/>
  <c r="A6686" i="1"/>
  <c r="B6686" i="1"/>
  <c r="C6686" i="1"/>
  <c r="A11436" i="1"/>
  <c r="B11436" i="1"/>
  <c r="C11436" i="1"/>
  <c r="A5588" i="1"/>
  <c r="B5588" i="1"/>
  <c r="C5588" i="1"/>
  <c r="A3871" i="1"/>
  <c r="B3871" i="1"/>
  <c r="C3871" i="1"/>
  <c r="A1963" i="1"/>
  <c r="B1963" i="1"/>
  <c r="C1963" i="1"/>
  <c r="A11021" i="1"/>
  <c r="B11021" i="1"/>
  <c r="C11021" i="1"/>
  <c r="A5508" i="1"/>
  <c r="B5508" i="1"/>
  <c r="C5508" i="1"/>
  <c r="A4123" i="1"/>
  <c r="B4123" i="1"/>
  <c r="C4123" i="1"/>
  <c r="A4098" i="1"/>
  <c r="B4098" i="1"/>
  <c r="C4098" i="1"/>
  <c r="A374" i="1"/>
  <c r="B374" i="1"/>
  <c r="C374" i="1"/>
  <c r="A3990" i="1"/>
  <c r="B3990" i="1"/>
  <c r="C3990" i="1"/>
  <c r="A12660" i="1"/>
  <c r="B12660" i="1"/>
  <c r="C12660" i="1"/>
  <c r="A8512" i="1"/>
  <c r="B8512" i="1"/>
  <c r="C8512" i="1"/>
  <c r="A5994" i="1"/>
  <c r="B5994" i="1"/>
  <c r="C5994" i="1"/>
  <c r="A5798" i="1"/>
  <c r="B5798" i="1"/>
  <c r="C5798" i="1"/>
  <c r="A2446" i="1"/>
  <c r="B2446" i="1"/>
  <c r="C2446" i="1"/>
  <c r="A4000" i="1"/>
  <c r="B4000" i="1"/>
  <c r="C4000" i="1"/>
  <c r="A11627" i="1"/>
  <c r="B11627" i="1"/>
  <c r="C11627" i="1"/>
  <c r="A7199" i="1"/>
  <c r="B7199" i="1"/>
  <c r="C7199" i="1"/>
  <c r="A12661" i="1"/>
  <c r="B12661" i="1"/>
  <c r="C12661" i="1"/>
  <c r="A6926" i="1"/>
  <c r="B6926" i="1"/>
  <c r="C6926" i="1"/>
  <c r="A370" i="1"/>
  <c r="B370" i="1"/>
  <c r="C370" i="1"/>
  <c r="A11032" i="1"/>
  <c r="B11032" i="1"/>
  <c r="C11032" i="1"/>
  <c r="A11151" i="1"/>
  <c r="B11151" i="1"/>
  <c r="C11151" i="1"/>
  <c r="A11966" i="1"/>
  <c r="B11966" i="1"/>
  <c r="C11966" i="1"/>
  <c r="A7933" i="1"/>
  <c r="B7933" i="1"/>
  <c r="C7933" i="1"/>
  <c r="A8118" i="1"/>
  <c r="B8118" i="1"/>
  <c r="C8118" i="1"/>
  <c r="A1239" i="1"/>
  <c r="B1239" i="1"/>
  <c r="C1239" i="1"/>
  <c r="A4099" i="1"/>
  <c r="B4099" i="1"/>
  <c r="C4099" i="1"/>
  <c r="A2854" i="1"/>
  <c r="B2854" i="1"/>
  <c r="C2854" i="1"/>
  <c r="A7402" i="1"/>
  <c r="B7402" i="1"/>
  <c r="C7402" i="1"/>
  <c r="A2857" i="1"/>
  <c r="B2857" i="1"/>
  <c r="C2857" i="1"/>
  <c r="A5509" i="1"/>
  <c r="B5509" i="1"/>
  <c r="C5509" i="1"/>
  <c r="A2297" i="1"/>
  <c r="B2297" i="1"/>
  <c r="C2297" i="1"/>
  <c r="A8153" i="1"/>
  <c r="B8153" i="1"/>
  <c r="C8153" i="1"/>
  <c r="A11905" i="1"/>
  <c r="B11905" i="1"/>
  <c r="C11905" i="1"/>
  <c r="A3028" i="1"/>
  <c r="B3028" i="1"/>
  <c r="C3028" i="1"/>
  <c r="A12702" i="1"/>
  <c r="B12702" i="1"/>
  <c r="C12702" i="1"/>
  <c r="A5397" i="1"/>
  <c r="B5397" i="1"/>
  <c r="C5397" i="1"/>
  <c r="A5419" i="1"/>
  <c r="B5419" i="1"/>
  <c r="C5419" i="1"/>
  <c r="A13706" i="1"/>
  <c r="B13706" i="1"/>
  <c r="C13706" i="1"/>
  <c r="A7080" i="1"/>
  <c r="B7080" i="1"/>
  <c r="C7080" i="1"/>
  <c r="A602" i="1"/>
  <c r="B602" i="1"/>
  <c r="C602" i="1"/>
  <c r="A1224" i="1"/>
  <c r="B1224" i="1"/>
  <c r="C1224" i="1"/>
  <c r="A4377" i="1"/>
  <c r="B4377" i="1"/>
  <c r="C4377" i="1"/>
  <c r="A933" i="1"/>
  <c r="B933" i="1"/>
  <c r="C933" i="1"/>
  <c r="A11080" i="1"/>
  <c r="B11080" i="1"/>
  <c r="C11080" i="1"/>
  <c r="A1386" i="1"/>
  <c r="B1386" i="1"/>
  <c r="C1386" i="1"/>
  <c r="A12366" i="1"/>
  <c r="B12366" i="1"/>
  <c r="C12366" i="1"/>
  <c r="A6566" i="1"/>
  <c r="B6566" i="1"/>
  <c r="C6566" i="1"/>
  <c r="A10481" i="1"/>
  <c r="B10481" i="1"/>
  <c r="C10481" i="1"/>
  <c r="A10482" i="1"/>
  <c r="B10482" i="1"/>
  <c r="C10482" i="1"/>
  <c r="A9019" i="1"/>
  <c r="B9019" i="1"/>
  <c r="C9019" i="1"/>
  <c r="A3077" i="1"/>
  <c r="B3077" i="1"/>
  <c r="C3077" i="1"/>
  <c r="A1300" i="1"/>
  <c r="B1300" i="1"/>
  <c r="C1300" i="1"/>
  <c r="A10957" i="1"/>
  <c r="B10957" i="1"/>
  <c r="C10957" i="1"/>
  <c r="A9961" i="1"/>
  <c r="B9961" i="1"/>
  <c r="C9961" i="1"/>
  <c r="A3819" i="1"/>
  <c r="B3819" i="1"/>
  <c r="C3819" i="1"/>
  <c r="A3627" i="1"/>
  <c r="B3627" i="1"/>
  <c r="C3627" i="1"/>
  <c r="A6545" i="1"/>
  <c r="B6545" i="1"/>
  <c r="C6545" i="1"/>
  <c r="A10771" i="1"/>
  <c r="B10771" i="1"/>
  <c r="C10771" i="1"/>
  <c r="A10456" i="1"/>
  <c r="B10456" i="1"/>
  <c r="C10456" i="1"/>
  <c r="A2792" i="1"/>
  <c r="B2792" i="1"/>
  <c r="C2792" i="1"/>
  <c r="A7594" i="1"/>
  <c r="B7594" i="1"/>
  <c r="C7594" i="1"/>
  <c r="A5034" i="1"/>
  <c r="B5034" i="1"/>
  <c r="C5034" i="1"/>
  <c r="A6243" i="1"/>
  <c r="B6243" i="1"/>
  <c r="C6243" i="1"/>
  <c r="A4225" i="1"/>
  <c r="B4225" i="1"/>
  <c r="C4225" i="1"/>
  <c r="A9512" i="1"/>
  <c r="B9512" i="1"/>
  <c r="C9512" i="1"/>
  <c r="A11631" i="1"/>
  <c r="B11631" i="1"/>
  <c r="C11631" i="1"/>
  <c r="A10540" i="1"/>
  <c r="B10540" i="1"/>
  <c r="C10540" i="1"/>
  <c r="A13319" i="1"/>
  <c r="B13319" i="1"/>
  <c r="C13319" i="1"/>
  <c r="A2230" i="1"/>
  <c r="B2230" i="1"/>
  <c r="C2230" i="1"/>
  <c r="A5192" i="1"/>
  <c r="B5192" i="1"/>
  <c r="C5192" i="1"/>
  <c r="A8796" i="1"/>
  <c r="B8796" i="1"/>
  <c r="C8796" i="1"/>
  <c r="A5242" i="1"/>
  <c r="B5242" i="1"/>
  <c r="C5242" i="1"/>
  <c r="A2490" i="1"/>
  <c r="B2490" i="1"/>
  <c r="C2490" i="1"/>
  <c r="A6357" i="1"/>
  <c r="B6357" i="1"/>
  <c r="C6357" i="1"/>
  <c r="A7944" i="1"/>
  <c r="B7944" i="1"/>
  <c r="C7944" i="1"/>
  <c r="A2191" i="1"/>
  <c r="B2191" i="1"/>
  <c r="C2191" i="1"/>
  <c r="A2611" i="1"/>
  <c r="B2611" i="1"/>
  <c r="C2611" i="1"/>
  <c r="A10784" i="1"/>
  <c r="B10784" i="1"/>
  <c r="C10784" i="1"/>
  <c r="A12409" i="1"/>
  <c r="B12409" i="1"/>
  <c r="C12409" i="1"/>
  <c r="A892" i="1"/>
  <c r="B892" i="1"/>
  <c r="C892" i="1"/>
  <c r="A9124" i="1"/>
  <c r="B9124" i="1"/>
  <c r="C9124" i="1"/>
  <c r="A3111" i="1"/>
  <c r="B3111" i="1"/>
  <c r="C3111" i="1"/>
  <c r="A12106" i="1"/>
  <c r="B12106" i="1"/>
  <c r="C12106" i="1"/>
  <c r="A8905" i="1"/>
  <c r="B8905" i="1"/>
  <c r="C8905" i="1"/>
  <c r="A6408" i="1"/>
  <c r="B6408" i="1"/>
  <c r="C6408" i="1"/>
  <c r="A5048" i="1"/>
  <c r="B5048" i="1"/>
  <c r="C5048" i="1"/>
  <c r="A5860" i="1"/>
  <c r="B5860" i="1"/>
  <c r="C5860" i="1"/>
  <c r="A3843" i="1"/>
  <c r="B3843" i="1"/>
  <c r="C3843" i="1"/>
  <c r="A9236" i="1"/>
  <c r="B9236" i="1"/>
  <c r="C9236" i="1"/>
  <c r="A13917" i="1"/>
  <c r="B13917" i="1"/>
  <c r="C13917" i="1"/>
  <c r="A10416" i="1"/>
  <c r="B10416" i="1"/>
  <c r="C10416" i="1"/>
  <c r="A12746" i="1"/>
  <c r="B12746" i="1"/>
  <c r="C12746" i="1"/>
  <c r="A2805" i="1"/>
  <c r="B2805" i="1"/>
  <c r="C2805" i="1"/>
  <c r="A79" i="1"/>
  <c r="B79" i="1"/>
  <c r="C79" i="1"/>
  <c r="A11532" i="1"/>
  <c r="B11532" i="1"/>
  <c r="C11532" i="1"/>
  <c r="A4755" i="1"/>
  <c r="B4755" i="1"/>
  <c r="C4755" i="1"/>
  <c r="A12934" i="1"/>
  <c r="B12934" i="1"/>
  <c r="C12934" i="1"/>
  <c r="A6080" i="1"/>
  <c r="B6080" i="1"/>
  <c r="C6080" i="1"/>
  <c r="A13322" i="1"/>
  <c r="B13322" i="1"/>
  <c r="C13322" i="1"/>
  <c r="A6882" i="1"/>
  <c r="B6882" i="1"/>
  <c r="C6882" i="1"/>
  <c r="A10999" i="1"/>
  <c r="B10999" i="1"/>
  <c r="C10999" i="1"/>
  <c r="A10420" i="1"/>
  <c r="B10420" i="1"/>
  <c r="C10420" i="1"/>
  <c r="A16" i="1"/>
  <c r="B16" i="1"/>
  <c r="C16" i="1"/>
  <c r="A4282" i="1"/>
  <c r="B4282" i="1"/>
  <c r="C4282" i="1"/>
  <c r="A9408" i="1"/>
  <c r="B9408" i="1"/>
  <c r="C9408" i="1"/>
  <c r="A1470" i="1"/>
  <c r="B1470" i="1"/>
  <c r="C1470" i="1"/>
  <c r="A12880" i="1"/>
  <c r="B12880" i="1"/>
  <c r="C12880" i="1"/>
  <c r="A8162" i="1"/>
  <c r="B8162" i="1"/>
  <c r="C8162" i="1"/>
  <c r="A342" i="1"/>
  <c r="B342" i="1"/>
  <c r="C342" i="1"/>
  <c r="A2895" i="1"/>
  <c r="B2895" i="1"/>
  <c r="C2895" i="1"/>
  <c r="A11817" i="1"/>
  <c r="B11817" i="1"/>
  <c r="C11817" i="1"/>
  <c r="A11412" i="1"/>
  <c r="B11412" i="1"/>
  <c r="C11412" i="1"/>
  <c r="A40" i="1"/>
  <c r="B40" i="1"/>
  <c r="C40" i="1"/>
  <c r="A12881" i="1"/>
  <c r="B12881" i="1"/>
  <c r="C12881" i="1"/>
  <c r="A9429" i="1"/>
  <c r="B9429" i="1"/>
  <c r="C9429" i="1"/>
  <c r="A5913" i="1"/>
  <c r="B5913" i="1"/>
  <c r="C5913" i="1"/>
  <c r="A11812" i="1"/>
  <c r="B11812" i="1"/>
  <c r="C11812" i="1"/>
  <c r="A2862" i="1"/>
  <c r="B2862" i="1"/>
  <c r="C2862" i="1"/>
  <c r="A7988" i="1"/>
  <c r="B7988" i="1"/>
  <c r="C7988" i="1"/>
  <c r="A4479" i="1"/>
  <c r="B4479" i="1"/>
  <c r="C4479" i="1"/>
  <c r="A11171" i="1"/>
  <c r="B11171" i="1"/>
  <c r="C11171" i="1"/>
  <c r="A13525" i="1"/>
  <c r="B13525" i="1"/>
  <c r="C13525" i="1"/>
  <c r="A3155" i="1"/>
  <c r="B3155" i="1"/>
  <c r="C3155" i="1"/>
  <c r="A11473" i="1"/>
  <c r="B11473" i="1"/>
  <c r="C11473" i="1"/>
  <c r="A8015" i="1"/>
  <c r="B8015" i="1"/>
  <c r="C8015" i="1"/>
  <c r="A841" i="1"/>
  <c r="B841" i="1"/>
  <c r="C841" i="1"/>
  <c r="A6436" i="1"/>
  <c r="B6436" i="1"/>
  <c r="C6436" i="1"/>
  <c r="A9956" i="1"/>
  <c r="B9956" i="1"/>
  <c r="C9956" i="1"/>
  <c r="A12519" i="1"/>
  <c r="B12519" i="1"/>
  <c r="C12519" i="1"/>
  <c r="A6036" i="1"/>
  <c r="B6036" i="1"/>
  <c r="C6036" i="1"/>
  <c r="A11735" i="1"/>
  <c r="B11735" i="1"/>
  <c r="C11735" i="1"/>
  <c r="A1598" i="1"/>
  <c r="B1598" i="1"/>
  <c r="C1598" i="1"/>
  <c r="A9503" i="1"/>
  <c r="B9503" i="1"/>
  <c r="C9503" i="1"/>
  <c r="A13517" i="1"/>
  <c r="B13517" i="1"/>
  <c r="C13517" i="1"/>
  <c r="A13058" i="1"/>
  <c r="B13058" i="1"/>
  <c r="C13058" i="1"/>
  <c r="A13208" i="1"/>
  <c r="B13208" i="1"/>
  <c r="C13208" i="1"/>
  <c r="A13206" i="1"/>
  <c r="B13206" i="1"/>
  <c r="C13206" i="1"/>
  <c r="A4954" i="1"/>
  <c r="B4954" i="1"/>
  <c r="C4954" i="1"/>
  <c r="A9847" i="1"/>
  <c r="B9847" i="1"/>
  <c r="C9847" i="1"/>
  <c r="A10290" i="1"/>
  <c r="B10290" i="1"/>
  <c r="C10290" i="1"/>
  <c r="A9038" i="1"/>
  <c r="B9038" i="1"/>
  <c r="C9038" i="1"/>
  <c r="A12231" i="1"/>
  <c r="B12231" i="1"/>
  <c r="C12231" i="1"/>
  <c r="A4144" i="1"/>
  <c r="B4144" i="1"/>
  <c r="C4144" i="1"/>
  <c r="A8051" i="1"/>
  <c r="B8051" i="1"/>
  <c r="C8051" i="1"/>
  <c r="A10958" i="1"/>
  <c r="B10958" i="1"/>
  <c r="C10958" i="1"/>
  <c r="A4015" i="1"/>
  <c r="B4015" i="1"/>
  <c r="C4015" i="1"/>
  <c r="A7945" i="1"/>
  <c r="B7945" i="1"/>
  <c r="C7945" i="1"/>
  <c r="A7845" i="1"/>
  <c r="B7845" i="1"/>
  <c r="C7845" i="1"/>
  <c r="A9918" i="1"/>
  <c r="B9918" i="1"/>
  <c r="C9918" i="1"/>
  <c r="A6905" i="1"/>
  <c r="B6905" i="1"/>
  <c r="C6905" i="1"/>
  <c r="A10856" i="1"/>
  <c r="B10856" i="1"/>
  <c r="C10856" i="1"/>
  <c r="A11474" i="1"/>
  <c r="B11474" i="1"/>
  <c r="C11474" i="1"/>
  <c r="A8413" i="1"/>
  <c r="B8413" i="1"/>
  <c r="C8413" i="1"/>
  <c r="A2236" i="1"/>
  <c r="B2236" i="1"/>
  <c r="C2236" i="1"/>
  <c r="A2538" i="1"/>
  <c r="B2538" i="1"/>
  <c r="C2538" i="1"/>
  <c r="A9691" i="1"/>
  <c r="B9691" i="1"/>
  <c r="C9691" i="1"/>
  <c r="A12964" i="1"/>
  <c r="B12964" i="1"/>
  <c r="C12964" i="1"/>
  <c r="A414" i="1"/>
  <c r="B414" i="1"/>
  <c r="C414" i="1"/>
  <c r="A13920" i="1"/>
  <c r="B13920" i="1"/>
  <c r="C13920" i="1"/>
  <c r="A11470" i="1"/>
  <c r="B11470" i="1"/>
  <c r="C11470" i="1"/>
  <c r="A5198" i="1"/>
  <c r="B5198" i="1"/>
  <c r="C5198" i="1"/>
  <c r="A7120" i="1"/>
  <c r="B7120" i="1"/>
  <c r="C7120" i="1"/>
  <c r="A3356" i="1"/>
  <c r="B3356" i="1"/>
  <c r="C3356" i="1"/>
  <c r="A11701" i="1"/>
  <c r="B11701" i="1"/>
  <c r="C11701" i="1"/>
  <c r="A2034" i="1"/>
  <c r="B2034" i="1"/>
  <c r="C2034" i="1"/>
  <c r="A4261" i="1"/>
  <c r="B4261" i="1"/>
  <c r="C4261" i="1"/>
  <c r="A4375" i="1"/>
  <c r="B4375" i="1"/>
  <c r="C4375" i="1"/>
  <c r="A35" i="1"/>
  <c r="B35" i="1"/>
  <c r="C35" i="1"/>
  <c r="A7293" i="1"/>
  <c r="B7293" i="1"/>
  <c r="C7293" i="1"/>
  <c r="A68" i="1"/>
  <c r="B68" i="1"/>
  <c r="C68" i="1"/>
  <c r="A9020" i="1"/>
  <c r="B9020" i="1"/>
  <c r="C9020" i="1"/>
  <c r="A10217" i="1"/>
  <c r="B10217" i="1"/>
  <c r="C10217" i="1"/>
  <c r="A10218" i="1"/>
  <c r="B10218" i="1"/>
  <c r="C10218" i="1"/>
  <c r="A10219" i="1"/>
  <c r="B10219" i="1"/>
  <c r="C10219" i="1"/>
  <c r="A9476" i="1"/>
  <c r="B9476" i="1"/>
  <c r="C9476" i="1"/>
  <c r="A12276" i="1"/>
  <c r="B12276" i="1"/>
  <c r="C12276" i="1"/>
  <c r="A9901" i="1"/>
  <c r="B9901" i="1"/>
  <c r="C9901" i="1"/>
  <c r="A1057" i="1"/>
  <c r="B1057" i="1"/>
  <c r="C1057" i="1"/>
  <c r="A10338" i="1"/>
  <c r="B10338" i="1"/>
  <c r="C10338" i="1"/>
  <c r="A7278" i="1"/>
  <c r="B7278" i="1"/>
  <c r="C7278" i="1"/>
  <c r="A5562" i="1"/>
  <c r="B5562" i="1"/>
  <c r="C5562" i="1"/>
  <c r="A1802" i="1"/>
  <c r="B1802" i="1"/>
  <c r="C1802" i="1"/>
  <c r="A11325" i="1"/>
  <c r="B11325" i="1"/>
  <c r="C11325" i="1"/>
  <c r="A8900" i="1"/>
  <c r="B8900" i="1"/>
  <c r="C8900" i="1"/>
  <c r="A13752" i="1"/>
  <c r="B13752" i="1"/>
  <c r="C13752" i="1"/>
  <c r="A3069" i="1"/>
  <c r="B3069" i="1"/>
  <c r="C3069" i="1"/>
  <c r="A3070" i="1"/>
  <c r="B3070" i="1"/>
  <c r="C3070" i="1"/>
  <c r="A3071" i="1"/>
  <c r="B3071" i="1"/>
  <c r="C3071" i="1"/>
  <c r="A3072" i="1"/>
  <c r="B3072" i="1"/>
  <c r="C3072" i="1"/>
  <c r="A3073" i="1"/>
  <c r="B3073" i="1"/>
  <c r="C3073" i="1"/>
  <c r="A3074" i="1"/>
  <c r="B3074" i="1"/>
  <c r="C3074" i="1"/>
  <c r="A3075" i="1"/>
  <c r="B3075" i="1"/>
  <c r="C3075" i="1"/>
  <c r="A9819" i="1"/>
  <c r="B9819" i="1"/>
  <c r="C9819" i="1"/>
  <c r="A4880" i="1"/>
  <c r="B4880" i="1"/>
  <c r="C4880" i="1"/>
  <c r="A1652" i="1"/>
  <c r="B1652" i="1"/>
  <c r="C1652" i="1"/>
  <c r="A10161" i="1"/>
  <c r="B10161" i="1"/>
  <c r="C10161" i="1"/>
  <c r="A2888" i="1"/>
  <c r="B2888" i="1"/>
  <c r="C2888" i="1"/>
  <c r="A1282" i="1"/>
  <c r="B1282" i="1"/>
  <c r="C1282" i="1"/>
  <c r="A4109" i="1"/>
  <c r="B4109" i="1"/>
  <c r="C4109" i="1"/>
  <c r="A9409" i="1"/>
  <c r="B9409" i="1"/>
  <c r="C9409" i="1"/>
  <c r="A1679" i="1"/>
  <c r="B1679" i="1"/>
  <c r="C1679" i="1"/>
  <c r="A7614" i="1"/>
  <c r="B7614" i="1"/>
  <c r="C7614" i="1"/>
  <c r="A2326" i="1"/>
  <c r="B2326" i="1"/>
  <c r="C2326" i="1"/>
  <c r="A3883" i="1"/>
  <c r="B3883" i="1"/>
  <c r="C3883" i="1"/>
  <c r="A6896" i="1"/>
  <c r="B6896" i="1"/>
  <c r="C6896" i="1"/>
  <c r="A12306" i="1"/>
  <c r="B12306" i="1"/>
  <c r="C12306" i="1"/>
  <c r="A6519" i="1"/>
  <c r="B6519" i="1"/>
  <c r="C6519" i="1"/>
  <c r="A6109" i="1"/>
  <c r="B6109" i="1"/>
  <c r="C6109" i="1"/>
  <c r="A10834" i="1"/>
  <c r="B10834" i="1"/>
  <c r="C10834" i="1"/>
  <c r="A9991" i="1"/>
  <c r="B9991" i="1"/>
  <c r="C9991" i="1"/>
  <c r="A7637" i="1"/>
  <c r="B7637" i="1"/>
  <c r="C7637" i="1"/>
  <c r="A3647" i="1"/>
  <c r="B3647" i="1"/>
  <c r="C3647" i="1"/>
  <c r="A1583" i="1"/>
  <c r="B1583" i="1"/>
  <c r="C1583" i="1"/>
  <c r="A3203" i="1"/>
  <c r="B3203" i="1"/>
  <c r="C3203" i="1"/>
  <c r="A9757" i="1"/>
  <c r="B9757" i="1"/>
  <c r="C9757" i="1"/>
  <c r="A9306" i="1"/>
  <c r="B9306" i="1"/>
  <c r="C9306" i="1"/>
  <c r="A433" i="1"/>
  <c r="B433" i="1"/>
  <c r="C433" i="1"/>
  <c r="A5106" i="1"/>
  <c r="B5106" i="1"/>
  <c r="C5106" i="1"/>
  <c r="A1866" i="1"/>
  <c r="B1866" i="1"/>
  <c r="C1866" i="1"/>
  <c r="A8799" i="1"/>
  <c r="B8799" i="1"/>
  <c r="C8799" i="1"/>
  <c r="A8225" i="1"/>
  <c r="B8225" i="1"/>
  <c r="C8225" i="1"/>
  <c r="A2638" i="1"/>
  <c r="B2638" i="1"/>
  <c r="C2638" i="1"/>
  <c r="A6432" i="1"/>
  <c r="B6432" i="1"/>
  <c r="C6432" i="1"/>
  <c r="A5758" i="1"/>
  <c r="B5758" i="1"/>
  <c r="C5758" i="1"/>
  <c r="A13728" i="1"/>
  <c r="B13728" i="1"/>
  <c r="C13728" i="1"/>
  <c r="A1995" i="1"/>
  <c r="B1995" i="1"/>
  <c r="C1995" i="1"/>
  <c r="A3122" i="1"/>
  <c r="B3122" i="1"/>
  <c r="C3122" i="1"/>
  <c r="A6309" i="1"/>
  <c r="B6309" i="1"/>
  <c r="C6309" i="1"/>
  <c r="A6600" i="1"/>
  <c r="B6600" i="1"/>
  <c r="C6600" i="1"/>
  <c r="A5699" i="1"/>
  <c r="B5699" i="1"/>
  <c r="C5699" i="1"/>
  <c r="A3379" i="1"/>
  <c r="B3379" i="1"/>
  <c r="C3379" i="1"/>
  <c r="A9451" i="1"/>
  <c r="B9451" i="1"/>
  <c r="C9451" i="1"/>
  <c r="A9452" i="1"/>
  <c r="B9452" i="1"/>
  <c r="C9452" i="1"/>
  <c r="A10041" i="1"/>
  <c r="B10041" i="1"/>
  <c r="C10041" i="1"/>
  <c r="A6822" i="1"/>
  <c r="B6822" i="1"/>
  <c r="C6822" i="1"/>
  <c r="A4487" i="1"/>
  <c r="B4487" i="1"/>
  <c r="C4487" i="1"/>
  <c r="A11967" i="1"/>
  <c r="B11967" i="1"/>
  <c r="C11967" i="1"/>
  <c r="A12931" i="1"/>
  <c r="B12931" i="1"/>
  <c r="C12931" i="1"/>
  <c r="A1637" i="1"/>
  <c r="B1637" i="1"/>
  <c r="C1637" i="1"/>
  <c r="A4974" i="1"/>
  <c r="B4974" i="1"/>
  <c r="C4974" i="1"/>
  <c r="A6316" i="1"/>
  <c r="B6316" i="1"/>
  <c r="C6316" i="1"/>
  <c r="A13129" i="1"/>
  <c r="B13129" i="1"/>
  <c r="C13129" i="1"/>
  <c r="A7434" i="1"/>
  <c r="B7434" i="1"/>
  <c r="C7434" i="1"/>
  <c r="A11853" i="1"/>
  <c r="B11853" i="1"/>
  <c r="C11853" i="1"/>
  <c r="A12748" i="1"/>
  <c r="B12748" i="1"/>
  <c r="C12748" i="1"/>
  <c r="A6317" i="1"/>
  <c r="B6317" i="1"/>
  <c r="C6317" i="1"/>
  <c r="A6063" i="1"/>
  <c r="B6063" i="1"/>
  <c r="C6063" i="1"/>
  <c r="A2849" i="1"/>
  <c r="B2849" i="1"/>
  <c r="C2849" i="1"/>
  <c r="A3274" i="1"/>
  <c r="B3274" i="1"/>
  <c r="C3274" i="1"/>
  <c r="A11549" i="1"/>
  <c r="B11549" i="1"/>
  <c r="C11549" i="1"/>
  <c r="A11968" i="1"/>
  <c r="B11968" i="1"/>
  <c r="C11968" i="1"/>
  <c r="A339" i="1"/>
  <c r="B339" i="1"/>
  <c r="C339" i="1"/>
  <c r="A8846" i="1"/>
  <c r="B8846" i="1"/>
  <c r="C8846" i="1"/>
  <c r="A9117" i="1"/>
  <c r="B9117" i="1"/>
  <c r="C9117" i="1"/>
  <c r="A13604" i="1"/>
  <c r="B13604" i="1"/>
  <c r="C13604" i="1"/>
  <c r="A9426" i="1"/>
  <c r="B9426" i="1"/>
  <c r="C9426" i="1"/>
  <c r="A4232" i="1"/>
  <c r="B4232" i="1"/>
  <c r="C4232" i="1"/>
  <c r="A3031" i="1"/>
  <c r="B3031" i="1"/>
  <c r="C3031" i="1"/>
  <c r="A12172" i="1"/>
  <c r="B12172" i="1"/>
  <c r="C12172" i="1"/>
  <c r="A10839" i="1"/>
  <c r="B10839" i="1"/>
  <c r="C10839" i="1"/>
  <c r="A10274" i="1"/>
  <c r="B10274" i="1"/>
  <c r="C10274" i="1"/>
  <c r="A11291" i="1"/>
  <c r="B11291" i="1"/>
  <c r="C11291" i="1"/>
  <c r="A5323" i="1"/>
  <c r="B5323" i="1"/>
  <c r="C5323" i="1"/>
  <c r="A2574" i="1"/>
  <c r="B2574" i="1"/>
  <c r="C2574" i="1"/>
  <c r="A2391" i="1"/>
  <c r="B2391" i="1"/>
  <c r="C2391" i="1"/>
  <c r="A2745" i="1"/>
  <c r="B2745" i="1"/>
  <c r="C2745" i="1"/>
  <c r="A9393" i="1"/>
  <c r="B9393" i="1"/>
  <c r="C9393" i="1"/>
  <c r="A4601" i="1"/>
  <c r="B4601" i="1"/>
  <c r="C4601" i="1"/>
  <c r="A5324" i="1"/>
  <c r="B5324" i="1"/>
  <c r="C5324" i="1"/>
  <c r="A10837" i="1"/>
  <c r="B10837" i="1"/>
  <c r="C10837" i="1"/>
  <c r="A11221" i="1"/>
  <c r="B11221" i="1"/>
  <c r="C11221" i="1"/>
  <c r="A7091" i="1"/>
  <c r="B7091" i="1"/>
  <c r="C7091" i="1"/>
  <c r="A11846" i="1"/>
  <c r="B11846" i="1"/>
  <c r="C11846" i="1"/>
  <c r="A8965" i="1"/>
  <c r="B8965" i="1"/>
  <c r="C8965" i="1"/>
  <c r="A10255" i="1"/>
  <c r="B10255" i="1"/>
  <c r="C10255" i="1"/>
  <c r="A4307" i="1"/>
  <c r="B4307" i="1"/>
  <c r="C4307" i="1"/>
  <c r="A12206" i="1"/>
  <c r="B12206" i="1"/>
  <c r="C12206" i="1"/>
  <c r="A12845" i="1"/>
  <c r="B12845" i="1"/>
  <c r="C12845" i="1"/>
  <c r="A4393" i="1"/>
  <c r="B4393" i="1"/>
  <c r="C4393" i="1"/>
  <c r="A8363" i="1"/>
  <c r="B8363" i="1"/>
  <c r="C8363" i="1"/>
  <c r="A4672" i="1"/>
  <c r="B4672" i="1"/>
  <c r="C4672" i="1"/>
  <c r="A13015" i="1"/>
  <c r="B13015" i="1"/>
  <c r="C13015" i="1"/>
  <c r="A488" i="1"/>
  <c r="B488" i="1"/>
  <c r="C488" i="1"/>
  <c r="A13887" i="1"/>
  <c r="B13887" i="1"/>
  <c r="C13887" i="1"/>
  <c r="A1986" i="1"/>
  <c r="B1986" i="1"/>
  <c r="C1986" i="1"/>
  <c r="A12980" i="1"/>
  <c r="B12980" i="1"/>
  <c r="C12980" i="1"/>
  <c r="A5274" i="1"/>
  <c r="B5274" i="1"/>
  <c r="C5274" i="1"/>
  <c r="A12286" i="1"/>
  <c r="B12286" i="1"/>
  <c r="C12286" i="1"/>
  <c r="A4145" i="1"/>
  <c r="B4145" i="1"/>
  <c r="C4145" i="1"/>
  <c r="A9693" i="1"/>
  <c r="B9693" i="1"/>
  <c r="C9693" i="1"/>
  <c r="A1427" i="1"/>
  <c r="B1427" i="1"/>
  <c r="C1427" i="1"/>
  <c r="A428" i="1"/>
  <c r="B428" i="1"/>
  <c r="C428" i="1"/>
  <c r="A2534" i="1"/>
  <c r="B2534" i="1"/>
  <c r="C2534" i="1"/>
  <c r="A4805" i="1"/>
  <c r="B4805" i="1"/>
  <c r="C4805" i="1"/>
  <c r="A7359" i="1"/>
  <c r="B7359" i="1"/>
  <c r="C7359" i="1"/>
  <c r="A6517" i="1"/>
  <c r="B6517" i="1"/>
  <c r="C6517" i="1"/>
  <c r="A4647" i="1"/>
  <c r="B4647" i="1"/>
  <c r="C4647" i="1"/>
  <c r="A4643" i="1"/>
  <c r="B4643" i="1"/>
  <c r="C4643" i="1"/>
  <c r="A7808" i="1"/>
  <c r="B7808" i="1"/>
  <c r="C7808" i="1"/>
  <c r="A7835" i="1"/>
  <c r="B7835" i="1"/>
  <c r="C7835" i="1"/>
  <c r="A8256" i="1"/>
  <c r="B8256" i="1"/>
  <c r="C8256" i="1"/>
  <c r="A11838" i="1"/>
  <c r="B11838" i="1"/>
  <c r="C11838" i="1"/>
  <c r="A5411" i="1"/>
  <c r="B5411" i="1"/>
  <c r="C5411" i="1"/>
  <c r="A7923" i="1"/>
  <c r="B7923" i="1"/>
  <c r="C7923" i="1"/>
  <c r="A3269" i="1"/>
  <c r="B3269" i="1"/>
  <c r="C3269" i="1"/>
  <c r="A2910" i="1"/>
  <c r="B2910" i="1"/>
  <c r="C2910" i="1"/>
  <c r="A4167" i="1"/>
  <c r="B4167" i="1"/>
  <c r="C4167" i="1"/>
  <c r="A2715" i="1"/>
  <c r="B2715" i="1"/>
  <c r="C2715" i="1"/>
  <c r="A8094" i="1"/>
  <c r="B8094" i="1"/>
  <c r="C8094" i="1"/>
  <c r="A9860" i="1"/>
  <c r="B9860" i="1"/>
  <c r="C9860" i="1"/>
  <c r="A8054" i="1"/>
  <c r="B8054" i="1"/>
  <c r="C8054" i="1"/>
  <c r="A9575" i="1"/>
  <c r="B9575" i="1"/>
  <c r="C9575" i="1"/>
  <c r="A3944" i="1"/>
  <c r="B3944" i="1"/>
  <c r="C3944" i="1"/>
  <c r="A12370" i="1"/>
  <c r="B12370" i="1"/>
  <c r="C12370" i="1"/>
  <c r="A11010" i="1"/>
  <c r="B11010" i="1"/>
  <c r="C11010" i="1"/>
  <c r="A7051" i="1"/>
  <c r="B7051" i="1"/>
  <c r="C7051" i="1"/>
  <c r="A11655" i="1"/>
  <c r="B11655" i="1"/>
  <c r="C11655" i="1"/>
  <c r="A1222" i="1"/>
  <c r="B1222" i="1"/>
  <c r="C1222" i="1"/>
  <c r="A8049" i="1"/>
  <c r="B8049" i="1"/>
  <c r="C8049" i="1"/>
  <c r="A4162" i="1"/>
  <c r="B4162" i="1"/>
  <c r="C4162" i="1"/>
  <c r="A12452" i="1"/>
  <c r="B12452" i="1"/>
  <c r="C12452" i="1"/>
  <c r="A11081" i="1"/>
  <c r="B11081" i="1"/>
  <c r="C11081" i="1"/>
  <c r="A1950" i="1"/>
  <c r="B1950" i="1"/>
  <c r="C1950" i="1"/>
  <c r="A5331" i="1"/>
  <c r="B5331" i="1"/>
  <c r="C5331" i="1"/>
  <c r="A9461" i="1"/>
  <c r="B9461" i="1"/>
  <c r="C9461" i="1"/>
  <c r="A6883" i="1"/>
  <c r="B6883" i="1"/>
  <c r="C6883" i="1"/>
  <c r="A3204" i="1"/>
  <c r="B3204" i="1"/>
  <c r="C3204" i="1"/>
  <c r="A9477" i="1"/>
  <c r="B9477" i="1"/>
  <c r="C9477" i="1"/>
  <c r="A12882" i="1"/>
  <c r="B12882" i="1"/>
  <c r="C12882" i="1"/>
  <c r="A9462" i="1"/>
  <c r="B9462" i="1"/>
  <c r="C9462" i="1"/>
  <c r="A825" i="1"/>
  <c r="B825" i="1"/>
  <c r="C825" i="1"/>
  <c r="A6719" i="1"/>
  <c r="B6719" i="1"/>
  <c r="C6719" i="1"/>
  <c r="A4016" i="1"/>
  <c r="B4016" i="1"/>
  <c r="C4016" i="1"/>
  <c r="A5338" i="1"/>
  <c r="B5338" i="1"/>
  <c r="C5338" i="1"/>
  <c r="A6951" i="1"/>
  <c r="B6951" i="1"/>
  <c r="C6951" i="1"/>
  <c r="A9949" i="1"/>
  <c r="B9949" i="1"/>
  <c r="C9949" i="1"/>
  <c r="A6310" i="1"/>
  <c r="B6310" i="1"/>
  <c r="C6310" i="1"/>
  <c r="A11969" i="1"/>
  <c r="B11969" i="1"/>
  <c r="C11969" i="1"/>
  <c r="A97" i="1"/>
  <c r="B97" i="1"/>
  <c r="C97" i="1"/>
  <c r="A8403" i="1"/>
  <c r="B8403" i="1"/>
  <c r="C8403" i="1"/>
  <c r="A3884" i="1"/>
  <c r="B3884" i="1"/>
  <c r="C3884" i="1"/>
  <c r="A74" i="1"/>
  <c r="B74" i="1"/>
  <c r="C74" i="1"/>
  <c r="A77" i="1"/>
  <c r="B77" i="1"/>
  <c r="C77" i="1"/>
  <c r="A5189" i="1"/>
  <c r="B5189" i="1"/>
  <c r="C5189" i="1"/>
  <c r="A7621" i="1"/>
  <c r="B7621" i="1"/>
  <c r="C7621" i="1"/>
  <c r="A5484" i="1"/>
  <c r="B5484" i="1"/>
  <c r="C5484" i="1"/>
  <c r="A5773" i="1"/>
  <c r="B5773" i="1"/>
  <c r="C5773" i="1"/>
  <c r="A5783" i="1"/>
  <c r="B5783" i="1"/>
  <c r="C5783" i="1"/>
  <c r="A6285" i="1"/>
  <c r="B6285" i="1"/>
  <c r="C6285" i="1"/>
  <c r="A7065" i="1"/>
  <c r="B7065" i="1"/>
  <c r="C7065" i="1"/>
  <c r="A4923" i="1"/>
  <c r="B4923" i="1"/>
  <c r="C4923" i="1"/>
  <c r="A13595" i="1"/>
  <c r="B13595" i="1"/>
  <c r="C13595" i="1"/>
  <c r="A13596" i="1"/>
  <c r="B13596" i="1"/>
  <c r="C13596" i="1"/>
  <c r="A9132" i="1"/>
  <c r="B9132" i="1"/>
  <c r="C9132" i="1"/>
  <c r="A3480" i="1"/>
  <c r="B3480" i="1"/>
  <c r="C3480" i="1"/>
  <c r="A8850" i="1"/>
  <c r="B8850" i="1"/>
  <c r="C8850" i="1"/>
  <c r="A2675" i="1"/>
  <c r="B2675" i="1"/>
  <c r="C2675" i="1"/>
  <c r="A10727" i="1"/>
  <c r="B10727" i="1"/>
  <c r="C10727" i="1"/>
  <c r="A10728" i="1"/>
  <c r="B10728" i="1"/>
  <c r="C10728" i="1"/>
  <c r="A6169" i="1"/>
  <c r="B6169" i="1"/>
  <c r="C6169" i="1"/>
  <c r="A13059" i="1"/>
  <c r="B13059" i="1"/>
  <c r="C13059" i="1"/>
  <c r="A2407" i="1"/>
  <c r="B2407" i="1"/>
  <c r="C2407" i="1"/>
  <c r="A1923" i="1"/>
  <c r="B1923" i="1"/>
  <c r="C1923" i="1"/>
  <c r="A2232" i="1"/>
  <c r="B2232" i="1"/>
  <c r="C2232" i="1"/>
  <c r="A2179" i="1"/>
  <c r="B2179" i="1"/>
  <c r="C2179" i="1"/>
  <c r="A986" i="1"/>
  <c r="B986" i="1"/>
  <c r="C986" i="1"/>
  <c r="A2180" i="1"/>
  <c r="B2180" i="1"/>
  <c r="C2180" i="1"/>
  <c r="A2512" i="1"/>
  <c r="B2512" i="1"/>
  <c r="C2512" i="1"/>
  <c r="A12340" i="1"/>
  <c r="B12340" i="1"/>
  <c r="C12340" i="1"/>
  <c r="A13890" i="1"/>
  <c r="B13890" i="1"/>
  <c r="C13890" i="1"/>
  <c r="A8315" i="1"/>
  <c r="B8315" i="1"/>
  <c r="C8315" i="1"/>
  <c r="A9432" i="1"/>
  <c r="B9432" i="1"/>
  <c r="C9432" i="1"/>
  <c r="A4300" i="1"/>
  <c r="B4300" i="1"/>
  <c r="C4300" i="1"/>
  <c r="A5914" i="1"/>
  <c r="B5914" i="1"/>
  <c r="C5914" i="1"/>
  <c r="A1981" i="1"/>
  <c r="B1981" i="1"/>
  <c r="C1981" i="1"/>
  <c r="A7622" i="1"/>
  <c r="B7622" i="1"/>
  <c r="C7622" i="1"/>
  <c r="A12992" i="1"/>
  <c r="B12992" i="1"/>
  <c r="C12992" i="1"/>
  <c r="A9441" i="1"/>
  <c r="B9441" i="1"/>
  <c r="C9441" i="1"/>
  <c r="A1842" i="1"/>
  <c r="B1842" i="1"/>
  <c r="C1842" i="1"/>
  <c r="A10797" i="1"/>
  <c r="B10797" i="1"/>
  <c r="C10797" i="1"/>
  <c r="A12217" i="1"/>
  <c r="B12217" i="1"/>
  <c r="C12217" i="1"/>
  <c r="A9463" i="1"/>
  <c r="B9463" i="1"/>
  <c r="C9463" i="1"/>
  <c r="A8648" i="1"/>
  <c r="B8648" i="1"/>
  <c r="C8648" i="1"/>
  <c r="A9464" i="1"/>
  <c r="B9464" i="1"/>
  <c r="C9464" i="1"/>
  <c r="A1584" i="1"/>
  <c r="B1584" i="1"/>
  <c r="C1584" i="1"/>
  <c r="A3344" i="1"/>
  <c r="B3344" i="1"/>
  <c r="C3344" i="1"/>
  <c r="A7859" i="1"/>
  <c r="B7859" i="1"/>
  <c r="C7859" i="1"/>
  <c r="A6280" i="1"/>
  <c r="B6280" i="1"/>
  <c r="C6280" i="1"/>
  <c r="A3118" i="1"/>
  <c r="B3118" i="1"/>
  <c r="C3118" i="1"/>
  <c r="A2379" i="1"/>
  <c r="B2379" i="1"/>
  <c r="C2379" i="1"/>
  <c r="A4262" i="1"/>
  <c r="B4262" i="1"/>
  <c r="C4262" i="1"/>
  <c r="A8149" i="1"/>
  <c r="B8149" i="1"/>
  <c r="C8149" i="1"/>
  <c r="A101" i="1"/>
  <c r="B101" i="1"/>
  <c r="C101" i="1"/>
  <c r="A2079" i="1"/>
  <c r="B2079" i="1"/>
  <c r="C2079" i="1"/>
  <c r="A6389" i="1"/>
  <c r="B6389" i="1"/>
  <c r="C6389" i="1"/>
  <c r="A4124" i="1"/>
  <c r="B4124" i="1"/>
  <c r="C4124" i="1"/>
  <c r="A4125" i="1"/>
  <c r="B4125" i="1"/>
  <c r="C4125" i="1"/>
  <c r="A11468" i="1"/>
  <c r="B11468" i="1"/>
  <c r="C11468" i="1"/>
  <c r="A837" i="1"/>
  <c r="B837" i="1"/>
  <c r="C837" i="1"/>
  <c r="A5368" i="1"/>
  <c r="B5368" i="1"/>
  <c r="C5368" i="1"/>
  <c r="A7436" i="1"/>
  <c r="B7436" i="1"/>
  <c r="C7436" i="1"/>
  <c r="A3970" i="1"/>
  <c r="B3970" i="1"/>
  <c r="C3970" i="1"/>
  <c r="A7639" i="1"/>
  <c r="B7639" i="1"/>
  <c r="C7639" i="1"/>
  <c r="A141" i="1"/>
  <c r="B141" i="1"/>
  <c r="C141" i="1"/>
  <c r="A5702" i="1"/>
  <c r="B5702" i="1"/>
  <c r="C5702" i="1"/>
  <c r="A1117" i="1"/>
  <c r="B1117" i="1"/>
  <c r="C1117" i="1"/>
  <c r="A10498" i="1"/>
  <c r="B10498" i="1"/>
  <c r="C10498" i="1"/>
  <c r="A11371" i="1"/>
  <c r="B11371" i="1"/>
  <c r="C11371" i="1"/>
  <c r="A4327" i="1"/>
  <c r="B4327" i="1"/>
  <c r="C4327" i="1"/>
  <c r="A9302" i="1"/>
  <c r="B9302" i="1"/>
  <c r="C9302" i="1"/>
  <c r="A6862" i="1"/>
  <c r="B6862" i="1"/>
  <c r="C6862" i="1"/>
  <c r="A4132" i="1"/>
  <c r="B4132" i="1"/>
  <c r="C4132" i="1"/>
  <c r="A3130" i="1"/>
  <c r="B3130" i="1"/>
  <c r="C3130" i="1"/>
  <c r="A9758" i="1"/>
  <c r="B9758" i="1"/>
  <c r="C9758" i="1"/>
  <c r="A9902" i="1"/>
  <c r="B9902" i="1"/>
  <c r="C9902" i="1"/>
  <c r="A12113" i="1"/>
  <c r="B12113" i="1"/>
  <c r="C12113" i="1"/>
  <c r="A1258" i="1"/>
  <c r="B1258" i="1"/>
  <c r="C1258" i="1"/>
  <c r="A328" i="1"/>
  <c r="B328" i="1"/>
  <c r="C328" i="1"/>
  <c r="A12205" i="1"/>
  <c r="B12205" i="1"/>
  <c r="C12205" i="1"/>
  <c r="A12855" i="1"/>
  <c r="B12855" i="1"/>
  <c r="C12855" i="1"/>
  <c r="A12883" i="1"/>
  <c r="B12883" i="1"/>
  <c r="C12883" i="1"/>
  <c r="A3648" i="1"/>
  <c r="B3648" i="1"/>
  <c r="C3648" i="1"/>
  <c r="A13082" i="1"/>
  <c r="B13082" i="1"/>
  <c r="C13082" i="1"/>
  <c r="A2743" i="1"/>
  <c r="B2743" i="1"/>
  <c r="C2743" i="1"/>
  <c r="A9835" i="1"/>
  <c r="B9835" i="1"/>
  <c r="C9835" i="1"/>
  <c r="A7568" i="1"/>
  <c r="B7568" i="1"/>
  <c r="C7568" i="1"/>
  <c r="A8580" i="1"/>
  <c r="B8580" i="1"/>
  <c r="C8580" i="1"/>
  <c r="A3810" i="1"/>
  <c r="B3810" i="1"/>
  <c r="C3810" i="1"/>
  <c r="A3226" i="1"/>
  <c r="B3226" i="1"/>
  <c r="C3226" i="1"/>
  <c r="A7495" i="1"/>
  <c r="B7495" i="1"/>
  <c r="C7495" i="1"/>
  <c r="A5402" i="1"/>
  <c r="B5402" i="1"/>
  <c r="C5402" i="1"/>
  <c r="A108" i="1"/>
  <c r="B108" i="1"/>
  <c r="C108" i="1"/>
  <c r="A11970" i="1"/>
  <c r="B11970" i="1"/>
  <c r="C11970" i="1"/>
  <c r="A4057" i="1"/>
  <c r="B4057" i="1"/>
  <c r="C4057" i="1"/>
  <c r="A13207" i="1"/>
  <c r="B13207" i="1"/>
  <c r="C13207" i="1"/>
  <c r="A8576" i="1"/>
  <c r="B8576" i="1"/>
  <c r="C8576" i="1"/>
  <c r="A7899" i="1"/>
  <c r="B7899" i="1"/>
  <c r="C7899" i="1"/>
  <c r="A1736" i="1"/>
  <c r="B1736" i="1"/>
  <c r="C1736" i="1"/>
  <c r="A7688" i="1"/>
  <c r="B7688" i="1"/>
  <c r="C7688" i="1"/>
  <c r="A4100" i="1"/>
  <c r="B4100" i="1"/>
  <c r="C4100" i="1"/>
  <c r="A13091" i="1"/>
  <c r="B13091" i="1"/>
  <c r="C13091" i="1"/>
  <c r="A461" i="1"/>
  <c r="B461" i="1"/>
  <c r="C461" i="1"/>
  <c r="A13949" i="1"/>
  <c r="B13949" i="1"/>
  <c r="C13949" i="1"/>
  <c r="A13781" i="1"/>
  <c r="B13781" i="1"/>
  <c r="C13781" i="1"/>
  <c r="A1737" i="1"/>
  <c r="B1737" i="1"/>
  <c r="C1737" i="1"/>
  <c r="A7860" i="1"/>
  <c r="B7860" i="1"/>
  <c r="C7860" i="1"/>
  <c r="A13504" i="1"/>
  <c r="B13504" i="1"/>
  <c r="C13504" i="1"/>
  <c r="A4796" i="1"/>
  <c r="B4796" i="1"/>
  <c r="C4796" i="1"/>
  <c r="A13868" i="1"/>
  <c r="B13868" i="1"/>
  <c r="C13868" i="1"/>
  <c r="A5019" i="1"/>
  <c r="B5019" i="1"/>
  <c r="C5019" i="1"/>
  <c r="A1200" i="1"/>
  <c r="B1200" i="1"/>
  <c r="C1200" i="1"/>
  <c r="A13874" i="1"/>
  <c r="B13874" i="1"/>
  <c r="C13874" i="1"/>
  <c r="A9815" i="1"/>
  <c r="B9815" i="1"/>
  <c r="C9815" i="1"/>
  <c r="A10657" i="1"/>
  <c r="B10657" i="1"/>
  <c r="C10657" i="1"/>
  <c r="A5669" i="1"/>
  <c r="B5669" i="1"/>
  <c r="C5669" i="1"/>
  <c r="A8228" i="1"/>
  <c r="B8228" i="1"/>
  <c r="C8228" i="1"/>
  <c r="A2069" i="1"/>
  <c r="B2069" i="1"/>
  <c r="C2069" i="1"/>
  <c r="A4269" i="1"/>
  <c r="B4269" i="1"/>
  <c r="C4269" i="1"/>
  <c r="A4659" i="1"/>
  <c r="B4659" i="1"/>
  <c r="C4659" i="1"/>
  <c r="A4660" i="1"/>
  <c r="B4660" i="1"/>
  <c r="C4660" i="1"/>
  <c r="A4632" i="1"/>
  <c r="B4632" i="1"/>
  <c r="C4632" i="1"/>
  <c r="A4147" i="1"/>
  <c r="B4147" i="1"/>
  <c r="C4147" i="1"/>
  <c r="A2844" i="1"/>
  <c r="B2844" i="1"/>
  <c r="C2844" i="1"/>
  <c r="A6777" i="1"/>
  <c r="B6777" i="1"/>
  <c r="C6777" i="1"/>
  <c r="A1984" i="1"/>
  <c r="B1984" i="1"/>
  <c r="C1984" i="1"/>
  <c r="A4445" i="1"/>
  <c r="B4445" i="1"/>
  <c r="C4445" i="1"/>
  <c r="A5694" i="1"/>
  <c r="B5694" i="1"/>
  <c r="C5694" i="1"/>
  <c r="A12617" i="1"/>
  <c r="B12617" i="1"/>
  <c r="C12617" i="1"/>
  <c r="A3885" i="1"/>
  <c r="B3885" i="1"/>
  <c r="C3885" i="1"/>
  <c r="A2767" i="1"/>
  <c r="B2767" i="1"/>
  <c r="C2767" i="1"/>
  <c r="A13610" i="1"/>
  <c r="B13610" i="1"/>
  <c r="C13610" i="1"/>
  <c r="A6884" i="1"/>
  <c r="B6884" i="1"/>
  <c r="C6884" i="1"/>
  <c r="A5232" i="1"/>
  <c r="B5232" i="1"/>
  <c r="C5232" i="1"/>
  <c r="A7496" i="1"/>
  <c r="B7496" i="1"/>
  <c r="C7496" i="1"/>
  <c r="A3285" i="1"/>
  <c r="B3285" i="1"/>
  <c r="C3285" i="1"/>
  <c r="A11475" i="1"/>
  <c r="B11475" i="1"/>
  <c r="C11475" i="1"/>
  <c r="A4004" i="1"/>
  <c r="B4004" i="1"/>
  <c r="C4004" i="1"/>
  <c r="A6183" i="1"/>
  <c r="B6183" i="1"/>
  <c r="C6183" i="1"/>
  <c r="A691" i="1"/>
  <c r="B691" i="1"/>
  <c r="C691" i="1"/>
  <c r="A5730" i="1"/>
  <c r="B5730" i="1"/>
  <c r="C5730" i="1"/>
  <c r="A9834" i="1"/>
  <c r="B9834" i="1"/>
  <c r="C9834" i="1"/>
  <c r="A89" i="1"/>
  <c r="B89" i="1"/>
  <c r="C89" i="1"/>
  <c r="A9531" i="1"/>
  <c r="B9531" i="1"/>
  <c r="C9531" i="1"/>
  <c r="A8434" i="1"/>
  <c r="B8434" i="1"/>
  <c r="C8434" i="1"/>
  <c r="A12547" i="1"/>
  <c r="B12547" i="1"/>
  <c r="C12547" i="1"/>
  <c r="A11376" i="1"/>
  <c r="B11376" i="1"/>
  <c r="C11376" i="1"/>
  <c r="A12439" i="1"/>
  <c r="B12439" i="1"/>
  <c r="C12439" i="1"/>
  <c r="A5596" i="1"/>
  <c r="B5596" i="1"/>
  <c r="C5596" i="1"/>
  <c r="A1840" i="1"/>
  <c r="B1840" i="1"/>
  <c r="C1840" i="1"/>
  <c r="A9223" i="1"/>
  <c r="B9223" i="1"/>
  <c r="C9223" i="1"/>
  <c r="A10329" i="1"/>
  <c r="B10329" i="1"/>
  <c r="C10329" i="1"/>
  <c r="A6258" i="1"/>
  <c r="B6258" i="1"/>
  <c r="C6258" i="1"/>
  <c r="A8237" i="1"/>
  <c r="B8237" i="1"/>
  <c r="C8237" i="1"/>
  <c r="A6306" i="1"/>
  <c r="B6306" i="1"/>
  <c r="C6306" i="1"/>
  <c r="A12707" i="1"/>
  <c r="B12707" i="1"/>
  <c r="C12707" i="1"/>
  <c r="A2491" i="1"/>
  <c r="B2491" i="1"/>
  <c r="C2491" i="1"/>
  <c r="A13798" i="1"/>
  <c r="B13798" i="1"/>
  <c r="C13798" i="1"/>
  <c r="A6464" i="1"/>
  <c r="B6464" i="1"/>
  <c r="C6464" i="1"/>
  <c r="A1181" i="1"/>
  <c r="B1181" i="1"/>
  <c r="C1181" i="1"/>
  <c r="A13675" i="1"/>
  <c r="B13675" i="1"/>
  <c r="C13675" i="1"/>
  <c r="A2514" i="1"/>
  <c r="B2514" i="1"/>
  <c r="C2514" i="1"/>
  <c r="A3894" i="1"/>
  <c r="B3894" i="1"/>
  <c r="C3894" i="1"/>
  <c r="A4744" i="1"/>
  <c r="B4744" i="1"/>
  <c r="C4744" i="1"/>
  <c r="A1453" i="1"/>
  <c r="B1453" i="1"/>
  <c r="C1453" i="1"/>
  <c r="A343" i="1"/>
  <c r="B343" i="1"/>
  <c r="C343" i="1"/>
  <c r="A6423" i="1"/>
  <c r="B6423" i="1"/>
  <c r="C6423" i="1"/>
  <c r="A13784" i="1"/>
  <c r="B13784" i="1"/>
  <c r="C13784" i="1"/>
  <c r="A6064" i="1"/>
  <c r="B6064" i="1"/>
  <c r="C6064" i="1"/>
  <c r="A10646" i="1"/>
  <c r="B10646" i="1"/>
  <c r="C10646" i="1"/>
  <c r="A10459" i="1"/>
  <c r="B10459" i="1"/>
  <c r="C10459" i="1"/>
  <c r="A13466" i="1"/>
  <c r="B13466" i="1"/>
  <c r="C13466" i="1"/>
  <c r="A4143" i="1"/>
  <c r="B4143" i="1"/>
  <c r="C4143" i="1"/>
  <c r="A11355" i="1"/>
  <c r="B11355" i="1"/>
  <c r="C11355" i="1"/>
  <c r="A13096" i="1"/>
  <c r="B13096" i="1"/>
  <c r="C13096" i="1"/>
  <c r="A10717" i="1"/>
  <c r="B10717" i="1"/>
  <c r="C10717" i="1"/>
  <c r="A1369" i="1"/>
  <c r="B1369" i="1"/>
  <c r="C1369" i="1"/>
  <c r="A9206" i="1"/>
  <c r="B9206" i="1"/>
  <c r="C9206" i="1"/>
  <c r="A7252" i="1"/>
  <c r="B7252" i="1"/>
  <c r="C7252" i="1"/>
  <c r="A13307" i="1"/>
  <c r="B13307" i="1"/>
  <c r="C13307" i="1"/>
  <c r="A3090" i="1"/>
  <c r="B3090" i="1"/>
  <c r="C3090" i="1"/>
  <c r="A8180" i="1"/>
  <c r="B8180" i="1"/>
  <c r="C8180" i="1"/>
  <c r="A3760" i="1"/>
  <c r="B3760" i="1"/>
  <c r="C3760" i="1"/>
  <c r="A11149" i="1"/>
  <c r="B11149" i="1"/>
  <c r="C11149" i="1"/>
  <c r="A958" i="1"/>
  <c r="B958" i="1"/>
  <c r="C958" i="1"/>
  <c r="A12485" i="1"/>
  <c r="B12485" i="1"/>
  <c r="C12485" i="1"/>
  <c r="A6073" i="1"/>
  <c r="B6073" i="1"/>
  <c r="C6073" i="1"/>
  <c r="A3962" i="1"/>
  <c r="B3962" i="1"/>
  <c r="C3962" i="1"/>
  <c r="A455" i="1"/>
  <c r="B455" i="1"/>
  <c r="C455" i="1"/>
  <c r="A4110" i="1"/>
  <c r="B4110" i="1"/>
  <c r="C4110" i="1"/>
  <c r="A13505" i="1"/>
  <c r="B13505" i="1"/>
  <c r="C13505" i="1"/>
  <c r="A1026" i="1"/>
  <c r="B1026" i="1"/>
  <c r="C1026" i="1"/>
  <c r="A4731" i="1"/>
  <c r="B4731" i="1"/>
  <c r="C4731" i="1"/>
  <c r="A13204" i="1"/>
  <c r="B13204" i="1"/>
  <c r="C13204" i="1"/>
  <c r="A1100" i="1"/>
  <c r="B1100" i="1"/>
  <c r="C1100" i="1"/>
  <c r="A12035" i="1"/>
  <c r="B12035" i="1"/>
  <c r="C12035" i="1"/>
  <c r="A8775" i="1"/>
  <c r="B8775" i="1"/>
  <c r="C8775" i="1"/>
  <c r="A6482" i="1"/>
  <c r="B6482" i="1"/>
  <c r="C6482" i="1"/>
  <c r="A7559" i="1"/>
  <c r="B7559" i="1"/>
  <c r="C7559" i="1"/>
  <c r="A11285" i="1"/>
  <c r="B11285" i="1"/>
  <c r="C11285" i="1"/>
  <c r="A11180" i="1"/>
  <c r="B11180" i="1"/>
  <c r="C11180" i="1"/>
  <c r="A12662" i="1"/>
  <c r="B12662" i="1"/>
  <c r="C12662" i="1"/>
  <c r="A4246" i="1"/>
  <c r="B4246" i="1"/>
  <c r="C4246" i="1"/>
  <c r="A2793" i="1"/>
  <c r="B2793" i="1"/>
  <c r="C2793" i="1"/>
  <c r="A8342" i="1"/>
  <c r="B8342" i="1"/>
  <c r="C8342" i="1"/>
  <c r="A1245" i="1"/>
  <c r="B1245" i="1"/>
  <c r="C1245" i="1"/>
  <c r="A12719" i="1"/>
  <c r="B12719" i="1"/>
  <c r="C12719" i="1"/>
  <c r="A7954" i="1"/>
  <c r="B7954" i="1"/>
  <c r="C7954" i="1"/>
  <c r="A9931" i="1"/>
  <c r="B9931" i="1"/>
  <c r="C9931" i="1"/>
  <c r="A7527" i="1"/>
  <c r="B7527" i="1"/>
  <c r="C7527" i="1"/>
  <c r="A12303" i="1"/>
  <c r="B12303" i="1"/>
  <c r="C12303" i="1"/>
  <c r="A11906" i="1"/>
  <c r="B11906" i="1"/>
  <c r="C11906" i="1"/>
  <c r="A3994" i="1"/>
  <c r="B3994" i="1"/>
  <c r="C3994" i="1"/>
  <c r="A8659" i="1"/>
  <c r="B8659" i="1"/>
  <c r="C8659" i="1"/>
  <c r="A13042" i="1"/>
  <c r="B13042" i="1"/>
  <c r="C13042" i="1"/>
  <c r="A2975" i="1"/>
  <c r="B2975" i="1"/>
  <c r="C2975" i="1"/>
  <c r="A13286" i="1"/>
  <c r="B13286" i="1"/>
  <c r="C13286" i="1"/>
  <c r="A11181" i="1"/>
  <c r="B11181" i="1"/>
  <c r="C11181" i="1"/>
  <c r="A1625" i="1"/>
  <c r="B1625" i="1"/>
  <c r="C1625" i="1"/>
  <c r="A2879" i="1"/>
  <c r="B2879" i="1"/>
  <c r="C2879" i="1"/>
  <c r="A606" i="1"/>
  <c r="B606" i="1"/>
  <c r="C606" i="1"/>
  <c r="A10726" i="1"/>
  <c r="B10726" i="1"/>
  <c r="C10726" i="1"/>
  <c r="A6094" i="1"/>
  <c r="B6094" i="1"/>
  <c r="C6094" i="1"/>
  <c r="A9730" i="1"/>
  <c r="B9730" i="1"/>
  <c r="C9730" i="1"/>
  <c r="A4173" i="1"/>
  <c r="B4173" i="1"/>
  <c r="C4173" i="1"/>
  <c r="A5665" i="1"/>
  <c r="B5665" i="1"/>
  <c r="C5665" i="1"/>
  <c r="A2172" i="1"/>
  <c r="B2172" i="1"/>
  <c r="C2172" i="1"/>
  <c r="A310" i="1"/>
  <c r="B310" i="1"/>
  <c r="C310" i="1"/>
  <c r="A11785" i="1"/>
  <c r="B11785" i="1"/>
  <c r="C11785" i="1"/>
  <c r="A7528" i="1"/>
  <c r="B7528" i="1"/>
  <c r="C7528" i="1"/>
  <c r="A895" i="1"/>
  <c r="B895" i="1"/>
  <c r="C895" i="1"/>
  <c r="A573" i="1"/>
  <c r="B573" i="1"/>
  <c r="C573" i="1"/>
  <c r="A11176" i="1"/>
  <c r="B11176" i="1"/>
  <c r="C11176" i="1"/>
  <c r="A1819" i="1"/>
  <c r="B1819" i="1"/>
  <c r="C1819" i="1"/>
  <c r="A11971" i="1"/>
  <c r="B11971" i="1"/>
  <c r="C11971" i="1"/>
  <c r="A11972" i="1"/>
  <c r="B11972" i="1"/>
  <c r="C11972" i="1"/>
  <c r="A11973" i="1"/>
  <c r="B11973" i="1"/>
  <c r="C11973" i="1"/>
  <c r="A11974" i="1"/>
  <c r="B11974" i="1"/>
  <c r="C11974" i="1"/>
  <c r="A11975" i="1"/>
  <c r="B11975" i="1"/>
  <c r="C11975" i="1"/>
  <c r="A11976" i="1"/>
  <c r="B11976" i="1"/>
  <c r="C11976" i="1"/>
  <c r="A11977" i="1"/>
  <c r="B11977" i="1"/>
  <c r="C11977" i="1"/>
  <c r="A11528" i="1"/>
  <c r="B11528" i="1"/>
  <c r="C11528" i="1"/>
  <c r="A12453" i="1"/>
  <c r="B12453" i="1"/>
  <c r="C12453" i="1"/>
  <c r="A3623" i="1"/>
  <c r="B3623" i="1"/>
  <c r="C3623" i="1"/>
  <c r="A9253" i="1"/>
  <c r="B9253" i="1"/>
  <c r="C9253" i="1"/>
  <c r="A10533" i="1"/>
  <c r="B10533" i="1"/>
  <c r="C10533" i="1"/>
  <c r="A5744" i="1"/>
  <c r="B5744" i="1"/>
  <c r="C5744" i="1"/>
  <c r="A4535" i="1"/>
  <c r="B4535" i="1"/>
  <c r="C4535" i="1"/>
  <c r="A7365" i="1"/>
  <c r="B7365" i="1"/>
  <c r="C7365" i="1"/>
  <c r="A4081" i="1"/>
  <c r="B4081" i="1"/>
  <c r="C4081" i="1"/>
  <c r="A3711" i="1"/>
  <c r="B3711" i="1"/>
  <c r="C3711" i="1"/>
  <c r="A2441" i="1"/>
  <c r="B2441" i="1"/>
  <c r="C2441" i="1"/>
  <c r="A4785" i="1"/>
  <c r="B4785" i="1"/>
  <c r="C4785" i="1"/>
  <c r="A7471" i="1"/>
  <c r="B7471" i="1"/>
  <c r="C7471" i="1"/>
  <c r="A5473" i="1"/>
  <c r="B5473" i="1"/>
  <c r="C5473" i="1"/>
  <c r="A13483" i="1"/>
  <c r="B13483" i="1"/>
  <c r="C13483" i="1"/>
  <c r="A5538" i="1"/>
  <c r="B5538" i="1"/>
  <c r="C5538" i="1"/>
  <c r="A8497" i="1"/>
  <c r="B8497" i="1"/>
  <c r="C8497" i="1"/>
  <c r="A12805" i="1"/>
  <c r="B12805" i="1"/>
  <c r="C12805" i="1"/>
  <c r="A7602" i="1"/>
  <c r="B7602" i="1"/>
  <c r="C7602" i="1"/>
  <c r="A13548" i="1"/>
  <c r="B13548" i="1"/>
  <c r="C13548" i="1"/>
  <c r="A8281" i="1"/>
  <c r="B8281" i="1"/>
  <c r="C8281" i="1"/>
  <c r="A12900" i="1"/>
  <c r="B12900" i="1"/>
  <c r="C12900" i="1"/>
  <c r="A9067" i="1"/>
  <c r="B9067" i="1"/>
  <c r="C9067" i="1"/>
  <c r="A7066" i="1"/>
  <c r="B7066" i="1"/>
  <c r="C7066" i="1"/>
  <c r="A4514" i="1"/>
  <c r="B4514" i="1"/>
  <c r="C4514" i="1"/>
  <c r="A3010" i="1"/>
  <c r="B3010" i="1"/>
  <c r="C3010" i="1"/>
  <c r="A13524" i="1"/>
  <c r="B13524" i="1"/>
  <c r="C13524" i="1"/>
  <c r="A2136" i="1"/>
  <c r="B2136" i="1"/>
  <c r="C2136" i="1"/>
  <c r="A12414" i="1"/>
  <c r="B12414" i="1"/>
  <c r="C12414" i="1"/>
  <c r="A7539" i="1"/>
  <c r="B7539" i="1"/>
  <c r="C7539" i="1"/>
  <c r="A6952" i="1"/>
  <c r="B6952" i="1"/>
  <c r="C6952" i="1"/>
  <c r="A2924" i="1"/>
  <c r="B2924" i="1"/>
  <c r="C2924" i="1"/>
  <c r="A5380" i="1"/>
  <c r="B5380" i="1"/>
  <c r="C5380" i="1"/>
  <c r="A10946" i="1"/>
  <c r="B10946" i="1"/>
  <c r="C10946" i="1"/>
  <c r="A12367" i="1"/>
  <c r="B12367" i="1"/>
  <c r="C12367" i="1"/>
  <c r="A6222" i="1"/>
  <c r="B6222" i="1"/>
  <c r="C6222" i="1"/>
  <c r="A10671" i="1"/>
  <c r="B10671" i="1"/>
  <c r="C10671" i="1"/>
  <c r="A11601" i="1"/>
  <c r="B11601" i="1"/>
  <c r="C11601" i="1"/>
  <c r="A8516" i="1"/>
  <c r="B8516" i="1"/>
  <c r="C8516" i="1"/>
  <c r="A13782" i="1"/>
  <c r="B13782" i="1"/>
  <c r="C13782" i="1"/>
  <c r="A11567" i="1"/>
  <c r="B11567" i="1"/>
  <c r="C11567" i="1"/>
  <c r="A3146" i="1"/>
  <c r="B3146" i="1"/>
  <c r="C3146" i="1"/>
  <c r="A4005" i="1"/>
  <c r="B4005" i="1"/>
  <c r="C4005" i="1"/>
  <c r="A9617" i="1"/>
  <c r="B9617" i="1"/>
  <c r="C9617" i="1"/>
  <c r="A7837" i="1"/>
  <c r="B7837" i="1"/>
  <c r="C7837" i="1"/>
  <c r="A87" i="1"/>
  <c r="B87" i="1"/>
  <c r="C87" i="1"/>
  <c r="A9567" i="1"/>
  <c r="B9567" i="1"/>
  <c r="C9567" i="1"/>
  <c r="A9238" i="1"/>
  <c r="B9238" i="1"/>
  <c r="C9238" i="1"/>
  <c r="A749" i="1"/>
  <c r="B749" i="1"/>
  <c r="C749" i="1"/>
  <c r="A748" i="1"/>
  <c r="B748" i="1"/>
  <c r="C748" i="1"/>
  <c r="A7205" i="1"/>
  <c r="B7205" i="1"/>
  <c r="C7205" i="1"/>
  <c r="A10581" i="1"/>
  <c r="B10581" i="1"/>
  <c r="C10581" i="1"/>
  <c r="A5908" i="1"/>
  <c r="B5908" i="1"/>
  <c r="C5908" i="1"/>
  <c r="A5666" i="1"/>
  <c r="B5666" i="1"/>
  <c r="C5666" i="1"/>
  <c r="A5971" i="1"/>
  <c r="B5971" i="1"/>
  <c r="C5971" i="1"/>
  <c r="A8808" i="1"/>
  <c r="B8808" i="1"/>
  <c r="C8808" i="1"/>
  <c r="A7497" i="1"/>
  <c r="B7497" i="1"/>
  <c r="C7497" i="1"/>
  <c r="A8435" i="1"/>
  <c r="B8435" i="1"/>
  <c r="C8435" i="1"/>
  <c r="A9478" i="1"/>
  <c r="B9478" i="1"/>
  <c r="C9478" i="1"/>
  <c r="A5603" i="1"/>
  <c r="B5603" i="1"/>
  <c r="C5603" i="1"/>
  <c r="A9465" i="1"/>
  <c r="B9465" i="1"/>
  <c r="C9465" i="1"/>
  <c r="A9782" i="1"/>
  <c r="B9782" i="1"/>
  <c r="C9782" i="1"/>
  <c r="A834" i="1"/>
  <c r="B834" i="1"/>
  <c r="C834" i="1"/>
  <c r="A13386" i="1"/>
  <c r="B13386" i="1"/>
  <c r="C13386" i="1"/>
  <c r="A8242" i="1"/>
  <c r="B8242" i="1"/>
  <c r="C8242" i="1"/>
  <c r="A3649" i="1"/>
  <c r="B3649" i="1"/>
  <c r="C3649" i="1"/>
  <c r="A3532" i="1"/>
  <c r="B3532" i="1"/>
  <c r="C3532" i="1"/>
  <c r="A9934" i="1"/>
  <c r="B9934" i="1"/>
  <c r="C9934" i="1"/>
  <c r="A1579" i="1"/>
  <c r="B1579" i="1"/>
  <c r="C1579" i="1"/>
  <c r="A31" i="1"/>
  <c r="B31" i="1"/>
  <c r="C31" i="1"/>
  <c r="A6346" i="1"/>
  <c r="B6346" i="1"/>
  <c r="C6346" i="1"/>
  <c r="A2122" i="1"/>
  <c r="B2122" i="1"/>
  <c r="C2122" i="1"/>
  <c r="A7581" i="1"/>
  <c r="B7581" i="1"/>
  <c r="C7581" i="1"/>
  <c r="A5641" i="1"/>
  <c r="B5641" i="1"/>
  <c r="C5641" i="1"/>
  <c r="A3642" i="1"/>
  <c r="B3642" i="1"/>
  <c r="C3642" i="1"/>
  <c r="A11042" i="1"/>
  <c r="B11042" i="1"/>
  <c r="C11042" i="1"/>
  <c r="A7638" i="1"/>
  <c r="B7638" i="1"/>
  <c r="C7638" i="1"/>
  <c r="A9466" i="1"/>
  <c r="B9466" i="1"/>
  <c r="C9466" i="1"/>
  <c r="A744" i="1"/>
  <c r="B744" i="1"/>
  <c r="C744" i="1"/>
  <c r="A10237" i="1"/>
  <c r="B10237" i="1"/>
  <c r="C10237" i="1"/>
  <c r="A4786" i="1"/>
  <c r="B4786" i="1"/>
  <c r="C4786" i="1"/>
  <c r="A7056" i="1"/>
  <c r="B7056" i="1"/>
  <c r="C7056" i="1"/>
  <c r="A12280" i="1"/>
  <c r="B12280" i="1"/>
  <c r="C12280" i="1"/>
  <c r="A11978" i="1"/>
  <c r="B11978" i="1"/>
  <c r="C11978" i="1"/>
  <c r="A3030" i="1"/>
  <c r="B3030" i="1"/>
  <c r="C3030" i="1"/>
  <c r="A9564" i="1"/>
  <c r="B9564" i="1"/>
  <c r="C9564" i="1"/>
  <c r="A13053" i="1"/>
  <c r="B13053" i="1"/>
  <c r="C13053" i="1"/>
  <c r="A11167" i="1"/>
  <c r="B11167" i="1"/>
  <c r="C11167" i="1"/>
  <c r="A3205" i="1"/>
  <c r="B3205" i="1"/>
  <c r="C3205" i="1"/>
  <c r="A11713" i="1"/>
  <c r="B11713" i="1"/>
  <c r="C11713" i="1"/>
  <c r="A4126" i="1"/>
  <c r="B4126" i="1"/>
  <c r="C4126" i="1"/>
  <c r="A4127" i="1"/>
  <c r="B4127" i="1"/>
  <c r="C4127" i="1"/>
  <c r="A11822" i="1"/>
  <c r="B11822" i="1"/>
  <c r="C11822" i="1"/>
  <c r="A7498" i="1"/>
  <c r="B7498" i="1"/>
  <c r="C7498" i="1"/>
  <c r="A2341" i="1"/>
  <c r="B2341" i="1"/>
  <c r="C2341" i="1"/>
  <c r="A10066" i="1"/>
  <c r="B10066" i="1"/>
  <c r="C10066" i="1"/>
  <c r="A5031" i="1"/>
  <c r="B5031" i="1"/>
  <c r="C5031" i="1"/>
  <c r="A715" i="1"/>
  <c r="B715" i="1"/>
  <c r="C715" i="1"/>
  <c r="A7992" i="1"/>
  <c r="B7992" i="1"/>
  <c r="C7992" i="1"/>
  <c r="A5422" i="1"/>
  <c r="B5422" i="1"/>
  <c r="C5422" i="1"/>
  <c r="A4911" i="1"/>
  <c r="B4911" i="1"/>
  <c r="C4911" i="1"/>
  <c r="A7819" i="1"/>
  <c r="B7819" i="1"/>
  <c r="C7819" i="1"/>
  <c r="A9759" i="1"/>
  <c r="B9759" i="1"/>
  <c r="C9759" i="1"/>
  <c r="A10427" i="1"/>
  <c r="B10427" i="1"/>
  <c r="C10427" i="1"/>
  <c r="A9479" i="1"/>
  <c r="B9479" i="1"/>
  <c r="C9479" i="1"/>
  <c r="A5752" i="1"/>
  <c r="B5752" i="1"/>
  <c r="C5752" i="1"/>
  <c r="A12151" i="1"/>
  <c r="B12151" i="1"/>
  <c r="C12151" i="1"/>
  <c r="A2237" i="1"/>
  <c r="B2237" i="1"/>
  <c r="C2237" i="1"/>
  <c r="A8436" i="1"/>
  <c r="B8436" i="1"/>
  <c r="C8436" i="1"/>
  <c r="A8437" i="1"/>
  <c r="B8437" i="1"/>
  <c r="C8437" i="1"/>
  <c r="A8438" i="1"/>
  <c r="B8438" i="1"/>
  <c r="C8438" i="1"/>
  <c r="A8439" i="1"/>
  <c r="B8439" i="1"/>
  <c r="C8439" i="1"/>
  <c r="A869" i="1"/>
  <c r="B869" i="1"/>
  <c r="C869" i="1"/>
  <c r="A10109" i="1"/>
  <c r="B10109" i="1"/>
  <c r="C10109" i="1"/>
  <c r="A11168" i="1"/>
  <c r="B11168" i="1"/>
  <c r="C11168" i="1"/>
  <c r="A1878" i="1"/>
  <c r="B1878" i="1"/>
  <c r="C1878" i="1"/>
  <c r="A3153" i="1"/>
  <c r="B3153" i="1"/>
  <c r="C3153" i="1"/>
  <c r="A7995" i="1"/>
  <c r="B7995" i="1"/>
  <c r="C7995" i="1"/>
  <c r="A8906" i="1"/>
  <c r="B8906" i="1"/>
  <c r="C8906" i="1"/>
  <c r="A12733" i="1"/>
  <c r="B12733" i="1"/>
  <c r="C12733" i="1"/>
  <c r="A7702" i="1"/>
  <c r="B7702" i="1"/>
  <c r="C7702" i="1"/>
  <c r="A4484" i="1"/>
  <c r="B4484" i="1"/>
  <c r="C4484" i="1"/>
  <c r="A9549" i="1"/>
  <c r="B9549" i="1"/>
  <c r="C9549" i="1"/>
  <c r="A3370" i="1"/>
  <c r="B3370" i="1"/>
  <c r="C3370" i="1"/>
  <c r="A9442" i="1"/>
  <c r="B9442" i="1"/>
  <c r="C9442" i="1"/>
  <c r="A5813" i="1"/>
  <c r="B5813" i="1"/>
  <c r="C5813" i="1"/>
  <c r="A10208" i="1"/>
  <c r="B10208" i="1"/>
  <c r="C10208" i="1"/>
  <c r="A9059" i="1"/>
  <c r="B9059" i="1"/>
  <c r="C9059" i="1"/>
  <c r="A7424" i="1"/>
  <c r="B7424" i="1"/>
  <c r="C7424" i="1"/>
  <c r="A11920" i="1"/>
  <c r="B11920" i="1"/>
  <c r="C11920" i="1"/>
  <c r="A6513" i="1"/>
  <c r="B6513" i="1"/>
  <c r="C6513" i="1"/>
  <c r="A3722" i="1"/>
  <c r="B3722" i="1"/>
  <c r="C3722" i="1"/>
  <c r="A12997" i="1"/>
  <c r="B12997" i="1"/>
  <c r="C12997" i="1"/>
  <c r="A1860" i="1"/>
  <c r="B1860" i="1"/>
  <c r="C1860" i="1"/>
  <c r="A1421" i="1"/>
  <c r="B1421" i="1"/>
  <c r="C1421" i="1"/>
  <c r="A6056" i="1"/>
  <c r="B6056" i="1"/>
  <c r="C6056" i="1"/>
  <c r="A5150" i="1"/>
  <c r="B5150" i="1"/>
  <c r="C5150" i="1"/>
  <c r="A12926" i="1"/>
  <c r="B12926" i="1"/>
  <c r="C12926" i="1"/>
  <c r="A11882" i="1"/>
  <c r="B11882" i="1"/>
  <c r="C11882" i="1"/>
  <c r="A7339" i="1"/>
  <c r="B7339" i="1"/>
  <c r="C7339" i="1"/>
  <c r="A10933" i="1"/>
  <c r="B10933" i="1"/>
  <c r="C10933" i="1"/>
  <c r="A8504" i="1"/>
  <c r="B8504" i="1"/>
  <c r="C8504" i="1"/>
  <c r="A6188" i="1"/>
  <c r="B6188" i="1"/>
  <c r="C6188" i="1"/>
  <c r="A903" i="1"/>
  <c r="B903" i="1"/>
  <c r="C903" i="1"/>
  <c r="A13180" i="1"/>
  <c r="B13180" i="1"/>
  <c r="C13180" i="1"/>
  <c r="A2806" i="1"/>
  <c r="B2806" i="1"/>
  <c r="C2806" i="1"/>
  <c r="A10197" i="1"/>
  <c r="B10197" i="1"/>
  <c r="C10197" i="1"/>
  <c r="A7546" i="1"/>
  <c r="B7546" i="1"/>
  <c r="C7546" i="1"/>
  <c r="A7087" i="1"/>
  <c r="B7087" i="1"/>
  <c r="C7087" i="1"/>
  <c r="A13803" i="1"/>
  <c r="B13803" i="1"/>
  <c r="C13803" i="1"/>
  <c r="A1826" i="1"/>
  <c r="B1826" i="1"/>
  <c r="C1826" i="1"/>
  <c r="A6581" i="1"/>
  <c r="B6581" i="1"/>
  <c r="C6581" i="1"/>
  <c r="A3524" i="1"/>
  <c r="B3524" i="1"/>
  <c r="C3524" i="1"/>
  <c r="A6447" i="1"/>
  <c r="B6447" i="1"/>
  <c r="C6447" i="1"/>
  <c r="A6644" i="1"/>
  <c r="B6644" i="1"/>
  <c r="C6644" i="1"/>
  <c r="A1473" i="1"/>
  <c r="B1473" i="1"/>
  <c r="C1473" i="1"/>
  <c r="A3299" i="1"/>
  <c r="B3299" i="1"/>
  <c r="C3299" i="1"/>
  <c r="A11772" i="1"/>
  <c r="B11772" i="1"/>
  <c r="C11772" i="1"/>
  <c r="A2113" i="1"/>
  <c r="B2113" i="1"/>
  <c r="C2113" i="1"/>
  <c r="A12284" i="1"/>
  <c r="B12284" i="1"/>
  <c r="C12284" i="1"/>
  <c r="A3249" i="1"/>
  <c r="B3249" i="1"/>
  <c r="C3249" i="1"/>
  <c r="A2218" i="1"/>
  <c r="B2218" i="1"/>
  <c r="C2218" i="1"/>
  <c r="A10091" i="1"/>
  <c r="B10091" i="1"/>
  <c r="C10091" i="1"/>
  <c r="A3423" i="1"/>
  <c r="B3423" i="1"/>
  <c r="C3423" i="1"/>
  <c r="A4524" i="1"/>
  <c r="B4524" i="1"/>
  <c r="C4524" i="1"/>
  <c r="A7762" i="1"/>
  <c r="B7762" i="1"/>
  <c r="C7762" i="1"/>
  <c r="A2086" i="1"/>
  <c r="B2086" i="1"/>
  <c r="C2086" i="1"/>
  <c r="A6664" i="1"/>
  <c r="B6664" i="1"/>
  <c r="C6664" i="1"/>
  <c r="A3124" i="1"/>
  <c r="B3124" i="1"/>
  <c r="C3124" i="1"/>
  <c r="A7346" i="1"/>
  <c r="B7346" i="1"/>
  <c r="C7346" i="1"/>
  <c r="A64" i="1"/>
  <c r="B64" i="1"/>
  <c r="C64" i="1"/>
  <c r="A3707" i="1"/>
  <c r="B3707" i="1"/>
  <c r="C3707" i="1"/>
  <c r="A6176" i="1"/>
  <c r="B6176" i="1"/>
  <c r="C6176" i="1"/>
  <c r="A11756" i="1"/>
  <c r="B11756" i="1"/>
  <c r="C11756" i="1"/>
  <c r="A8767" i="1"/>
  <c r="B8767" i="1"/>
  <c r="C8767" i="1"/>
  <c r="A8251" i="1"/>
  <c r="B8251" i="1"/>
  <c r="C8251" i="1"/>
  <c r="A7773" i="1"/>
  <c r="B7773" i="1"/>
  <c r="C7773" i="1"/>
  <c r="A9467" i="1"/>
  <c r="B9467" i="1"/>
  <c r="C9467" i="1"/>
  <c r="A9999" i="1"/>
  <c r="B9999" i="1"/>
  <c r="C9999" i="1"/>
  <c r="A10131" i="1"/>
  <c r="B10131" i="1"/>
  <c r="C10131" i="1"/>
  <c r="A8330" i="1"/>
  <c r="B8330" i="1"/>
  <c r="C8330" i="1"/>
  <c r="A5547" i="1"/>
  <c r="B5547" i="1"/>
  <c r="C5547" i="1"/>
  <c r="A787" i="1"/>
  <c r="B787" i="1"/>
  <c r="C787" i="1"/>
  <c r="A3583" i="1"/>
  <c r="B3583" i="1"/>
  <c r="C3583" i="1"/>
  <c r="A12663" i="1"/>
  <c r="B12663" i="1"/>
  <c r="C12663" i="1"/>
  <c r="A9443" i="1"/>
  <c r="B9443" i="1"/>
  <c r="C9443" i="1"/>
  <c r="A1892" i="1"/>
  <c r="B1892" i="1"/>
  <c r="C1892" i="1"/>
  <c r="A2858" i="1"/>
  <c r="B2858" i="1"/>
  <c r="C2858" i="1"/>
  <c r="A12885" i="1"/>
  <c r="B12885" i="1"/>
  <c r="C12885" i="1"/>
  <c r="A7025" i="1"/>
  <c r="B7025" i="1"/>
  <c r="C7025" i="1"/>
  <c r="A9933" i="1"/>
  <c r="B9933" i="1"/>
  <c r="C9933" i="1"/>
  <c r="A5430" i="1"/>
  <c r="B5430" i="1"/>
  <c r="C5430" i="1"/>
  <c r="A8692" i="1"/>
  <c r="B8692" i="1"/>
  <c r="C8692" i="1"/>
  <c r="A13104" i="1"/>
  <c r="B13104" i="1"/>
  <c r="C13104" i="1"/>
  <c r="A2696" i="1"/>
  <c r="B2696" i="1"/>
  <c r="C2696" i="1"/>
  <c r="A6347" i="1"/>
  <c r="B6347" i="1"/>
  <c r="C6347" i="1"/>
  <c r="A13927" i="1"/>
  <c r="B13927" i="1"/>
  <c r="C13927" i="1"/>
  <c r="A10499" i="1"/>
  <c r="B10499" i="1"/>
  <c r="C10499" i="1"/>
  <c r="A3086" i="1"/>
  <c r="B3086" i="1"/>
  <c r="C3086" i="1"/>
  <c r="A6701" i="1"/>
  <c r="B6701" i="1"/>
  <c r="C6701" i="1"/>
  <c r="A11543" i="1"/>
  <c r="B11543" i="1"/>
  <c r="C11543" i="1"/>
  <c r="A10610" i="1"/>
  <c r="B10610" i="1"/>
  <c r="C10610" i="1"/>
  <c r="A3380" i="1"/>
  <c r="B3380" i="1"/>
  <c r="C3380" i="1"/>
  <c r="A5962" i="1"/>
  <c r="B5962" i="1"/>
  <c r="C5962" i="1"/>
  <c r="A3447" i="1"/>
  <c r="B3447" i="1"/>
  <c r="C3447" i="1"/>
  <c r="A6471" i="1"/>
  <c r="B6471" i="1"/>
  <c r="C6471" i="1"/>
  <c r="A2522" i="1"/>
  <c r="B2522" i="1"/>
  <c r="C2522" i="1"/>
  <c r="A9404" i="1"/>
  <c r="B9404" i="1"/>
  <c r="C9404" i="1"/>
  <c r="A8144" i="1"/>
  <c r="B8144" i="1"/>
  <c r="C8144" i="1"/>
  <c r="A1761" i="1"/>
  <c r="B1761" i="1"/>
  <c r="C1761" i="1"/>
  <c r="A6136" i="1"/>
  <c r="B6136" i="1"/>
  <c r="C6136" i="1"/>
  <c r="A4682" i="1"/>
  <c r="B4682" i="1"/>
  <c r="C4682" i="1"/>
  <c r="A10555" i="1"/>
  <c r="B10555" i="1"/>
  <c r="C10555" i="1"/>
  <c r="A10556" i="1"/>
  <c r="B10556" i="1"/>
  <c r="C10556" i="1"/>
  <c r="A964" i="1"/>
  <c r="B964" i="1"/>
  <c r="C964" i="1"/>
  <c r="A965" i="1"/>
  <c r="B965" i="1"/>
  <c r="C965" i="1"/>
  <c r="A5779" i="1"/>
  <c r="B5779" i="1"/>
  <c r="C5779" i="1"/>
  <c r="A3206" i="1"/>
  <c r="B3206" i="1"/>
  <c r="C3206" i="1"/>
  <c r="A2687" i="1"/>
  <c r="B2687" i="1"/>
  <c r="C2687" i="1"/>
  <c r="A2454" i="1"/>
  <c r="B2454" i="1"/>
  <c r="C2454" i="1"/>
  <c r="A12704" i="1"/>
  <c r="B12704" i="1"/>
  <c r="C12704" i="1"/>
  <c r="A12368" i="1"/>
  <c r="B12368" i="1"/>
  <c r="C12368" i="1"/>
  <c r="A9400" i="1"/>
  <c r="B9400" i="1"/>
  <c r="C9400" i="1"/>
  <c r="A9294" i="1"/>
  <c r="B9294" i="1"/>
  <c r="C9294" i="1"/>
  <c r="A4536" i="1"/>
  <c r="B4536" i="1"/>
  <c r="C4536" i="1"/>
  <c r="A11033" i="1"/>
  <c r="B11033" i="1"/>
  <c r="C11033" i="1"/>
  <c r="A13925" i="1"/>
  <c r="B13925" i="1"/>
  <c r="C13925" i="1"/>
  <c r="A1585" i="1"/>
  <c r="B1585" i="1"/>
  <c r="C1585" i="1"/>
  <c r="A3859" i="1"/>
  <c r="B3859" i="1"/>
  <c r="C3859" i="1"/>
  <c r="A9603" i="1"/>
  <c r="B9603" i="1"/>
  <c r="C9603" i="1"/>
  <c r="A11051" i="1"/>
  <c r="B11051" i="1"/>
  <c r="C11051" i="1"/>
  <c r="A13302" i="1"/>
  <c r="B13302" i="1"/>
  <c r="C13302" i="1"/>
  <c r="A3916" i="1"/>
  <c r="B3916" i="1"/>
  <c r="C3916" i="1"/>
  <c r="A4062" i="1"/>
  <c r="B4062" i="1"/>
  <c r="C4062" i="1"/>
  <c r="A157" i="1"/>
  <c r="B157" i="1"/>
  <c r="C157" i="1"/>
  <c r="A2364" i="1"/>
  <c r="B2364" i="1"/>
  <c r="C2364" i="1"/>
  <c r="A927" i="1"/>
  <c r="B927" i="1"/>
  <c r="C927" i="1"/>
  <c r="A562" i="1"/>
  <c r="B562" i="1"/>
  <c r="C562" i="1"/>
  <c r="A13783" i="1"/>
  <c r="B13783" i="1"/>
  <c r="C13783" i="1"/>
  <c r="A13351" i="1"/>
  <c r="B13351" i="1"/>
  <c r="C13351" i="1"/>
  <c r="A9480" i="1"/>
  <c r="B9480" i="1"/>
  <c r="C9480" i="1"/>
  <c r="A12891" i="1"/>
  <c r="B12891" i="1"/>
  <c r="C12891" i="1"/>
  <c r="A10421" i="1"/>
  <c r="B10421" i="1"/>
  <c r="C10421" i="1"/>
  <c r="A10422" i="1"/>
  <c r="B10422" i="1"/>
  <c r="C10422" i="1"/>
  <c r="A3886" i="1"/>
  <c r="B3886" i="1"/>
  <c r="C3886" i="1"/>
  <c r="A3887" i="1"/>
  <c r="B3887" i="1"/>
  <c r="C3887" i="1"/>
  <c r="A9877" i="1"/>
  <c r="B9877" i="1"/>
  <c r="C9877" i="1"/>
  <c r="A13084" i="1"/>
  <c r="B13084" i="1"/>
  <c r="C13084" i="1"/>
  <c r="A13083" i="1"/>
  <c r="B13083" i="1"/>
  <c r="C13083" i="1"/>
  <c r="A2392" i="1"/>
  <c r="B2392" i="1"/>
  <c r="C2392" i="1"/>
  <c r="A8964" i="1"/>
  <c r="B8964" i="1"/>
  <c r="C8964" i="1"/>
  <c r="A9559" i="1"/>
  <c r="B9559" i="1"/>
  <c r="C9559" i="1"/>
  <c r="A1071" i="1"/>
  <c r="B1071" i="1"/>
  <c r="C1071" i="1"/>
  <c r="A10790" i="1"/>
  <c r="B10790" i="1"/>
  <c r="C10790" i="1"/>
  <c r="A3924" i="1"/>
  <c r="B3924" i="1"/>
  <c r="C3924" i="1"/>
  <c r="A3925" i="1"/>
  <c r="B3925" i="1"/>
  <c r="C3925" i="1"/>
  <c r="A4378" i="1"/>
  <c r="B4378" i="1"/>
  <c r="C4378" i="1"/>
  <c r="A9147" i="1"/>
  <c r="B9147" i="1"/>
  <c r="C9147" i="1"/>
  <c r="A2032" i="1"/>
  <c r="B2032" i="1"/>
  <c r="C2032" i="1"/>
  <c r="A13611" i="1"/>
  <c r="B13611" i="1"/>
  <c r="C13611" i="1"/>
  <c r="A10185" i="1"/>
  <c r="B10185" i="1"/>
  <c r="C10185" i="1"/>
  <c r="A202" i="1"/>
  <c r="B202" i="1"/>
  <c r="C202" i="1"/>
  <c r="A13447" i="1"/>
  <c r="B13447" i="1"/>
  <c r="C13447" i="1"/>
  <c r="A13106" i="1"/>
  <c r="B13106" i="1"/>
  <c r="C13106" i="1"/>
  <c r="A10740" i="1"/>
  <c r="B10740" i="1"/>
  <c r="C10740" i="1"/>
  <c r="A3794" i="1"/>
  <c r="B3794" i="1"/>
  <c r="C3794" i="1"/>
  <c r="A7405" i="1"/>
  <c r="B7405" i="1"/>
  <c r="C7405" i="1"/>
  <c r="A1852" i="1"/>
  <c r="B1852" i="1"/>
  <c r="C1852" i="1"/>
  <c r="A12482" i="1"/>
  <c r="B12482" i="1"/>
  <c r="C12482" i="1"/>
  <c r="A10711" i="1"/>
  <c r="B10711" i="1"/>
  <c r="C10711" i="1"/>
  <c r="A9239" i="1"/>
  <c r="B9239" i="1"/>
  <c r="C9239" i="1"/>
  <c r="A4843" i="1"/>
  <c r="B4843" i="1"/>
  <c r="C4843" i="1"/>
  <c r="A5378" i="1"/>
  <c r="B5378" i="1"/>
  <c r="C5378" i="1"/>
  <c r="A9951" i="1"/>
  <c r="B9951" i="1"/>
  <c r="C9951" i="1"/>
  <c r="A3726" i="1"/>
  <c r="B3726" i="1"/>
  <c r="C3726" i="1"/>
  <c r="A3076" i="1"/>
  <c r="B3076" i="1"/>
  <c r="C3076" i="1"/>
  <c r="A12092" i="1"/>
  <c r="B12092" i="1"/>
  <c r="C12092" i="1"/>
  <c r="A4441" i="1"/>
  <c r="B4441" i="1"/>
  <c r="C4441" i="1"/>
  <c r="A9335" i="1"/>
  <c r="B9335" i="1"/>
  <c r="C9335" i="1"/>
  <c r="A93" i="1"/>
  <c r="B93" i="1"/>
  <c r="C93" i="1"/>
  <c r="A11948" i="1"/>
  <c r="B11948" i="1"/>
  <c r="C11948" i="1"/>
  <c r="A6538" i="1"/>
  <c r="B6538" i="1"/>
  <c r="C6538" i="1"/>
  <c r="A11979" i="1"/>
  <c r="B11979" i="1"/>
  <c r="C11979" i="1"/>
  <c r="A5448" i="1"/>
  <c r="B5448" i="1"/>
  <c r="C5448" i="1"/>
  <c r="A8718" i="1"/>
  <c r="B8718" i="1"/>
  <c r="C8718" i="1"/>
  <c r="A5181" i="1"/>
  <c r="B5181" i="1"/>
  <c r="C5181" i="1"/>
  <c r="A1227" i="1"/>
  <c r="B1227" i="1"/>
  <c r="C1227" i="1"/>
  <c r="A10473" i="1"/>
  <c r="B10473" i="1"/>
  <c r="C10473" i="1"/>
  <c r="A3297" i="1"/>
  <c r="B3297" i="1"/>
  <c r="C3297" i="1"/>
  <c r="A13219" i="1"/>
  <c r="B13219" i="1"/>
  <c r="C13219" i="1"/>
  <c r="A1891" i="1"/>
  <c r="B1891" i="1"/>
  <c r="C1891" i="1"/>
  <c r="A10765" i="1"/>
  <c r="B10765" i="1"/>
  <c r="C10765" i="1"/>
  <c r="A12933" i="1"/>
  <c r="B12933" i="1"/>
  <c r="C12933" i="1"/>
  <c r="A1545" i="1"/>
  <c r="B1545" i="1"/>
  <c r="C1545" i="1"/>
  <c r="A3011" i="1"/>
  <c r="B3011" i="1"/>
  <c r="C3011" i="1"/>
  <c r="A7223" i="1"/>
  <c r="B7223" i="1"/>
  <c r="C7223" i="1"/>
  <c r="A9885" i="1"/>
  <c r="B9885" i="1"/>
  <c r="C9885" i="1"/>
  <c r="A11415" i="1"/>
  <c r="B11415" i="1"/>
  <c r="C11415" i="1"/>
  <c r="A4128" i="1"/>
  <c r="B4128" i="1"/>
  <c r="C4128" i="1"/>
  <c r="A12195" i="1"/>
  <c r="B12195" i="1"/>
  <c r="C12195" i="1"/>
  <c r="A5355" i="1"/>
  <c r="B5355" i="1"/>
  <c r="C5355" i="1"/>
  <c r="A5687" i="1"/>
  <c r="B5687" i="1"/>
  <c r="C5687" i="1"/>
  <c r="A3662" i="1"/>
  <c r="B3662" i="1"/>
  <c r="C3662" i="1"/>
  <c r="A48" i="1"/>
  <c r="B48" i="1"/>
  <c r="C48" i="1"/>
  <c r="A11132" i="1"/>
  <c r="B11132" i="1"/>
  <c r="C11132" i="1"/>
  <c r="A10084" i="1"/>
  <c r="B10084" i="1"/>
  <c r="C10084" i="1"/>
  <c r="A11142" i="1"/>
  <c r="B11142" i="1"/>
  <c r="C11142" i="1"/>
  <c r="A5797" i="1"/>
  <c r="B5797" i="1"/>
  <c r="C5797" i="1"/>
  <c r="A9481" i="1"/>
  <c r="B9481" i="1"/>
  <c r="C9481" i="1"/>
  <c r="A8161" i="1"/>
  <c r="B8161" i="1"/>
  <c r="C8161" i="1"/>
  <c r="A11715" i="1"/>
  <c r="B11715" i="1"/>
  <c r="C11715" i="1"/>
  <c r="A10010" i="1"/>
  <c r="B10010" i="1"/>
  <c r="C10010" i="1"/>
  <c r="A73" i="1"/>
  <c r="B73" i="1"/>
  <c r="C73" i="1"/>
  <c r="A1387" i="1"/>
  <c r="B1387" i="1"/>
  <c r="C1387" i="1"/>
  <c r="A8520" i="1"/>
  <c r="B8520" i="1"/>
  <c r="C8520" i="1"/>
  <c r="A1830" i="1"/>
  <c r="B1830" i="1"/>
  <c r="C1830" i="1"/>
  <c r="A4795" i="1"/>
  <c r="B4795" i="1"/>
  <c r="C4795" i="1"/>
  <c r="A2098" i="1"/>
  <c r="B2098" i="1"/>
  <c r="C2098" i="1"/>
  <c r="A11476" i="1"/>
  <c r="B11476" i="1"/>
  <c r="C11476" i="1"/>
  <c r="A130" i="1"/>
  <c r="B130" i="1"/>
  <c r="C130" i="1"/>
  <c r="A12664" i="1"/>
  <c r="B12664" i="1"/>
  <c r="C12664" i="1"/>
  <c r="A6092" i="1"/>
  <c r="B6092" i="1"/>
  <c r="C6092" i="1"/>
  <c r="A11980" i="1"/>
  <c r="B11980" i="1"/>
  <c r="C11980" i="1"/>
  <c r="A9733" i="1"/>
  <c r="B9733" i="1"/>
  <c r="C9733" i="1"/>
  <c r="A9542" i="1"/>
  <c r="B9542" i="1"/>
  <c r="C9542" i="1"/>
  <c r="A11931" i="1"/>
  <c r="B11931" i="1"/>
  <c r="C11931" i="1"/>
  <c r="A6808" i="1"/>
  <c r="B6808" i="1"/>
  <c r="C6808" i="1"/>
  <c r="A7499" i="1"/>
  <c r="B7499" i="1"/>
  <c r="C7499" i="1"/>
  <c r="A6075" i="1"/>
  <c r="B6075" i="1"/>
  <c r="C6075" i="1"/>
  <c r="A4863" i="1"/>
  <c r="B4863" i="1"/>
  <c r="C4863" i="1"/>
  <c r="A6435" i="1"/>
  <c r="B6435" i="1"/>
  <c r="C6435" i="1"/>
  <c r="A13888" i="1"/>
  <c r="B13888" i="1"/>
  <c r="C13888" i="1"/>
  <c r="A8083" i="1"/>
  <c r="B8083" i="1"/>
  <c r="C8083" i="1"/>
  <c r="A11169" i="1"/>
  <c r="B11169" i="1"/>
  <c r="C11169" i="1"/>
  <c r="A10345" i="1"/>
  <c r="B10345" i="1"/>
  <c r="C10345" i="1"/>
  <c r="A4161" i="1"/>
  <c r="B4161" i="1"/>
  <c r="C4161" i="1"/>
  <c r="A4969" i="1"/>
  <c r="B4969" i="1"/>
  <c r="C4969" i="1"/>
  <c r="A8695" i="1"/>
  <c r="B8695" i="1"/>
  <c r="C8695" i="1"/>
  <c r="A6118" i="1"/>
  <c r="B6118" i="1"/>
  <c r="C6118" i="1"/>
  <c r="A13026" i="1"/>
  <c r="B13026" i="1"/>
  <c r="C13026" i="1"/>
  <c r="A9697" i="1"/>
  <c r="B9697" i="1"/>
  <c r="C9697" i="1"/>
  <c r="A5704" i="1"/>
  <c r="B5704" i="1"/>
  <c r="C5704" i="1"/>
  <c r="A7448" i="1"/>
  <c r="B7448" i="1"/>
  <c r="C7448" i="1"/>
  <c r="A966" i="1"/>
  <c r="B966" i="1"/>
  <c r="C966" i="1"/>
  <c r="A9583" i="1"/>
  <c r="B9583" i="1"/>
  <c r="C9583" i="1"/>
  <c r="A10355" i="1"/>
  <c r="B10355" i="1"/>
  <c r="C10355" i="1"/>
  <c r="A5125" i="1"/>
  <c r="B5125" i="1"/>
  <c r="C5125" i="1"/>
  <c r="A642" i="1"/>
  <c r="B642" i="1"/>
  <c r="C642" i="1"/>
  <c r="A3683" i="1"/>
  <c r="B3683" i="1"/>
  <c r="C3683" i="1"/>
  <c r="A9692" i="1"/>
  <c r="B9692" i="1"/>
  <c r="C9692" i="1"/>
  <c r="A10001" i="1"/>
  <c r="B10001" i="1"/>
  <c r="C10001" i="1"/>
  <c r="A4248" i="1"/>
  <c r="B4248" i="1"/>
  <c r="C4248" i="1"/>
  <c r="A11350" i="1"/>
  <c r="B11350" i="1"/>
  <c r="C11350" i="1"/>
  <c r="A625" i="1"/>
  <c r="B625" i="1"/>
  <c r="C625" i="1"/>
  <c r="A7683" i="1"/>
  <c r="B7683" i="1"/>
  <c r="C7683" i="1"/>
  <c r="A7731" i="1"/>
  <c r="B7731" i="1"/>
  <c r="C7731" i="1"/>
  <c r="A7684" i="1"/>
  <c r="B7684" i="1"/>
  <c r="C7684" i="1"/>
  <c r="A13637" i="1"/>
  <c r="B13637" i="1"/>
  <c r="C13637" i="1"/>
  <c r="A13674" i="1"/>
  <c r="B13674" i="1"/>
  <c r="C13674" i="1"/>
  <c r="A3405" i="1"/>
  <c r="B3405" i="1"/>
  <c r="C3405" i="1"/>
  <c r="A1155" i="1"/>
  <c r="B1155" i="1"/>
  <c r="C1155" i="1"/>
  <c r="A12959" i="1"/>
  <c r="B12959" i="1"/>
  <c r="C12959" i="1"/>
  <c r="A13774" i="1"/>
  <c r="B13774" i="1"/>
  <c r="C13774" i="1"/>
  <c r="A10862" i="1"/>
  <c r="B10862" i="1"/>
  <c r="C10862" i="1"/>
  <c r="A1546" i="1"/>
  <c r="B1546" i="1"/>
  <c r="C1546" i="1"/>
  <c r="A12968" i="1"/>
  <c r="B12968" i="1"/>
  <c r="C12968" i="1"/>
  <c r="A12101" i="1"/>
  <c r="B12101" i="1"/>
  <c r="C12101" i="1"/>
  <c r="A493" i="1"/>
  <c r="B493" i="1"/>
  <c r="C493" i="1"/>
  <c r="A3553" i="1"/>
  <c r="B3553" i="1"/>
  <c r="C3553" i="1"/>
  <c r="A1972" i="1"/>
  <c r="B1972" i="1"/>
  <c r="C1972" i="1"/>
  <c r="A8316" i="1"/>
  <c r="B8316" i="1"/>
  <c r="C8316" i="1"/>
  <c r="A13295" i="1"/>
  <c r="B13295" i="1"/>
  <c r="C13295" i="1"/>
  <c r="A7257" i="1"/>
  <c r="B7257" i="1"/>
  <c r="C7257" i="1"/>
  <c r="A5436" i="1"/>
  <c r="B5436" i="1"/>
  <c r="C5436" i="1"/>
  <c r="A5868" i="1"/>
  <c r="B5868" i="1"/>
  <c r="C5868" i="1"/>
  <c r="A10649" i="1"/>
  <c r="B10649" i="1"/>
  <c r="C10649" i="1"/>
  <c r="A13751" i="1"/>
  <c r="B13751" i="1"/>
  <c r="C13751" i="1"/>
  <c r="A13937" i="1"/>
  <c r="B13937" i="1"/>
  <c r="C13937" i="1"/>
  <c r="A9573" i="1"/>
  <c r="B9573" i="1"/>
  <c r="C9573" i="1"/>
  <c r="A8757" i="1"/>
  <c r="B8757" i="1"/>
  <c r="C8757" i="1"/>
  <c r="A1304" i="1"/>
  <c r="B1304" i="1"/>
  <c r="C1304" i="1"/>
  <c r="A13045" i="1"/>
  <c r="B13045" i="1"/>
  <c r="C13045" i="1"/>
  <c r="A7584" i="1"/>
  <c r="B7584" i="1"/>
  <c r="C7584" i="1"/>
  <c r="A11769" i="1"/>
  <c r="B11769" i="1"/>
  <c r="C11769" i="1"/>
  <c r="A8045" i="1"/>
  <c r="B8045" i="1"/>
  <c r="C8045" i="1"/>
  <c r="A9545" i="1"/>
  <c r="B9545" i="1"/>
  <c r="C9545" i="1"/>
  <c r="A3971" i="1"/>
  <c r="B3971" i="1"/>
  <c r="C3971" i="1"/>
  <c r="A1436" i="1"/>
  <c r="B1436" i="1"/>
  <c r="C1436" i="1"/>
  <c r="A4831" i="1"/>
  <c r="B4831" i="1"/>
  <c r="C4831" i="1"/>
  <c r="A9380" i="1"/>
  <c r="B9380" i="1"/>
  <c r="C9380" i="1"/>
  <c r="A441" i="1"/>
  <c r="B441" i="1"/>
  <c r="C441" i="1"/>
  <c r="A7530" i="1"/>
  <c r="B7530" i="1"/>
  <c r="C7530" i="1"/>
  <c r="A11981" i="1"/>
  <c r="B11981" i="1"/>
  <c r="C11981" i="1"/>
  <c r="A8809" i="1"/>
  <c r="B8809" i="1"/>
  <c r="C8809" i="1"/>
  <c r="A3712" i="1"/>
  <c r="B3712" i="1"/>
  <c r="C3712" i="1"/>
  <c r="A2040" i="1"/>
  <c r="B2040" i="1"/>
  <c r="C2040" i="1"/>
  <c r="A3710" i="1"/>
  <c r="B3710" i="1"/>
  <c r="C3710" i="1"/>
  <c r="A11530" i="1"/>
  <c r="B11530" i="1"/>
  <c r="C11530" i="1"/>
  <c r="A1072" i="1"/>
  <c r="B1072" i="1"/>
  <c r="C1072" i="1"/>
  <c r="A2064" i="1"/>
  <c r="B2064" i="1"/>
  <c r="C2064" i="1"/>
  <c r="A8395" i="1"/>
  <c r="B8395" i="1"/>
  <c r="C8395" i="1"/>
  <c r="A4931" i="1"/>
  <c r="B4931" i="1"/>
  <c r="C4931" i="1"/>
  <c r="A795" i="1"/>
  <c r="B795" i="1"/>
  <c r="C795" i="1"/>
  <c r="A7704" i="1"/>
  <c r="B7704" i="1"/>
  <c r="C7704" i="1"/>
  <c r="A9482" i="1"/>
  <c r="B9482" i="1"/>
  <c r="C9482" i="1"/>
  <c r="A10206" i="1"/>
  <c r="B10206" i="1"/>
  <c r="C10206" i="1"/>
  <c r="A12665" i="1"/>
  <c r="B12665" i="1"/>
  <c r="C12665" i="1"/>
  <c r="A8065" i="1"/>
  <c r="B8065" i="1"/>
  <c r="C8065" i="1"/>
  <c r="A102" i="1"/>
  <c r="B102" i="1"/>
  <c r="C102" i="1"/>
  <c r="A847" i="1"/>
  <c r="B847" i="1"/>
  <c r="C847" i="1"/>
  <c r="A2749" i="1"/>
  <c r="B2749" i="1"/>
  <c r="C2749" i="1"/>
  <c r="A5414" i="1"/>
  <c r="B5414" i="1"/>
  <c r="C5414" i="1"/>
  <c r="A9228" i="1"/>
  <c r="B9228" i="1"/>
  <c r="C9228" i="1"/>
  <c r="A10018" i="1"/>
  <c r="B10018" i="1"/>
  <c r="C10018" i="1"/>
  <c r="A5536" i="1"/>
  <c r="B5536" i="1"/>
  <c r="C5536" i="1"/>
  <c r="A6142" i="1"/>
  <c r="B6142" i="1"/>
  <c r="C6142" i="1"/>
  <c r="A7886" i="1"/>
  <c r="B7886" i="1"/>
  <c r="C7886" i="1"/>
  <c r="A8776" i="1"/>
  <c r="B8776" i="1"/>
  <c r="C8776" i="1"/>
  <c r="A11754" i="1"/>
  <c r="B11754" i="1"/>
  <c r="C11754" i="1"/>
  <c r="A7887" i="1"/>
  <c r="B7887" i="1"/>
  <c r="C7887" i="1"/>
  <c r="A10454" i="1"/>
  <c r="B10454" i="1"/>
  <c r="C10454" i="1"/>
  <c r="A9930" i="1"/>
  <c r="B9930" i="1"/>
  <c r="C9930" i="1"/>
  <c r="A5930" i="1"/>
  <c r="B5930" i="1"/>
  <c r="C5930" i="1"/>
  <c r="A12666" i="1"/>
  <c r="B12666" i="1"/>
  <c r="C12666" i="1"/>
  <c r="A13802" i="1"/>
  <c r="B13802" i="1"/>
  <c r="C13802" i="1"/>
  <c r="A8501" i="1"/>
  <c r="B8501" i="1"/>
  <c r="C8501" i="1"/>
  <c r="A2726" i="1"/>
  <c r="B2726" i="1"/>
  <c r="C2726" i="1"/>
  <c r="A8777" i="1"/>
  <c r="B8777" i="1"/>
  <c r="C8777" i="1"/>
  <c r="A6348" i="1"/>
  <c r="B6348" i="1"/>
  <c r="C6348" i="1"/>
  <c r="A6158" i="1"/>
  <c r="B6158" i="1"/>
  <c r="C6158" i="1"/>
  <c r="A6541" i="1"/>
  <c r="B6541" i="1"/>
  <c r="C6541" i="1"/>
  <c r="A7949" i="1"/>
  <c r="B7949" i="1"/>
  <c r="C7949" i="1"/>
  <c r="A7168" i="1"/>
  <c r="B7168" i="1"/>
  <c r="C7168" i="1"/>
  <c r="A9211" i="1"/>
  <c r="B9211" i="1"/>
  <c r="C9211" i="1"/>
  <c r="A11594" i="1"/>
  <c r="B11594" i="1"/>
  <c r="C11594" i="1"/>
  <c r="A12238" i="1"/>
  <c r="B12238" i="1"/>
  <c r="C12238" i="1"/>
  <c r="A5287" i="1"/>
  <c r="B5287" i="1"/>
  <c r="C5287" i="1"/>
  <c r="A12667" i="1"/>
  <c r="B12667" i="1"/>
  <c r="C12667" i="1"/>
  <c r="A36" i="1"/>
  <c r="B36" i="1"/>
  <c r="C36" i="1"/>
  <c r="A7318" i="1"/>
  <c r="B7318" i="1"/>
  <c r="C7318" i="1"/>
  <c r="A12818" i="1"/>
  <c r="B12818" i="1"/>
  <c r="C12818" i="1"/>
  <c r="A10766" i="1"/>
  <c r="B10766" i="1"/>
  <c r="C10766" i="1"/>
  <c r="A9183" i="1"/>
  <c r="B9183" i="1"/>
  <c r="C9183" i="1"/>
  <c r="A11287" i="1"/>
  <c r="B11287" i="1"/>
  <c r="C11287" i="1"/>
  <c r="A10297" i="1"/>
  <c r="B10297" i="1"/>
  <c r="C10297" i="1"/>
  <c r="A12636" i="1"/>
  <c r="B12636" i="1"/>
  <c r="C12636" i="1"/>
  <c r="A12315" i="1"/>
  <c r="B12315" i="1"/>
  <c r="C12315" i="1"/>
  <c r="A3991" i="1"/>
  <c r="B3991" i="1"/>
  <c r="C3991" i="1"/>
  <c r="A2688" i="1"/>
  <c r="B2688" i="1"/>
  <c r="C2688" i="1"/>
  <c r="A9851" i="1"/>
  <c r="B9851" i="1"/>
  <c r="C9851" i="1"/>
  <c r="A4899" i="1"/>
  <c r="B4899" i="1"/>
  <c r="C4899" i="1"/>
  <c r="A4129" i="1"/>
  <c r="B4129" i="1"/>
  <c r="C4129" i="1"/>
  <c r="A13853" i="1"/>
  <c r="B13853" i="1"/>
  <c r="C13853" i="1"/>
  <c r="A8948" i="1"/>
  <c r="B8948" i="1"/>
  <c r="C8948" i="1"/>
  <c r="A4130" i="1"/>
  <c r="B4130" i="1"/>
  <c r="C4130" i="1"/>
  <c r="A2137" i="1"/>
  <c r="B2137" i="1"/>
  <c r="C2137" i="1"/>
  <c r="A1397" i="1"/>
  <c r="B1397" i="1"/>
  <c r="C1397" i="1"/>
  <c r="A2054" i="1"/>
  <c r="B2054" i="1"/>
  <c r="C2054" i="1"/>
  <c r="A7984" i="1"/>
  <c r="B7984" i="1"/>
  <c r="C7984" i="1"/>
  <c r="A7500" i="1"/>
  <c r="B7500" i="1"/>
  <c r="C7500" i="1"/>
  <c r="A7121" i="1"/>
  <c r="B7121" i="1"/>
  <c r="C7121" i="1"/>
  <c r="A9372" i="1"/>
  <c r="B9372" i="1"/>
  <c r="C9372" i="1"/>
  <c r="A7368" i="1"/>
  <c r="B7368" i="1"/>
  <c r="C7368" i="1"/>
  <c r="A11720" i="1"/>
  <c r="B11720" i="1"/>
  <c r="C11720" i="1"/>
  <c r="A12436" i="1"/>
  <c r="B12436" i="1"/>
  <c r="C12436" i="1"/>
  <c r="A2883" i="1"/>
  <c r="B2883" i="1"/>
  <c r="C2883" i="1"/>
  <c r="A8190" i="1"/>
  <c r="B8190" i="1"/>
  <c r="C8190" i="1"/>
  <c r="A2266" i="1"/>
  <c r="B2266" i="1"/>
  <c r="C2266" i="1"/>
  <c r="A6885" i="1"/>
  <c r="B6885" i="1"/>
  <c r="C6885" i="1"/>
  <c r="A7924" i="1"/>
  <c r="B7924" i="1"/>
  <c r="C7924" i="1"/>
  <c r="A5462" i="1"/>
  <c r="B5462" i="1"/>
  <c r="C5462" i="1"/>
  <c r="A13452" i="1"/>
  <c r="B13452" i="1"/>
  <c r="C13452" i="1"/>
  <c r="A12576" i="1"/>
  <c r="B12576" i="1"/>
  <c r="C12576" i="1"/>
  <c r="A12918" i="1"/>
  <c r="B12918" i="1"/>
  <c r="C12918" i="1"/>
  <c r="A23" i="1"/>
  <c r="B23" i="1"/>
  <c r="C23" i="1"/>
  <c r="A24" i="1"/>
  <c r="B24" i="1"/>
  <c r="C24" i="1"/>
  <c r="A25" i="1"/>
  <c r="B25" i="1"/>
  <c r="C25" i="1"/>
  <c r="A26" i="1"/>
  <c r="B26" i="1"/>
  <c r="C26" i="1"/>
  <c r="A27" i="1"/>
  <c r="B27" i="1"/>
  <c r="C27" i="1"/>
  <c r="A3976" i="1"/>
  <c r="B3976" i="1"/>
  <c r="C3976" i="1"/>
  <c r="A2955" i="1"/>
  <c r="B2955" i="1"/>
  <c r="C2955" i="1"/>
  <c r="A10339" i="1"/>
  <c r="B10339" i="1"/>
  <c r="C10339" i="1"/>
  <c r="A8293" i="1"/>
  <c r="B8293" i="1"/>
  <c r="C8293" i="1"/>
  <c r="A11366" i="1"/>
  <c r="B11366" i="1"/>
  <c r="C11366" i="1"/>
  <c r="A1133" i="1"/>
  <c r="B1133" i="1"/>
  <c r="C1133" i="1"/>
  <c r="A9579" i="1"/>
  <c r="B9579" i="1"/>
  <c r="C9579" i="1"/>
  <c r="A1073" i="1"/>
  <c r="B1073" i="1"/>
  <c r="C1073" i="1"/>
  <c r="A11982" i="1"/>
  <c r="B11982" i="1"/>
  <c r="C11982" i="1"/>
  <c r="A5334" i="1"/>
  <c r="B5334" i="1"/>
  <c r="C5334" i="1"/>
  <c r="A6135" i="1"/>
  <c r="B6135" i="1"/>
  <c r="C6135" i="1"/>
  <c r="A2055" i="1"/>
  <c r="B2055" i="1"/>
  <c r="C2055" i="1"/>
  <c r="A2056" i="1"/>
  <c r="B2056" i="1"/>
  <c r="C2056" i="1"/>
  <c r="A1780" i="1"/>
  <c r="B1780" i="1"/>
  <c r="C1780" i="1"/>
  <c r="A12328" i="1"/>
  <c r="B12328" i="1"/>
  <c r="C12328" i="1"/>
  <c r="A12329" i="1"/>
  <c r="B12329" i="1"/>
  <c r="C12329" i="1"/>
  <c r="A12330" i="1"/>
  <c r="B12330" i="1"/>
  <c r="C12330" i="1"/>
  <c r="A6554" i="1"/>
  <c r="B6554" i="1"/>
  <c r="C6554" i="1"/>
  <c r="A7881" i="1"/>
  <c r="B7881" i="1"/>
  <c r="C7881" i="1"/>
  <c r="A9097" i="1"/>
  <c r="B9097" i="1"/>
  <c r="C9097" i="1"/>
  <c r="A131" i="1"/>
  <c r="B131" i="1"/>
  <c r="C131" i="1"/>
  <c r="A12221" i="1"/>
  <c r="B12221" i="1"/>
  <c r="C12221" i="1"/>
  <c r="A6539" i="1"/>
  <c r="B6539" i="1"/>
  <c r="C6539" i="1"/>
  <c r="A11088" i="1"/>
  <c r="B11088" i="1"/>
  <c r="C11088" i="1"/>
  <c r="A5959" i="1"/>
  <c r="B5959" i="1"/>
  <c r="C5959" i="1"/>
  <c r="A12394" i="1"/>
  <c r="B12394" i="1"/>
  <c r="C12394" i="1"/>
  <c r="A4877" i="1"/>
  <c r="B4877" i="1"/>
  <c r="C4877" i="1"/>
  <c r="A7040" i="1"/>
  <c r="B7040" i="1"/>
  <c r="C7040" i="1"/>
  <c r="A2419" i="1"/>
  <c r="B2419" i="1"/>
  <c r="C2419" i="1"/>
  <c r="A3475" i="1"/>
  <c r="B3475" i="1"/>
  <c r="C3475" i="1"/>
  <c r="A11935" i="1"/>
  <c r="B11935" i="1"/>
  <c r="C11935" i="1"/>
  <c r="A8440" i="1"/>
  <c r="B8440" i="1"/>
  <c r="C8440" i="1"/>
  <c r="A8441" i="1"/>
  <c r="B8441" i="1"/>
  <c r="C8441" i="1"/>
  <c r="A8442" i="1"/>
  <c r="B8442" i="1"/>
  <c r="C8442" i="1"/>
  <c r="A8443" i="1"/>
  <c r="B8443" i="1"/>
  <c r="C8443" i="1"/>
  <c r="A8444" i="1"/>
  <c r="B8444" i="1"/>
  <c r="C8444" i="1"/>
  <c r="A8445" i="1"/>
  <c r="B8445" i="1"/>
  <c r="C8445" i="1"/>
  <c r="A8446" i="1"/>
  <c r="B8446" i="1"/>
  <c r="C8446" i="1"/>
  <c r="A8447" i="1"/>
  <c r="B8447" i="1"/>
  <c r="C8447" i="1"/>
  <c r="A8448" i="1"/>
  <c r="B8448" i="1"/>
  <c r="C8448" i="1"/>
  <c r="A8449" i="1"/>
  <c r="B8449" i="1"/>
  <c r="C8449" i="1"/>
  <c r="A8450" i="1"/>
  <c r="B8450" i="1"/>
  <c r="C8450" i="1"/>
  <c r="A8451" i="1"/>
  <c r="B8451" i="1"/>
  <c r="C8451" i="1"/>
  <c r="A7047" i="1"/>
  <c r="B7047" i="1"/>
  <c r="C7047" i="1"/>
  <c r="A7640" i="1"/>
  <c r="B7640" i="1"/>
  <c r="C7640" i="1"/>
  <c r="A7641" i="1"/>
  <c r="B7641" i="1"/>
  <c r="C7641" i="1"/>
  <c r="A2807" i="1"/>
  <c r="B2807" i="1"/>
  <c r="C2807" i="1"/>
  <c r="A4537" i="1"/>
  <c r="B4537" i="1"/>
  <c r="C4537" i="1"/>
  <c r="A4538" i="1"/>
  <c r="B4538" i="1"/>
  <c r="C4538" i="1"/>
  <c r="A2625" i="1"/>
  <c r="B2625" i="1"/>
  <c r="C2625" i="1"/>
  <c r="A12327" i="1"/>
  <c r="B12327" i="1"/>
  <c r="C12327" i="1"/>
  <c r="A13575" i="1"/>
  <c r="B13575" i="1"/>
  <c r="C13575" i="1"/>
  <c r="A11244" i="1"/>
  <c r="B11244" i="1"/>
  <c r="C11244" i="1"/>
  <c r="A19" i="1"/>
  <c r="B19" i="1"/>
  <c r="C19" i="1"/>
  <c r="A2689" i="1"/>
  <c r="B2689" i="1"/>
  <c r="C2689" i="1"/>
  <c r="A8810" i="1"/>
  <c r="B8810" i="1"/>
  <c r="C8810" i="1"/>
  <c r="A7501" i="1"/>
  <c r="B7501" i="1"/>
  <c r="C7501" i="1"/>
  <c r="A4633" i="1"/>
  <c r="B4633" i="1"/>
  <c r="C4633" i="1"/>
  <c r="A4634" i="1"/>
  <c r="B4634" i="1"/>
  <c r="C4634" i="1"/>
  <c r="A4635" i="1"/>
  <c r="B4635" i="1"/>
  <c r="C4635" i="1"/>
  <c r="A4636" i="1"/>
  <c r="B4636" i="1"/>
  <c r="C4636" i="1"/>
  <c r="A4637" i="1"/>
  <c r="B4637" i="1"/>
  <c r="C4637" i="1"/>
  <c r="A4884" i="1"/>
  <c r="B4884" i="1"/>
  <c r="C4884" i="1"/>
  <c r="A8662" i="1"/>
  <c r="B8662" i="1"/>
  <c r="C8662" i="1"/>
  <c r="A3443" i="1"/>
  <c r="B3443" i="1"/>
  <c r="C3443" i="1"/>
  <c r="A8689" i="1"/>
  <c r="B8689" i="1"/>
  <c r="C8689" i="1"/>
  <c r="A9509" i="1"/>
  <c r="B9509" i="1"/>
  <c r="C9509" i="1"/>
  <c r="A7110" i="1"/>
  <c r="B7110" i="1"/>
  <c r="C7110" i="1"/>
  <c r="A9261" i="1"/>
  <c r="B9261" i="1"/>
  <c r="C9261" i="1"/>
  <c r="A7211" i="1"/>
  <c r="B7211" i="1"/>
  <c r="C7211" i="1"/>
  <c r="A8292" i="1"/>
  <c r="B8292" i="1"/>
  <c r="C8292" i="1"/>
  <c r="A9430" i="1"/>
  <c r="B9430" i="1"/>
  <c r="C9430" i="1"/>
  <c r="A11582" i="1"/>
  <c r="B11582" i="1"/>
  <c r="C11582" i="1"/>
  <c r="A11257" i="1"/>
  <c r="B11257" i="1"/>
  <c r="C11257" i="1"/>
  <c r="A3891" i="1"/>
  <c r="B3891" i="1"/>
  <c r="C3891" i="1"/>
  <c r="A13718" i="1"/>
  <c r="B13718" i="1"/>
  <c r="C13718" i="1"/>
  <c r="A9468" i="1"/>
  <c r="B9468" i="1"/>
  <c r="C9468" i="1"/>
  <c r="A2048" i="1"/>
  <c r="B2048" i="1"/>
  <c r="C2048" i="1"/>
  <c r="A3156" i="1"/>
  <c r="B3156" i="1"/>
  <c r="C3156" i="1"/>
  <c r="A11983" i="1"/>
  <c r="B11983" i="1"/>
  <c r="C11983" i="1"/>
  <c r="A6166" i="1"/>
  <c r="B6166" i="1"/>
  <c r="C6166" i="1"/>
  <c r="A425" i="1"/>
  <c r="B425" i="1"/>
  <c r="C425" i="1"/>
  <c r="A12415" i="1"/>
  <c r="B12415" i="1"/>
  <c r="C12415" i="1"/>
  <c r="A8128" i="1"/>
  <c r="B8128" i="1"/>
  <c r="C8128" i="1"/>
  <c r="A7502" i="1"/>
  <c r="B7502" i="1"/>
  <c r="C7502" i="1"/>
  <c r="A1388" i="1"/>
  <c r="B1388" i="1"/>
  <c r="C1388" i="1"/>
  <c r="A10032" i="1"/>
  <c r="B10032" i="1"/>
  <c r="C10032" i="1"/>
  <c r="A5120" i="1"/>
  <c r="B5120" i="1"/>
  <c r="C5120" i="1"/>
  <c r="A8664" i="1"/>
  <c r="B8664" i="1"/>
  <c r="C8664" i="1"/>
  <c r="A4848" i="1"/>
  <c r="B4848" i="1"/>
  <c r="C4848" i="1"/>
  <c r="A5816" i="1"/>
  <c r="B5816" i="1"/>
  <c r="C5816" i="1"/>
  <c r="A3508" i="1"/>
  <c r="B3508" i="1"/>
  <c r="C3508" i="1"/>
  <c r="A7226" i="1"/>
  <c r="B7226" i="1"/>
  <c r="C7226" i="1"/>
  <c r="A7201" i="1"/>
  <c r="B7201" i="1"/>
  <c r="C7201" i="1"/>
  <c r="A11368" i="1"/>
  <c r="B11368" i="1"/>
  <c r="C11368" i="1"/>
  <c r="A5167" i="1"/>
  <c r="B5167" i="1"/>
  <c r="C5167" i="1"/>
  <c r="A3978" i="1"/>
  <c r="B3978" i="1"/>
  <c r="C3978" i="1"/>
  <c r="A502" i="1"/>
  <c r="B502" i="1"/>
  <c r="C502" i="1"/>
  <c r="A640" i="1"/>
  <c r="B640" i="1"/>
  <c r="C640" i="1"/>
  <c r="A11388" i="1"/>
  <c r="B11388" i="1"/>
  <c r="C11388" i="1"/>
  <c r="A8072" i="1"/>
  <c r="B8072" i="1"/>
  <c r="C8072" i="1"/>
  <c r="A8113" i="1"/>
  <c r="B8113" i="1"/>
  <c r="C8113" i="1"/>
  <c r="A13342" i="1"/>
  <c r="B13342" i="1"/>
  <c r="C13342" i="1"/>
  <c r="A5579" i="1"/>
  <c r="B5579" i="1"/>
  <c r="C5579" i="1"/>
  <c r="A10303" i="1"/>
  <c r="B10303" i="1"/>
  <c r="C10303" i="1"/>
  <c r="A5166" i="1"/>
  <c r="B5166" i="1"/>
  <c r="C5166" i="1"/>
  <c r="A6084" i="1"/>
  <c r="B6084" i="1"/>
  <c r="C6084" i="1"/>
  <c r="A3256" i="1"/>
  <c r="B3256" i="1"/>
  <c r="C3256" i="1"/>
  <c r="A10573" i="1"/>
  <c r="B10573" i="1"/>
  <c r="C10573" i="1"/>
  <c r="A13222" i="1"/>
  <c r="B13222" i="1"/>
  <c r="C13222" i="1"/>
  <c r="A3513" i="1"/>
  <c r="B3513" i="1"/>
  <c r="C3513" i="1"/>
  <c r="A5459" i="1"/>
  <c r="B5459" i="1"/>
  <c r="C5459" i="1"/>
  <c r="A9398" i="1"/>
  <c r="B9398" i="1"/>
  <c r="C9398" i="1"/>
  <c r="A13130" i="1"/>
  <c r="B13130" i="1"/>
  <c r="C13130" i="1"/>
  <c r="A10922" i="1"/>
  <c r="B10922" i="1"/>
  <c r="C10922" i="1"/>
  <c r="A12631" i="1"/>
  <c r="B12631" i="1"/>
  <c r="C12631" i="1"/>
  <c r="A13854" i="1"/>
  <c r="B13854" i="1"/>
  <c r="C13854" i="1"/>
  <c r="A757" i="1"/>
  <c r="B757" i="1"/>
  <c r="C757" i="1"/>
  <c r="A12863" i="1"/>
  <c r="B12863" i="1"/>
  <c r="C12863" i="1"/>
  <c r="A260" i="1"/>
  <c r="B260" i="1"/>
  <c r="C260" i="1"/>
  <c r="A2673" i="1"/>
  <c r="B2673" i="1"/>
  <c r="C2673" i="1"/>
  <c r="A9189" i="1"/>
  <c r="B9189" i="1"/>
  <c r="C9189" i="1"/>
  <c r="A1196" i="1"/>
  <c r="B1196" i="1"/>
  <c r="C1196" i="1"/>
  <c r="A3669" i="1"/>
  <c r="B3669" i="1"/>
  <c r="C3669" i="1"/>
  <c r="A10945" i="1"/>
  <c r="B10945" i="1"/>
  <c r="C10945" i="1"/>
  <c r="A13398" i="1"/>
  <c r="B13398" i="1"/>
  <c r="C13398" i="1"/>
  <c r="A7340" i="1"/>
  <c r="B7340" i="1"/>
  <c r="C7340" i="1"/>
  <c r="A7969" i="1"/>
  <c r="B7969" i="1"/>
  <c r="C7969" i="1"/>
  <c r="A1469" i="1"/>
  <c r="B1469" i="1"/>
  <c r="C1469" i="1"/>
  <c r="A5815" i="1"/>
  <c r="B5815" i="1"/>
  <c r="C5815" i="1"/>
  <c r="A8459" i="1"/>
  <c r="B8459" i="1"/>
  <c r="C8459" i="1"/>
  <c r="A7595" i="1"/>
  <c r="B7595" i="1"/>
  <c r="C7595" i="1"/>
  <c r="A12826" i="1"/>
  <c r="B12826" i="1"/>
  <c r="C12826" i="1"/>
  <c r="A1367" i="1"/>
  <c r="B1367" i="1"/>
  <c r="C1367" i="1"/>
  <c r="A1148" i="1"/>
  <c r="B1148" i="1"/>
  <c r="C1148" i="1"/>
  <c r="A3096" i="1"/>
  <c r="B3096" i="1"/>
  <c r="C3096" i="1"/>
  <c r="A275" i="1"/>
  <c r="B275" i="1"/>
  <c r="C275" i="1"/>
  <c r="A830" i="1"/>
  <c r="B830" i="1"/>
  <c r="C830" i="1"/>
  <c r="A276" i="1"/>
  <c r="B276" i="1"/>
  <c r="C276" i="1"/>
  <c r="A300" i="1"/>
  <c r="B300" i="1"/>
  <c r="C300" i="1"/>
  <c r="A4175" i="1"/>
  <c r="B4175" i="1"/>
  <c r="C4175" i="1"/>
  <c r="A12844" i="1"/>
  <c r="B12844" i="1"/>
  <c r="C12844" i="1"/>
  <c r="A4288" i="1"/>
  <c r="B4288" i="1"/>
  <c r="C4288" i="1"/>
  <c r="A10605" i="1"/>
  <c r="B10605" i="1"/>
  <c r="C10605" i="1"/>
  <c r="A4131" i="1"/>
  <c r="B4131" i="1"/>
  <c r="C4131" i="1"/>
  <c r="A6127" i="1"/>
  <c r="B6127" i="1"/>
  <c r="C6127" i="1"/>
  <c r="A2462" i="1"/>
  <c r="B2462" i="1"/>
  <c r="C2462" i="1"/>
  <c r="A6974" i="1"/>
  <c r="B6974" i="1"/>
  <c r="C6974" i="1"/>
  <c r="A3972" i="1"/>
  <c r="B3972" i="1"/>
  <c r="C3972" i="1"/>
  <c r="A11143" i="1"/>
  <c r="B11143" i="1"/>
  <c r="C11143" i="1"/>
  <c r="A8244" i="1"/>
  <c r="B8244" i="1"/>
  <c r="C8244" i="1"/>
  <c r="A756" i="1"/>
  <c r="B756" i="1"/>
  <c r="C756" i="1"/>
  <c r="A9701" i="1"/>
  <c r="B9701" i="1"/>
  <c r="C9701" i="1"/>
  <c r="A2243" i="1"/>
  <c r="B2243" i="1"/>
  <c r="C2243" i="1"/>
  <c r="A6756" i="1"/>
  <c r="B6756" i="1"/>
  <c r="C6756" i="1"/>
  <c r="A8581" i="1"/>
  <c r="B8581" i="1"/>
  <c r="C8581" i="1"/>
  <c r="A7685" i="1"/>
  <c r="B7685" i="1"/>
  <c r="C7685" i="1"/>
  <c r="A1622" i="1"/>
  <c r="B1622" i="1"/>
  <c r="C1622" i="1"/>
  <c r="A11984" i="1"/>
  <c r="B11984" i="1"/>
  <c r="C11984" i="1"/>
  <c r="A6543" i="1"/>
  <c r="B6543" i="1"/>
  <c r="C6543" i="1"/>
  <c r="A12668" i="1"/>
  <c r="B12668" i="1"/>
  <c r="C12668" i="1"/>
  <c r="A13444" i="1"/>
  <c r="B13444" i="1"/>
  <c r="C13444" i="1"/>
  <c r="A11894" i="1"/>
  <c r="B11894" i="1"/>
  <c r="C11894" i="1"/>
  <c r="A5231" i="1"/>
  <c r="B5231" i="1"/>
  <c r="C5231" i="1"/>
  <c r="A6129" i="1"/>
  <c r="B6129" i="1"/>
  <c r="C6129" i="1"/>
  <c r="A12207" i="1"/>
  <c r="B12207" i="1"/>
  <c r="C12207" i="1"/>
  <c r="A127" i="1"/>
  <c r="B127" i="1"/>
  <c r="C127" i="1"/>
  <c r="A13209" i="1"/>
  <c r="B13209" i="1"/>
  <c r="C13209" i="1"/>
  <c r="A9752" i="1"/>
  <c r="B9752" i="1"/>
  <c r="C9752" i="1"/>
  <c r="A2513" i="1"/>
  <c r="B2513" i="1"/>
  <c r="C2513" i="1"/>
  <c r="A5396" i="1"/>
  <c r="B5396" i="1"/>
  <c r="C5396" i="1"/>
  <c r="A5111" i="1"/>
  <c r="B5111" i="1"/>
  <c r="C5111" i="1"/>
  <c r="A3350" i="1"/>
  <c r="B3350" i="1"/>
  <c r="C3350" i="1"/>
  <c r="A11170" i="1"/>
  <c r="B11170" i="1"/>
  <c r="C11170" i="1"/>
  <c r="A5142" i="1"/>
  <c r="B5142" i="1"/>
  <c r="C5142" i="1"/>
  <c r="A13138" i="1"/>
  <c r="B13138" i="1"/>
  <c r="C13138" i="1"/>
  <c r="A11733" i="1"/>
  <c r="B11733" i="1"/>
  <c r="C11733" i="1"/>
  <c r="A4039" i="1"/>
  <c r="B4039" i="1"/>
  <c r="C4039" i="1"/>
  <c r="A5510" i="1"/>
  <c r="B5510" i="1"/>
  <c r="C5510" i="1"/>
  <c r="A2949" i="1"/>
  <c r="B2949" i="1"/>
  <c r="C2949" i="1"/>
  <c r="A10932" i="1"/>
  <c r="B10932" i="1"/>
  <c r="C10932" i="1"/>
  <c r="A7451" i="1"/>
  <c r="B7451" i="1"/>
  <c r="C7451" i="1"/>
  <c r="A11477" i="1"/>
  <c r="B11477" i="1"/>
  <c r="C11477" i="1"/>
  <c r="A7517" i="1"/>
  <c r="B7517" i="1"/>
  <c r="C7517" i="1"/>
  <c r="A11488" i="1"/>
  <c r="B11488" i="1"/>
  <c r="C11488" i="1"/>
  <c r="A6061" i="1"/>
  <c r="B6061" i="1"/>
  <c r="C6061" i="1"/>
  <c r="A8401" i="1"/>
  <c r="B8401" i="1"/>
  <c r="C8401" i="1"/>
  <c r="A3536" i="1"/>
  <c r="B3536" i="1"/>
  <c r="C3536" i="1"/>
  <c r="A3736" i="1"/>
  <c r="B3736" i="1"/>
  <c r="C3736" i="1"/>
  <c r="A278" i="1"/>
  <c r="B278" i="1"/>
  <c r="C278" i="1"/>
  <c r="A5729" i="1"/>
  <c r="B5729" i="1"/>
  <c r="C5729" i="1"/>
  <c r="A9469" i="1"/>
  <c r="B9469" i="1"/>
  <c r="C9469" i="1"/>
  <c r="A4801" i="1"/>
  <c r="B4801" i="1"/>
  <c r="C4801" i="1"/>
  <c r="A5128" i="1"/>
  <c r="B5128" i="1"/>
  <c r="C5128" i="1"/>
  <c r="A2423" i="1"/>
  <c r="B2423" i="1"/>
  <c r="C2423" i="1"/>
  <c r="A5580" i="1"/>
  <c r="B5580" i="1"/>
  <c r="C5580" i="1"/>
  <c r="A229" i="1"/>
  <c r="B229" i="1"/>
  <c r="C229" i="1"/>
  <c r="A4539" i="1"/>
  <c r="B4539" i="1"/>
  <c r="C4539" i="1"/>
  <c r="A7541" i="1"/>
  <c r="B7541" i="1"/>
  <c r="C7541" i="1"/>
  <c r="A2399" i="1"/>
  <c r="B2399" i="1"/>
  <c r="C2399" i="1"/>
  <c r="A1869" i="1"/>
  <c r="B1869" i="1"/>
  <c r="C1869" i="1"/>
  <c r="A5873" i="1"/>
  <c r="B5873" i="1"/>
  <c r="C5873" i="1"/>
  <c r="A8633" i="1"/>
  <c r="B8633" i="1"/>
  <c r="C8633" i="1"/>
  <c r="A11544" i="1"/>
  <c r="B11544" i="1"/>
  <c r="C11544" i="1"/>
  <c r="A6096" i="1"/>
  <c r="B6096" i="1"/>
  <c r="C6096" i="1"/>
  <c r="A9785" i="1"/>
  <c r="B9785" i="1"/>
  <c r="C9785" i="1"/>
  <c r="A9955" i="1"/>
  <c r="B9955" i="1"/>
  <c r="C9955" i="1"/>
  <c r="A2380" i="1"/>
  <c r="B2380" i="1"/>
  <c r="C2380" i="1"/>
  <c r="A4927" i="1"/>
  <c r="B4927" i="1"/>
  <c r="C4927" i="1"/>
  <c r="A12152" i="1"/>
  <c r="B12152" i="1"/>
  <c r="C12152" i="1"/>
  <c r="A867" i="1"/>
  <c r="B867" i="1"/>
  <c r="C867" i="1"/>
  <c r="A1816" i="1"/>
  <c r="B1816" i="1"/>
  <c r="C1816" i="1"/>
  <c r="A11079" i="1"/>
  <c r="B11079" i="1"/>
  <c r="C11079" i="1"/>
  <c r="A12563" i="1"/>
  <c r="B12563" i="1"/>
  <c r="C12563" i="1"/>
  <c r="A11469" i="1"/>
  <c r="B11469" i="1"/>
  <c r="C11469" i="1"/>
  <c r="A3043" i="1"/>
  <c r="B3043" i="1"/>
  <c r="C3043" i="1"/>
  <c r="A3650" i="1"/>
  <c r="B3650" i="1"/>
  <c r="C3650" i="1"/>
  <c r="A1017" i="1"/>
  <c r="B1017" i="1"/>
  <c r="C1017" i="1"/>
  <c r="A4977" i="1"/>
  <c r="B4977" i="1"/>
  <c r="C4977" i="1"/>
  <c r="A269" i="1"/>
  <c r="B269" i="1"/>
  <c r="C269" i="1"/>
  <c r="A600" i="1"/>
  <c r="B600" i="1"/>
  <c r="C600" i="1"/>
  <c r="A723" i="1"/>
  <c r="B723" i="1"/>
  <c r="C723" i="1"/>
  <c r="A4498" i="1"/>
  <c r="B4498" i="1"/>
  <c r="C4498" i="1"/>
  <c r="A846" i="1"/>
  <c r="B846" i="1"/>
  <c r="C846" i="1"/>
  <c r="A13305" i="1"/>
  <c r="B13305" i="1"/>
  <c r="C13305" i="1"/>
  <c r="A9980" i="1"/>
  <c r="B9980" i="1"/>
  <c r="C9980" i="1"/>
  <c r="A163" i="1"/>
  <c r="B163" i="1"/>
  <c r="C163" i="1"/>
  <c r="A380" i="1"/>
  <c r="B380" i="1"/>
  <c r="C380" i="1"/>
  <c r="A2864" i="1"/>
  <c r="B2864" i="1"/>
  <c r="C2864" i="1"/>
  <c r="A8631" i="1"/>
  <c r="B8631" i="1"/>
  <c r="C8631" i="1"/>
  <c r="A13385" i="1"/>
  <c r="B13385" i="1"/>
  <c r="C13385" i="1"/>
  <c r="A13806" i="1"/>
  <c r="B13806" i="1"/>
  <c r="C13806" i="1"/>
  <c r="A5613" i="1"/>
  <c r="B5613" i="1"/>
  <c r="C5613" i="1"/>
  <c r="A12909" i="1"/>
  <c r="B12909" i="1"/>
  <c r="C12909" i="1"/>
  <c r="A7503" i="1"/>
  <c r="B7503" i="1"/>
  <c r="C7503" i="1"/>
  <c r="A7153" i="1"/>
  <c r="B7153" i="1"/>
  <c r="C7153" i="1"/>
  <c r="A11034" i="1"/>
  <c r="B11034" i="1"/>
  <c r="C11034" i="1"/>
  <c r="A3312" i="1"/>
  <c r="B3312" i="1"/>
  <c r="C3312" i="1"/>
  <c r="A3995" i="1"/>
  <c r="B3995" i="1"/>
  <c r="C3995" i="1"/>
  <c r="A7605" i="1"/>
  <c r="B7605" i="1"/>
  <c r="C7605" i="1"/>
  <c r="A1738" i="1"/>
  <c r="B1738" i="1"/>
  <c r="C1738" i="1"/>
  <c r="A2181" i="1"/>
  <c r="B2181" i="1"/>
  <c r="C2181" i="1"/>
  <c r="A1390" i="1"/>
  <c r="B1390" i="1"/>
  <c r="C1390" i="1"/>
  <c r="A5270" i="1"/>
  <c r="B5270" i="1"/>
  <c r="C5270" i="1"/>
  <c r="A8957" i="1"/>
  <c r="B8957" i="1"/>
  <c r="C8957" i="1"/>
  <c r="A2796" i="1"/>
  <c r="B2796" i="1"/>
  <c r="C2796" i="1"/>
  <c r="A10683" i="1"/>
  <c r="B10683" i="1"/>
  <c r="C10683" i="1"/>
  <c r="A6886" i="1"/>
  <c r="B6886" i="1"/>
  <c r="C6886" i="1"/>
  <c r="A11382" i="1"/>
  <c r="B11382" i="1"/>
  <c r="C11382" i="1"/>
  <c r="A1490" i="1"/>
  <c r="B1490" i="1"/>
  <c r="C1490" i="1"/>
  <c r="A12455" i="1"/>
  <c r="B12455" i="1"/>
  <c r="C12455" i="1"/>
  <c r="A11696" i="1"/>
  <c r="B11696" i="1"/>
  <c r="C11696" i="1"/>
  <c r="A6918" i="1"/>
  <c r="B6918" i="1"/>
  <c r="C6918" i="1"/>
  <c r="A7347" i="1"/>
  <c r="B7347" i="1"/>
  <c r="C7347" i="1"/>
  <c r="A7425" i="1"/>
  <c r="B7425" i="1"/>
  <c r="C7425" i="1"/>
  <c r="A13255" i="1"/>
  <c r="B13255" i="1"/>
  <c r="C13255" i="1"/>
  <c r="A445" i="1"/>
  <c r="B445" i="1"/>
  <c r="C445" i="1"/>
  <c r="A6787" i="1"/>
  <c r="B6787" i="1"/>
  <c r="C6787" i="1"/>
  <c r="A1532" i="1"/>
  <c r="B1532" i="1"/>
  <c r="C1532" i="1"/>
  <c r="A6367" i="1"/>
  <c r="B6367" i="1"/>
  <c r="C6367" i="1"/>
  <c r="A10124" i="1"/>
  <c r="B10124" i="1"/>
  <c r="C10124" i="1"/>
  <c r="A6645" i="1"/>
  <c r="B6645" i="1"/>
  <c r="C6645" i="1"/>
  <c r="A3929" i="1"/>
  <c r="B3929" i="1"/>
  <c r="C3929" i="1"/>
  <c r="A2981" i="1"/>
  <c r="B2981" i="1"/>
  <c r="C2981" i="1"/>
  <c r="A9296" i="1"/>
  <c r="B9296" i="1"/>
  <c r="C9296" i="1"/>
  <c r="A6323" i="1"/>
  <c r="B6323" i="1"/>
  <c r="C6323" i="1"/>
  <c r="A12175" i="1"/>
  <c r="B12175" i="1"/>
  <c r="C12175" i="1"/>
  <c r="A6045" i="1"/>
  <c r="B6045" i="1"/>
  <c r="C6045" i="1"/>
  <c r="A13832" i="1"/>
  <c r="B13832" i="1"/>
  <c r="C13832" i="1"/>
  <c r="A8712" i="1"/>
  <c r="B8712" i="1"/>
  <c r="C8712" i="1"/>
  <c r="A3499" i="1"/>
  <c r="B3499" i="1"/>
  <c r="C3499" i="1"/>
  <c r="A1301" i="1"/>
  <c r="B1301" i="1"/>
  <c r="C1301" i="1"/>
  <c r="A7877" i="1"/>
  <c r="B7877" i="1"/>
  <c r="C7877" i="1"/>
  <c r="A6990" i="1"/>
  <c r="B6990" i="1"/>
  <c r="C6990" i="1"/>
  <c r="A9021" i="1"/>
  <c r="B9021" i="1"/>
  <c r="C9021" i="1"/>
  <c r="A12488" i="1"/>
  <c r="B12488" i="1"/>
  <c r="C12488" i="1"/>
  <c r="A3643" i="1"/>
  <c r="B3643" i="1"/>
  <c r="C3643" i="1"/>
  <c r="A11006" i="1"/>
  <c r="B11006" i="1"/>
  <c r="C11006" i="1"/>
  <c r="A12669" i="1"/>
  <c r="B12669" i="1"/>
  <c r="C12669" i="1"/>
  <c r="A3564" i="1"/>
  <c r="B3564" i="1"/>
  <c r="C3564" i="1"/>
  <c r="A13672" i="1"/>
  <c r="B13672" i="1"/>
  <c r="C13672" i="1"/>
  <c r="A1214" i="1"/>
  <c r="B1214" i="1"/>
  <c r="C1214" i="1"/>
  <c r="A13226" i="1"/>
  <c r="B13226" i="1"/>
  <c r="C13226" i="1"/>
  <c r="A695" i="1"/>
  <c r="B695" i="1"/>
  <c r="C695" i="1"/>
  <c r="A3013" i="1"/>
  <c r="B3013" i="1"/>
  <c r="C3013" i="1"/>
  <c r="A11347" i="1"/>
  <c r="B11347" i="1"/>
  <c r="C11347" i="1"/>
  <c r="A11763" i="1"/>
  <c r="B11763" i="1"/>
  <c r="C11763" i="1"/>
  <c r="A12901" i="1"/>
  <c r="B12901" i="1"/>
  <c r="C12901" i="1"/>
  <c r="A3001" i="1"/>
  <c r="B3001" i="1"/>
  <c r="C3001" i="1"/>
  <c r="A12693" i="1"/>
  <c r="B12693" i="1"/>
  <c r="C12693" i="1"/>
  <c r="A13247" i="1"/>
  <c r="B13247" i="1"/>
  <c r="C13247" i="1"/>
  <c r="A13451" i="1"/>
  <c r="B13451" i="1"/>
  <c r="C13451" i="1"/>
  <c r="A9324" i="1"/>
  <c r="B9324" i="1"/>
  <c r="C9324" i="1"/>
  <c r="A8669" i="1"/>
  <c r="B8669" i="1"/>
  <c r="C8669" i="1"/>
  <c r="A8619" i="1"/>
  <c r="B8619" i="1"/>
  <c r="C8619" i="1"/>
  <c r="A11448" i="1"/>
  <c r="B11448" i="1"/>
  <c r="C11448" i="1"/>
  <c r="A12484" i="1"/>
  <c r="B12484" i="1"/>
  <c r="C12484" i="1"/>
  <c r="A1881" i="1"/>
  <c r="B1881" i="1"/>
  <c r="C1881" i="1"/>
  <c r="A10467" i="1"/>
  <c r="B10467" i="1"/>
  <c r="C10467" i="1"/>
  <c r="A6226" i="1"/>
  <c r="B6226" i="1"/>
  <c r="C6226" i="1"/>
  <c r="A9252" i="1"/>
  <c r="B9252" i="1"/>
  <c r="C9252" i="1"/>
  <c r="A13957" i="1"/>
  <c r="B13957" i="1"/>
  <c r="C13957" i="1"/>
  <c r="A8382" i="1"/>
  <c r="B8382" i="1"/>
  <c r="C8382" i="1"/>
  <c r="A2327" i="1"/>
  <c r="B2327" i="1"/>
  <c r="C2327" i="1"/>
  <c r="A13211" i="1"/>
  <c r="B13211" i="1"/>
  <c r="C13211" i="1"/>
  <c r="A10565" i="1"/>
  <c r="B10565" i="1"/>
  <c r="C10565" i="1"/>
  <c r="A7452" i="1"/>
  <c r="B7452" i="1"/>
  <c r="C7452" i="1"/>
  <c r="A3272" i="1"/>
  <c r="B3272" i="1"/>
  <c r="C3272" i="1"/>
  <c r="A13570" i="1"/>
  <c r="B13570" i="1"/>
  <c r="C13570" i="1"/>
  <c r="A6112" i="1"/>
  <c r="B6112" i="1"/>
  <c r="C6112" i="1"/>
  <c r="A7264" i="1"/>
  <c r="B7264" i="1"/>
  <c r="C7264" i="1"/>
  <c r="A5652" i="1"/>
  <c r="B5652" i="1"/>
  <c r="C5652" i="1"/>
  <c r="A5989" i="1"/>
  <c r="B5989" i="1"/>
  <c r="C5989" i="1"/>
  <c r="A13520" i="1"/>
  <c r="B13520" i="1"/>
  <c r="C13520" i="1"/>
  <c r="A8788" i="1"/>
  <c r="B8788" i="1"/>
  <c r="C8788" i="1"/>
  <c r="A2496" i="1"/>
  <c r="B2496" i="1"/>
  <c r="C2496" i="1"/>
  <c r="A13297" i="1"/>
  <c r="B13297" i="1"/>
  <c r="C13297" i="1"/>
  <c r="A4277" i="1"/>
  <c r="B4277" i="1"/>
  <c r="C4277" i="1"/>
  <c r="A392" i="1"/>
  <c r="B392" i="1"/>
  <c r="C392" i="1"/>
  <c r="A2294" i="1"/>
  <c r="B2294" i="1"/>
  <c r="C2294" i="1"/>
  <c r="A5311" i="1"/>
  <c r="B5311" i="1"/>
  <c r="C5311" i="1"/>
  <c r="A13497" i="1"/>
  <c r="B13497" i="1"/>
  <c r="C13497" i="1"/>
  <c r="A1299" i="1"/>
  <c r="B1299" i="1"/>
  <c r="C1299" i="1"/>
  <c r="A13769" i="1"/>
  <c r="B13769" i="1"/>
  <c r="C13769" i="1"/>
  <c r="A4951" i="1"/>
  <c r="B4951" i="1"/>
  <c r="C4951" i="1"/>
  <c r="A10074" i="1"/>
  <c r="B10074" i="1"/>
  <c r="C10074" i="1"/>
  <c r="A1189" i="1"/>
  <c r="B1189" i="1"/>
  <c r="C1189" i="1"/>
  <c r="A6503" i="1"/>
  <c r="B6503" i="1"/>
  <c r="C6503" i="1"/>
  <c r="A1111" i="1"/>
  <c r="B1111" i="1"/>
  <c r="C1111" i="1"/>
  <c r="A2455" i="1"/>
  <c r="B2455" i="1"/>
  <c r="C2455" i="1"/>
  <c r="A2612" i="1"/>
  <c r="B2612" i="1"/>
  <c r="C2612" i="1"/>
  <c r="A3844" i="1"/>
  <c r="B3844" i="1"/>
  <c r="C3844" i="1"/>
  <c r="A7190" i="1"/>
  <c r="B7190" i="1"/>
  <c r="C7190" i="1"/>
  <c r="A11737" i="1"/>
  <c r="B11737" i="1"/>
  <c r="C11737" i="1"/>
  <c r="A285" i="1"/>
  <c r="B285" i="1"/>
  <c r="C285" i="1"/>
  <c r="A11336" i="1"/>
  <c r="B11336" i="1"/>
  <c r="C11336" i="1"/>
  <c r="A2571" i="1"/>
  <c r="B2571" i="1"/>
  <c r="C2571" i="1"/>
  <c r="A8770" i="1"/>
  <c r="B8770" i="1"/>
  <c r="C8770" i="1"/>
  <c r="A12914" i="1"/>
  <c r="B12914" i="1"/>
  <c r="C12914" i="1"/>
  <c r="A5550" i="1"/>
  <c r="B5550" i="1"/>
  <c r="C5550" i="1"/>
  <c r="A875" i="1"/>
  <c r="B875" i="1"/>
  <c r="C875" i="1"/>
  <c r="A4710" i="1"/>
  <c r="B4710" i="1"/>
  <c r="C4710" i="1"/>
  <c r="A12332" i="1"/>
  <c r="B12332" i="1"/>
  <c r="C12332" i="1"/>
  <c r="A7269" i="1"/>
  <c r="B7269" i="1"/>
  <c r="C7269" i="1"/>
  <c r="A12895" i="1"/>
  <c r="B12895" i="1"/>
  <c r="C12895" i="1"/>
  <c r="A13323" i="1"/>
  <c r="B13323" i="1"/>
  <c r="C13323" i="1"/>
  <c r="A2929" i="1"/>
  <c r="B2929" i="1"/>
  <c r="C2929" i="1"/>
  <c r="A13094" i="1"/>
  <c r="B13094" i="1"/>
  <c r="C13094" i="1"/>
  <c r="A3789" i="1"/>
  <c r="B3789" i="1"/>
  <c r="C3789" i="1"/>
  <c r="A12135" i="1"/>
  <c r="B12135" i="1"/>
  <c r="C12135" i="1"/>
  <c r="A12461" i="1"/>
  <c r="B12461" i="1"/>
  <c r="C12461" i="1"/>
  <c r="A5412" i="1"/>
  <c r="B5412" i="1"/>
  <c r="C5412" i="1"/>
  <c r="A9650" i="1"/>
  <c r="B9650" i="1"/>
  <c r="C9650" i="1"/>
  <c r="A1604" i="1"/>
  <c r="B1604" i="1"/>
  <c r="C1604" i="1"/>
  <c r="A2393" i="1"/>
  <c r="B2393" i="1"/>
  <c r="C2393" i="1"/>
  <c r="A2295" i="1"/>
  <c r="B2295" i="1"/>
  <c r="C2295" i="1"/>
  <c r="A13530" i="1"/>
  <c r="B13530" i="1"/>
  <c r="C13530" i="1"/>
  <c r="A8346" i="1"/>
  <c r="B8346" i="1"/>
  <c r="C8346" i="1"/>
  <c r="A2480" i="1"/>
  <c r="B2480" i="1"/>
  <c r="C2480" i="1"/>
  <c r="A3085" i="1"/>
  <c r="B3085" i="1"/>
  <c r="C3085" i="1"/>
  <c r="A5090" i="1"/>
  <c r="B5090" i="1"/>
  <c r="C5090" i="1"/>
  <c r="A8590" i="1"/>
  <c r="B8590" i="1"/>
  <c r="C8590" i="1"/>
  <c r="A8591" i="1"/>
  <c r="B8591" i="1"/>
  <c r="C8591" i="1"/>
  <c r="A8592" i="1"/>
  <c r="B8592" i="1"/>
  <c r="C8592" i="1"/>
  <c r="A8593" i="1"/>
  <c r="B8593" i="1"/>
  <c r="C8593" i="1"/>
  <c r="A8594" i="1"/>
  <c r="B8594" i="1"/>
  <c r="C8594" i="1"/>
  <c r="A13601" i="1"/>
  <c r="B13601" i="1"/>
  <c r="C13601" i="1"/>
  <c r="A9868" i="1"/>
  <c r="B9868" i="1"/>
  <c r="C9868" i="1"/>
  <c r="A4946" i="1"/>
  <c r="B4946" i="1"/>
  <c r="C4946" i="1"/>
  <c r="A11339" i="1"/>
  <c r="B11339" i="1"/>
  <c r="C11339" i="1"/>
  <c r="A10366" i="1"/>
  <c r="B10366" i="1"/>
  <c r="C10366" i="1"/>
  <c r="A10919" i="1"/>
  <c r="B10919" i="1"/>
  <c r="C10919" i="1"/>
  <c r="A9144" i="1"/>
  <c r="B9144" i="1"/>
  <c r="C9144" i="1"/>
  <c r="A6182" i="1"/>
  <c r="B6182" i="1"/>
  <c r="C6182" i="1"/>
  <c r="A8781" i="1"/>
  <c r="B8781" i="1"/>
  <c r="C8781" i="1"/>
  <c r="A8245" i="1"/>
  <c r="B8245" i="1"/>
  <c r="C8245" i="1"/>
  <c r="A10087" i="1"/>
  <c r="B10087" i="1"/>
  <c r="C10087" i="1"/>
  <c r="A6830" i="1"/>
  <c r="B6830" i="1"/>
  <c r="C6830" i="1"/>
  <c r="A3117" i="1"/>
  <c r="B3117" i="1"/>
  <c r="C3117" i="1"/>
  <c r="A4995" i="1"/>
  <c r="B4995" i="1"/>
  <c r="C4995" i="1"/>
  <c r="A11202" i="1"/>
  <c r="B11202" i="1"/>
  <c r="C11202" i="1"/>
  <c r="A10224" i="1"/>
  <c r="B10224" i="1"/>
  <c r="C10224" i="1"/>
  <c r="A4849" i="1"/>
  <c r="B4849" i="1"/>
  <c r="C4849" i="1"/>
  <c r="A9126" i="1"/>
  <c r="B9126" i="1"/>
  <c r="C9126" i="1"/>
  <c r="A10385" i="1"/>
  <c r="B10385" i="1"/>
  <c r="C10385" i="1"/>
  <c r="A13654" i="1"/>
  <c r="B13654" i="1"/>
  <c r="C13654" i="1"/>
  <c r="A8532" i="1"/>
  <c r="B8532" i="1"/>
  <c r="C8532" i="1"/>
  <c r="A5170" i="1"/>
  <c r="B5170" i="1"/>
  <c r="C5170" i="1"/>
  <c r="A9653" i="1"/>
  <c r="B9653" i="1"/>
  <c r="C9653" i="1"/>
  <c r="A2587" i="1"/>
  <c r="B2587" i="1"/>
  <c r="C2587" i="1"/>
  <c r="A10832" i="1"/>
  <c r="B10832" i="1"/>
  <c r="C10832" i="1"/>
  <c r="A3352" i="1"/>
  <c r="B3352" i="1"/>
  <c r="C3352" i="1"/>
  <c r="A10910" i="1"/>
  <c r="B10910" i="1"/>
  <c r="C10910" i="1"/>
  <c r="A7857" i="1"/>
  <c r="B7857" i="1"/>
  <c r="C7857" i="1"/>
  <c r="A5838" i="1"/>
  <c r="B5838" i="1"/>
  <c r="C5838" i="1"/>
  <c r="A2580" i="1"/>
  <c r="B2580" i="1"/>
  <c r="C2580" i="1"/>
  <c r="A13911" i="1"/>
  <c r="B13911" i="1"/>
  <c r="C13911" i="1"/>
  <c r="A4376" i="1"/>
  <c r="B4376" i="1"/>
  <c r="C4376" i="1"/>
  <c r="A7696" i="1"/>
  <c r="B7696" i="1"/>
  <c r="C7696" i="1"/>
  <c r="A10189" i="1"/>
  <c r="B10189" i="1"/>
  <c r="C10189" i="1"/>
  <c r="A6899" i="1"/>
  <c r="B6899" i="1"/>
  <c r="C6899" i="1"/>
  <c r="A6825" i="1"/>
  <c r="B6825" i="1"/>
  <c r="C6825" i="1"/>
  <c r="A2475" i="1"/>
  <c r="B2475" i="1"/>
  <c r="C2475" i="1"/>
  <c r="A12734" i="1"/>
  <c r="B12734" i="1"/>
  <c r="C12734" i="1"/>
  <c r="A11314" i="1"/>
  <c r="B11314" i="1"/>
  <c r="C11314" i="1"/>
  <c r="A10904" i="1"/>
  <c r="B10904" i="1"/>
  <c r="C10904" i="1"/>
  <c r="A1322" i="1"/>
  <c r="B1322" i="1"/>
  <c r="C1322" i="1"/>
  <c r="A5312" i="1"/>
  <c r="B5312" i="1"/>
  <c r="C5312" i="1"/>
  <c r="A6618" i="1"/>
  <c r="B6618" i="1"/>
  <c r="C6618" i="1"/>
  <c r="A7397" i="1"/>
  <c r="B7397" i="1"/>
  <c r="C7397" i="1"/>
  <c r="A11194" i="1"/>
  <c r="B11194" i="1"/>
  <c r="C11194" i="1"/>
  <c r="A6557" i="1"/>
  <c r="B6557" i="1"/>
  <c r="C6557" i="1"/>
  <c r="A6592" i="1"/>
  <c r="B6592" i="1"/>
  <c r="C6592" i="1"/>
  <c r="A13950" i="1"/>
  <c r="B13950" i="1"/>
  <c r="C13950" i="1"/>
  <c r="A4705" i="1"/>
  <c r="B4705" i="1"/>
  <c r="C4705" i="1"/>
  <c r="A2541" i="1"/>
  <c r="B2541" i="1"/>
  <c r="C2541" i="1"/>
  <c r="A2588" i="1"/>
  <c r="B2588" i="1"/>
  <c r="C2588" i="1"/>
  <c r="A3373" i="1"/>
  <c r="B3373" i="1"/>
  <c r="C3373" i="1"/>
  <c r="A644" i="1"/>
  <c r="B644" i="1"/>
  <c r="C644" i="1"/>
  <c r="A9031" i="1"/>
  <c r="B9031" i="1"/>
  <c r="C9031" i="1"/>
  <c r="A9621" i="1"/>
  <c r="B9621" i="1"/>
  <c r="C9621" i="1"/>
  <c r="A9666" i="1"/>
  <c r="B9666" i="1"/>
  <c r="C9666" i="1"/>
  <c r="A13851" i="1"/>
  <c r="B13851" i="1"/>
  <c r="C13851" i="1"/>
  <c r="A7137" i="1"/>
  <c r="B7137" i="1"/>
  <c r="C7137" i="1"/>
  <c r="A11429" i="1"/>
  <c r="B11429" i="1"/>
  <c r="C11429" i="1"/>
  <c r="A13644" i="1"/>
  <c r="B13644" i="1"/>
  <c r="C13644" i="1"/>
  <c r="A12765" i="1"/>
  <c r="B12765" i="1"/>
  <c r="C12765" i="1"/>
  <c r="A1942" i="1"/>
  <c r="B1942" i="1"/>
  <c r="C1942" i="1"/>
  <c r="A5041" i="1"/>
  <c r="B5041" i="1"/>
  <c r="C5041" i="1"/>
  <c r="A10270" i="1"/>
  <c r="B10270" i="1"/>
  <c r="C10270" i="1"/>
  <c r="A2623" i="1"/>
  <c r="B2623" i="1"/>
  <c r="C2623" i="1"/>
  <c r="A2782" i="1"/>
  <c r="B2782" i="1"/>
  <c r="C2782" i="1"/>
  <c r="A2542" i="1"/>
  <c r="B2542" i="1"/>
  <c r="C2542" i="1"/>
  <c r="A10261" i="1"/>
  <c r="B10261" i="1"/>
  <c r="C10261" i="1"/>
  <c r="A8069" i="1"/>
  <c r="B8069" i="1"/>
  <c r="C8069" i="1"/>
  <c r="A9887" i="1"/>
  <c r="B9887" i="1"/>
  <c r="C9887" i="1"/>
  <c r="A9185" i="1"/>
  <c r="B9185" i="1"/>
  <c r="C9185" i="1"/>
  <c r="A6718" i="1"/>
  <c r="B6718" i="1"/>
  <c r="C6718" i="1"/>
  <c r="A13852" i="1"/>
  <c r="B13852" i="1"/>
  <c r="C13852" i="1"/>
  <c r="A6038" i="1"/>
  <c r="B6038" i="1"/>
  <c r="C6038" i="1"/>
  <c r="A5101" i="1"/>
  <c r="B5101" i="1"/>
  <c r="C5101" i="1"/>
  <c r="A11764" i="1"/>
  <c r="B11764" i="1"/>
  <c r="C11764" i="1"/>
  <c r="A7343" i="1"/>
  <c r="B7343" i="1"/>
  <c r="C7343" i="1"/>
  <c r="A11182" i="1"/>
  <c r="B11182" i="1"/>
  <c r="C11182" i="1"/>
  <c r="A7026" i="1"/>
  <c r="B7026" i="1"/>
  <c r="C7026" i="1"/>
  <c r="A11328" i="1"/>
  <c r="B11328" i="1"/>
  <c r="C11328" i="1"/>
  <c r="A173" i="1"/>
  <c r="B173" i="1"/>
  <c r="C173" i="1"/>
  <c r="A174" i="1"/>
  <c r="B174" i="1"/>
  <c r="C174" i="1"/>
  <c r="A175" i="1"/>
  <c r="B175" i="1"/>
  <c r="C175" i="1"/>
  <c r="A2930" i="1"/>
  <c r="B2930" i="1"/>
  <c r="C2930" i="1"/>
  <c r="A9641" i="1"/>
  <c r="B9641" i="1"/>
  <c r="C9641" i="1"/>
  <c r="A12490" i="1"/>
  <c r="B12490" i="1"/>
  <c r="C12490" i="1"/>
  <c r="A12491" i="1"/>
  <c r="B12491" i="1"/>
  <c r="C12491" i="1"/>
  <c r="A4520" i="1"/>
  <c r="B4520" i="1"/>
  <c r="C4520" i="1"/>
  <c r="A5415" i="1"/>
  <c r="B5415" i="1"/>
  <c r="C5415" i="1"/>
  <c r="A7813" i="1"/>
  <c r="B7813" i="1"/>
  <c r="C7813" i="1"/>
  <c r="A11507" i="1"/>
  <c r="B11507" i="1"/>
  <c r="C11507" i="1"/>
  <c r="A13279" i="1"/>
  <c r="B13279" i="1"/>
  <c r="C13279" i="1"/>
  <c r="A10233" i="1"/>
  <c r="B10233" i="1"/>
  <c r="C10233" i="1"/>
  <c r="A4976" i="1"/>
  <c r="B4976" i="1"/>
  <c r="C4976" i="1"/>
  <c r="A12675" i="1"/>
  <c r="B12675" i="1"/>
  <c r="C12675" i="1"/>
  <c r="A643" i="1"/>
  <c r="B643" i="1"/>
  <c r="C643" i="1"/>
  <c r="A6956" i="1"/>
  <c r="B6956" i="1"/>
  <c r="C6956" i="1"/>
  <c r="A13283" i="1"/>
  <c r="B13283" i="1"/>
  <c r="C13283" i="1"/>
  <c r="A8595" i="1"/>
  <c r="B8595" i="1"/>
  <c r="C8595" i="1"/>
  <c r="A8596" i="1"/>
  <c r="B8596" i="1"/>
  <c r="C8596" i="1"/>
  <c r="A8597" i="1"/>
  <c r="B8597" i="1"/>
  <c r="C8597" i="1"/>
  <c r="A5620" i="1"/>
  <c r="B5620" i="1"/>
  <c r="C5620" i="1"/>
  <c r="A4947" i="1"/>
  <c r="B4947" i="1"/>
  <c r="C4947" i="1"/>
  <c r="A4948" i="1"/>
  <c r="B4948" i="1"/>
  <c r="C4948" i="1"/>
  <c r="A4949" i="1"/>
  <c r="B4949" i="1"/>
  <c r="C4949" i="1"/>
  <c r="A3969" i="1"/>
  <c r="B3969" i="1"/>
  <c r="C3969" i="1"/>
  <c r="A7906" i="1"/>
  <c r="B7906" i="1"/>
  <c r="C7906" i="1"/>
  <c r="A7907" i="1"/>
  <c r="B7907" i="1"/>
  <c r="C7907" i="1"/>
  <c r="A7908" i="1"/>
  <c r="B7908" i="1"/>
  <c r="C7908" i="1"/>
  <c r="A3950" i="1"/>
  <c r="B3950" i="1"/>
  <c r="C3950" i="1"/>
  <c r="A327" i="1"/>
  <c r="B327" i="1"/>
  <c r="C327" i="1"/>
  <c r="A5505" i="1"/>
  <c r="B5505" i="1"/>
  <c r="C5505" i="1"/>
  <c r="A13280" i="1"/>
  <c r="B13280" i="1"/>
  <c r="C13280" i="1"/>
  <c r="A9926" i="1"/>
  <c r="B9926" i="1"/>
  <c r="C9926" i="1"/>
  <c r="A13617" i="1"/>
  <c r="B13617" i="1"/>
  <c r="C13617" i="1"/>
  <c r="A508" i="1"/>
  <c r="B508" i="1"/>
  <c r="C508" i="1"/>
  <c r="A11393" i="1"/>
  <c r="B11393" i="1"/>
  <c r="C11393" i="1"/>
  <c r="A594" i="1"/>
  <c r="B594" i="1"/>
  <c r="C594" i="1"/>
  <c r="A11255" i="1"/>
  <c r="B11255" i="1"/>
  <c r="C11255" i="1"/>
  <c r="A8871" i="1"/>
  <c r="B8871" i="1"/>
  <c r="C8871" i="1"/>
  <c r="A11423" i="1"/>
  <c r="B11423" i="1"/>
  <c r="C11423" i="1"/>
  <c r="A9486" i="1"/>
  <c r="B9486" i="1"/>
  <c r="C9486" i="1"/>
  <c r="A9196" i="1"/>
  <c r="B9196" i="1"/>
  <c r="C9196" i="1"/>
  <c r="A6470" i="1"/>
  <c r="B6470" i="1"/>
  <c r="C6470" i="1"/>
  <c r="A1320" i="1"/>
  <c r="B1320" i="1"/>
  <c r="C1320" i="1"/>
  <c r="A7231" i="1"/>
  <c r="B7231" i="1"/>
  <c r="C7231" i="1"/>
  <c r="A7946" i="1"/>
  <c r="B7946" i="1"/>
  <c r="C7946" i="1"/>
  <c r="A3987" i="1"/>
  <c r="B3987" i="1"/>
  <c r="C3987" i="1"/>
  <c r="A5676" i="1"/>
  <c r="B5676" i="1"/>
  <c r="C5676" i="1"/>
  <c r="A12070" i="1"/>
  <c r="B12070" i="1"/>
  <c r="C12070" i="1"/>
  <c r="A8598" i="1"/>
  <c r="B8598" i="1"/>
  <c r="C8598" i="1"/>
  <c r="A8599" i="1"/>
  <c r="B8599" i="1"/>
  <c r="C8599" i="1"/>
  <c r="A8600" i="1"/>
  <c r="B8600" i="1"/>
  <c r="C8600" i="1"/>
  <c r="A8601" i="1"/>
  <c r="B8601" i="1"/>
  <c r="C8601" i="1"/>
  <c r="A8602" i="1"/>
  <c r="B8602" i="1"/>
  <c r="C8602" i="1"/>
  <c r="A11765" i="1"/>
  <c r="B11765" i="1"/>
  <c r="C11765" i="1"/>
  <c r="A1454" i="1"/>
  <c r="B1454" i="1"/>
  <c r="C1454" i="1"/>
  <c r="A815" i="1"/>
  <c r="B815" i="1"/>
  <c r="C815" i="1"/>
  <c r="A10695" i="1"/>
  <c r="B10695" i="1"/>
  <c r="C10695" i="1"/>
  <c r="A8485" i="1"/>
  <c r="B8485" i="1"/>
  <c r="C8485" i="1"/>
  <c r="A9671" i="1"/>
  <c r="B9671" i="1"/>
  <c r="C9671" i="1"/>
  <c r="A3281" i="1"/>
  <c r="B3281" i="1"/>
  <c r="C3281" i="1"/>
  <c r="A5225" i="1"/>
  <c r="B5225" i="1"/>
  <c r="C5225" i="1"/>
  <c r="A2969" i="1"/>
  <c r="B2969" i="1"/>
  <c r="C2969" i="1"/>
  <c r="A7947" i="1"/>
  <c r="B7947" i="1"/>
  <c r="C7947" i="1"/>
  <c r="A92" i="1"/>
  <c r="B92" i="1"/>
  <c r="C92" i="1"/>
  <c r="A3996" i="1"/>
  <c r="B3996" i="1"/>
  <c r="C3996" i="1"/>
  <c r="A10350" i="1"/>
  <c r="B10350" i="1"/>
  <c r="C10350" i="1"/>
  <c r="A6730" i="1"/>
  <c r="B6730" i="1"/>
  <c r="C6730" i="1"/>
  <c r="A12084" i="1"/>
  <c r="B12084" i="1"/>
  <c r="C12084" i="1"/>
  <c r="A11458" i="1"/>
  <c r="B11458" i="1"/>
  <c r="C11458" i="1"/>
  <c r="A12692" i="1"/>
  <c r="B12692" i="1"/>
  <c r="C12692" i="1"/>
  <c r="A1671" i="1"/>
  <c r="B1671" i="1"/>
  <c r="C1671" i="1"/>
  <c r="A3602" i="1"/>
  <c r="B3602" i="1"/>
  <c r="C3602" i="1"/>
  <c r="A8603" i="1"/>
  <c r="B8603" i="1"/>
  <c r="C8603" i="1"/>
  <c r="A8604" i="1"/>
  <c r="B8604" i="1"/>
  <c r="C8604" i="1"/>
  <c r="A8605" i="1"/>
  <c r="B8605" i="1"/>
  <c r="C8605" i="1"/>
  <c r="A8606" i="1"/>
  <c r="B8606" i="1"/>
  <c r="C8606" i="1"/>
  <c r="A8607" i="1"/>
  <c r="B8607" i="1"/>
  <c r="C8607" i="1"/>
  <c r="A8608" i="1"/>
  <c r="B8608" i="1"/>
  <c r="C8608" i="1"/>
  <c r="A8609" i="1"/>
  <c r="B8609" i="1"/>
  <c r="C8609" i="1"/>
  <c r="A8610" i="1"/>
  <c r="B8610" i="1"/>
  <c r="C8610" i="1"/>
  <c r="A3381" i="1"/>
  <c r="B3381" i="1"/>
  <c r="C3381" i="1"/>
  <c r="A6802" i="1"/>
  <c r="B6802" i="1"/>
  <c r="C6802" i="1"/>
  <c r="A4861" i="1"/>
  <c r="B4861" i="1"/>
  <c r="C4861" i="1"/>
  <c r="A765" i="1"/>
  <c r="B765" i="1"/>
  <c r="C765" i="1"/>
  <c r="A5876" i="1"/>
  <c r="B5876" i="1"/>
  <c r="C5876" i="1"/>
  <c r="A13668" i="1"/>
  <c r="B13668" i="1"/>
  <c r="C13668" i="1"/>
  <c r="A6660" i="1"/>
  <c r="B6660" i="1"/>
  <c r="C6660" i="1"/>
  <c r="A10893" i="1"/>
  <c r="B10893" i="1"/>
  <c r="C10893" i="1"/>
  <c r="A5222" i="1"/>
  <c r="B5222" i="1"/>
  <c r="C5222" i="1"/>
  <c r="A6616" i="1"/>
  <c r="B6616" i="1"/>
  <c r="C6616" i="1"/>
  <c r="A11750" i="1"/>
  <c r="B11750" i="1"/>
  <c r="C11750" i="1"/>
  <c r="A13796" i="1"/>
  <c r="B13796" i="1"/>
  <c r="C13796" i="1"/>
  <c r="A7094" i="1"/>
  <c r="B7094" i="1"/>
  <c r="C7094" i="1"/>
  <c r="A8076" i="1"/>
  <c r="B8076" i="1"/>
  <c r="C8076" i="1"/>
  <c r="A3560" i="1"/>
  <c r="B3560" i="1"/>
  <c r="C3560" i="1"/>
  <c r="A4909" i="1"/>
  <c r="B4909" i="1"/>
  <c r="C4909" i="1"/>
  <c r="A1065" i="1"/>
  <c r="B1065" i="1"/>
  <c r="C1065" i="1"/>
  <c r="A1066" i="1"/>
  <c r="B1066" i="1"/>
  <c r="C1066" i="1"/>
  <c r="A900" i="1"/>
  <c r="B900" i="1"/>
  <c r="C900" i="1"/>
  <c r="A8524" i="1"/>
  <c r="B8524" i="1"/>
  <c r="C8524" i="1"/>
  <c r="A13072" i="1"/>
  <c r="B13072" i="1"/>
  <c r="C13072" i="1"/>
  <c r="A2727" i="1"/>
  <c r="B2727" i="1"/>
  <c r="C2727" i="1"/>
  <c r="A1016" i="1"/>
  <c r="B1016" i="1"/>
  <c r="C1016" i="1"/>
  <c r="A9680" i="1"/>
  <c r="B9680" i="1"/>
  <c r="C9680" i="1"/>
  <c r="A10207" i="1"/>
  <c r="B10207" i="1"/>
  <c r="C10207" i="1"/>
  <c r="A3018" i="1"/>
  <c r="B3018" i="1"/>
  <c r="C3018" i="1"/>
  <c r="A11599" i="1"/>
  <c r="B11599" i="1"/>
  <c r="C11599" i="1"/>
  <c r="A11565" i="1"/>
  <c r="B11565" i="1"/>
  <c r="C11565" i="1"/>
  <c r="A9800" i="1"/>
  <c r="B9800" i="1"/>
  <c r="C9800" i="1"/>
  <c r="A11317" i="1"/>
  <c r="B11317" i="1"/>
  <c r="C11317" i="1"/>
  <c r="A3911" i="1"/>
  <c r="B3911" i="1"/>
  <c r="C3911" i="1"/>
  <c r="A3912" i="1"/>
  <c r="B3912" i="1"/>
  <c r="C3912" i="1"/>
  <c r="A11312" i="1"/>
  <c r="B11312" i="1"/>
  <c r="C11312" i="1"/>
  <c r="A8678" i="1"/>
  <c r="B8678" i="1"/>
  <c r="C8678" i="1"/>
  <c r="A91" i="1"/>
  <c r="B91" i="1"/>
  <c r="C91" i="1"/>
  <c r="A1758" i="1"/>
  <c r="B1758" i="1"/>
  <c r="C1758" i="1"/>
  <c r="A8100" i="1"/>
  <c r="B8100" i="1"/>
  <c r="C8100" i="1"/>
  <c r="A11409" i="1"/>
  <c r="B11409" i="1"/>
  <c r="C11409" i="1"/>
  <c r="A10225" i="1"/>
  <c r="B10225" i="1"/>
  <c r="C10225" i="1"/>
  <c r="A5171" i="1"/>
  <c r="B5171" i="1"/>
  <c r="C5171" i="1"/>
  <c r="A10223" i="1"/>
  <c r="B10223" i="1"/>
  <c r="C10223" i="1"/>
  <c r="A758" i="1"/>
  <c r="B758" i="1"/>
  <c r="C758" i="1"/>
  <c r="A8373" i="1"/>
  <c r="B8373" i="1"/>
  <c r="C8373" i="1"/>
  <c r="A12492" i="1"/>
  <c r="B12492" i="1"/>
  <c r="C12492" i="1"/>
  <c r="A3985" i="1"/>
  <c r="B3985" i="1"/>
  <c r="C3985" i="1"/>
  <c r="A12744" i="1"/>
  <c r="B12744" i="1"/>
  <c r="C12744" i="1"/>
  <c r="A2728" i="1"/>
  <c r="B2728" i="1"/>
  <c r="C2728" i="1"/>
  <c r="A6260" i="1"/>
  <c r="B6260" i="1"/>
  <c r="C6260" i="1"/>
  <c r="A7030" i="1"/>
  <c r="B7030" i="1"/>
  <c r="C7030" i="1"/>
  <c r="A4139" i="1"/>
  <c r="B4139" i="1"/>
  <c r="C4139" i="1"/>
  <c r="A6970" i="1"/>
  <c r="B6970" i="1"/>
  <c r="C6970" i="1"/>
  <c r="A11337" i="1"/>
  <c r="B11337" i="1"/>
  <c r="C11337" i="1"/>
  <c r="A6383" i="1"/>
  <c r="B6383" i="1"/>
  <c r="C6383" i="1"/>
  <c r="A386" i="1"/>
  <c r="B386" i="1"/>
  <c r="C386" i="1"/>
  <c r="A9048" i="1"/>
  <c r="B9048" i="1"/>
  <c r="C9048" i="1"/>
  <c r="A9028" i="1"/>
  <c r="B9028" i="1"/>
  <c r="C9028" i="1"/>
  <c r="A11481" i="1"/>
  <c r="B11481" i="1"/>
  <c r="C11481" i="1"/>
  <c r="A13584" i="1"/>
  <c r="B13584" i="1"/>
  <c r="C13584" i="1"/>
  <c r="A10226" i="1"/>
  <c r="B10226" i="1"/>
  <c r="C10226" i="1"/>
  <c r="A13216" i="1"/>
  <c r="B13216" i="1"/>
  <c r="C13216" i="1"/>
  <c r="A8170" i="1"/>
  <c r="B8170" i="1"/>
  <c r="C8170" i="1"/>
  <c r="A422" i="1"/>
  <c r="B422" i="1"/>
  <c r="C422" i="1"/>
  <c r="A12493" i="1"/>
  <c r="B12493" i="1"/>
  <c r="C12493" i="1"/>
  <c r="A12494" i="1"/>
  <c r="B12494" i="1"/>
  <c r="C12494" i="1"/>
  <c r="A10572" i="1"/>
  <c r="B10572" i="1"/>
  <c r="C10572" i="1"/>
  <c r="A9332" i="1"/>
  <c r="B9332" i="1"/>
  <c r="C9332" i="1"/>
  <c r="A1933" i="1"/>
  <c r="B1933" i="1"/>
  <c r="C1933" i="1"/>
  <c r="A9233" i="1"/>
  <c r="B9233" i="1"/>
  <c r="C9233" i="1"/>
  <c r="A5947" i="1"/>
  <c r="B5947" i="1"/>
  <c r="C5947" i="1"/>
  <c r="A7188" i="1"/>
  <c r="B7188" i="1"/>
  <c r="C7188" i="1"/>
  <c r="A7647" i="1"/>
  <c r="B7647" i="1"/>
  <c r="C7647" i="1"/>
  <c r="A596" i="1"/>
  <c r="B596" i="1"/>
  <c r="C596" i="1"/>
  <c r="A5820" i="1"/>
  <c r="B5820" i="1"/>
  <c r="C5820" i="1"/>
  <c r="A3174" i="1"/>
  <c r="B3174" i="1"/>
  <c r="C3174" i="1"/>
  <c r="A12435" i="1"/>
  <c r="B12435" i="1"/>
  <c r="C12435" i="1"/>
  <c r="A6803" i="1"/>
  <c r="B6803" i="1"/>
  <c r="C6803" i="1"/>
  <c r="A726" i="1"/>
  <c r="B726" i="1"/>
  <c r="C726" i="1"/>
  <c r="A165" i="1"/>
  <c r="B165" i="1"/>
  <c r="C165" i="1"/>
  <c r="A5445" i="1"/>
  <c r="B5445" i="1"/>
  <c r="C5445" i="1"/>
  <c r="A10432" i="1"/>
  <c r="B10432" i="1"/>
  <c r="C10432" i="1"/>
  <c r="A2281" i="1"/>
  <c r="B2281" i="1"/>
  <c r="C2281" i="1"/>
  <c r="A2722" i="1"/>
  <c r="B2722" i="1"/>
  <c r="C2722" i="1"/>
  <c r="A7408" i="1"/>
  <c r="B7408" i="1"/>
  <c r="C7408" i="1"/>
  <c r="A11284" i="1"/>
  <c r="B11284" i="1"/>
  <c r="C11284" i="1"/>
  <c r="A4357" i="1"/>
  <c r="B4357" i="1"/>
  <c r="C4357" i="1"/>
  <c r="A8988" i="1"/>
  <c r="B8988" i="1"/>
  <c r="C8988" i="1"/>
  <c r="A7846" i="1"/>
  <c r="B7846" i="1"/>
  <c r="C7846" i="1"/>
  <c r="A533" i="1"/>
  <c r="B533" i="1"/>
  <c r="C533" i="1"/>
  <c r="A2298" i="1"/>
  <c r="B2298" i="1"/>
  <c r="C2298" i="1"/>
  <c r="A2586" i="1"/>
  <c r="B2586" i="1"/>
  <c r="C2586" i="1"/>
  <c r="A11442" i="1"/>
  <c r="B11442" i="1"/>
  <c r="C11442" i="1"/>
  <c r="A13878" i="1"/>
  <c r="B13878" i="1"/>
  <c r="C13878" i="1"/>
  <c r="A364" i="1"/>
  <c r="B364" i="1"/>
  <c r="C364" i="1"/>
  <c r="A2363" i="1"/>
  <c r="B2363" i="1"/>
  <c r="C2363" i="1"/>
  <c r="A894" i="1"/>
  <c r="B894" i="1"/>
  <c r="C894" i="1"/>
  <c r="A5926" i="1"/>
  <c r="B5926" i="1"/>
  <c r="C5926" i="1"/>
  <c r="A1376" i="1"/>
  <c r="B1376" i="1"/>
  <c r="C1376" i="1"/>
  <c r="A13468" i="1"/>
  <c r="B13468" i="1"/>
  <c r="C13468" i="1"/>
  <c r="A8765" i="1"/>
  <c r="B8765" i="1"/>
  <c r="C8765" i="1"/>
  <c r="A7192" i="1"/>
  <c r="B7192" i="1"/>
  <c r="C7192" i="1"/>
  <c r="A5267" i="1"/>
  <c r="B5267" i="1"/>
  <c r="C5267" i="1"/>
  <c r="A1036" i="1"/>
  <c r="B1036" i="1"/>
  <c r="C1036" i="1"/>
  <c r="A9628" i="1"/>
  <c r="B9628" i="1"/>
  <c r="C9628" i="1"/>
  <c r="A9629" i="1"/>
  <c r="B9629" i="1"/>
  <c r="C9629" i="1"/>
  <c r="A9630" i="1"/>
  <c r="B9630" i="1"/>
  <c r="C9630" i="1"/>
  <c r="A9631" i="1"/>
  <c r="B9631" i="1"/>
  <c r="C9631" i="1"/>
  <c r="A9632" i="1"/>
  <c r="B9632" i="1"/>
  <c r="C9632" i="1"/>
  <c r="A13750" i="1"/>
  <c r="B13750" i="1"/>
  <c r="C13750" i="1"/>
  <c r="A9832" i="1"/>
  <c r="B9832" i="1"/>
  <c r="C9832" i="1"/>
  <c r="A9978" i="1"/>
  <c r="B9978" i="1"/>
  <c r="C9978" i="1"/>
  <c r="A2250" i="1"/>
  <c r="B2250" i="1"/>
  <c r="C2250" i="1"/>
  <c r="A5172" i="1"/>
  <c r="B5172" i="1"/>
  <c r="C5172" i="1"/>
  <c r="A12285" i="1"/>
  <c r="B12285" i="1"/>
  <c r="C12285" i="1"/>
  <c r="A2024" i="1"/>
  <c r="B2024" i="1"/>
  <c r="C2024" i="1"/>
  <c r="A9932" i="1"/>
  <c r="B9932" i="1"/>
  <c r="C9932" i="1"/>
  <c r="A8490" i="1"/>
  <c r="B8490" i="1"/>
  <c r="C8490" i="1"/>
  <c r="A2589" i="1"/>
  <c r="B2589" i="1"/>
  <c r="C2589" i="1"/>
  <c r="A631" i="1"/>
  <c r="B631" i="1"/>
  <c r="C631" i="1"/>
  <c r="A5978" i="1"/>
  <c r="B5978" i="1"/>
  <c r="C5978" i="1"/>
  <c r="A13152" i="1"/>
  <c r="B13152" i="1"/>
  <c r="C13152" i="1"/>
  <c r="A11798" i="1"/>
  <c r="B11798" i="1"/>
  <c r="C11798" i="1"/>
  <c r="A1477" i="1"/>
  <c r="B1477" i="1"/>
  <c r="C1477" i="1"/>
  <c r="A8895" i="1"/>
  <c r="B8895" i="1"/>
  <c r="C8895" i="1"/>
  <c r="A7166" i="1"/>
  <c r="B7166" i="1"/>
  <c r="C7166" i="1"/>
  <c r="A3845" i="1"/>
  <c r="B3845" i="1"/>
  <c r="C3845" i="1"/>
  <c r="A5384" i="1"/>
  <c r="B5384" i="1"/>
  <c r="C5384" i="1"/>
  <c r="A7909" i="1"/>
  <c r="B7909" i="1"/>
  <c r="C7909" i="1"/>
  <c r="A4392" i="1"/>
  <c r="B4392" i="1"/>
  <c r="C4392" i="1"/>
  <c r="A1823" i="1"/>
  <c r="B1823" i="1"/>
  <c r="C1823" i="1"/>
  <c r="A10334" i="1"/>
  <c r="B10334" i="1"/>
  <c r="C10334" i="1"/>
  <c r="A13673" i="1"/>
  <c r="B13673" i="1"/>
  <c r="C13673" i="1"/>
  <c r="A10668" i="1"/>
  <c r="B10668" i="1"/>
  <c r="C10668" i="1"/>
  <c r="A6677" i="1"/>
  <c r="B6677" i="1"/>
  <c r="C6677" i="1"/>
  <c r="A4028" i="1"/>
  <c r="B4028" i="1"/>
  <c r="C4028" i="1"/>
  <c r="A3860" i="1"/>
  <c r="B3860" i="1"/>
  <c r="C3860" i="1"/>
  <c r="A5348" i="1"/>
  <c r="B5348" i="1"/>
  <c r="C5348" i="1"/>
  <c r="A2258" i="1"/>
  <c r="B2258" i="1"/>
  <c r="C2258" i="1"/>
  <c r="A10383" i="1"/>
  <c r="B10383" i="1"/>
  <c r="C10383" i="1"/>
  <c r="A4180" i="1"/>
  <c r="B4180" i="1"/>
  <c r="C4180" i="1"/>
  <c r="A12897" i="1"/>
  <c r="B12897" i="1"/>
  <c r="C12897" i="1"/>
  <c r="A2595" i="1"/>
  <c r="B2595" i="1"/>
  <c r="C2595" i="1"/>
  <c r="A2596" i="1"/>
  <c r="B2596" i="1"/>
  <c r="C2596" i="1"/>
  <c r="A6695" i="1"/>
  <c r="B6695" i="1"/>
  <c r="C6695" i="1"/>
  <c r="A13254" i="1"/>
  <c r="B13254" i="1"/>
  <c r="C13254" i="1"/>
  <c r="A11273" i="1"/>
  <c r="B11273" i="1"/>
  <c r="C11273" i="1"/>
  <c r="A13262" i="1"/>
  <c r="B13262" i="1"/>
  <c r="C13262" i="1"/>
  <c r="A4631" i="1"/>
  <c r="B4631" i="1"/>
  <c r="C4631" i="1"/>
  <c r="A8025" i="1"/>
  <c r="B8025" i="1"/>
  <c r="C8025" i="1"/>
  <c r="A12728" i="1"/>
  <c r="B12728" i="1"/>
  <c r="C12728" i="1"/>
  <c r="A1271" i="1"/>
  <c r="B1271" i="1"/>
  <c r="C1271" i="1"/>
  <c r="A1916" i="1"/>
  <c r="B1916" i="1"/>
  <c r="C1916" i="1"/>
  <c r="A12475" i="1"/>
  <c r="B12475" i="1"/>
  <c r="C12475" i="1"/>
  <c r="A5460" i="1"/>
  <c r="B5460" i="1"/>
  <c r="C5460" i="1"/>
  <c r="A9092" i="1"/>
  <c r="B9092" i="1"/>
  <c r="C9092" i="1"/>
  <c r="A11677" i="1"/>
  <c r="B11677" i="1"/>
  <c r="C11677" i="1"/>
  <c r="A8752" i="1"/>
  <c r="B8752" i="1"/>
  <c r="C8752" i="1"/>
  <c r="A13836" i="1"/>
  <c r="B13836" i="1"/>
  <c r="C13836" i="1"/>
  <c r="A2413" i="1"/>
  <c r="B2413" i="1"/>
  <c r="C2413" i="1"/>
  <c r="A13462" i="1"/>
  <c r="B13462" i="1"/>
  <c r="C13462" i="1"/>
  <c r="A10831" i="1"/>
  <c r="B10831" i="1"/>
  <c r="C10831" i="1"/>
  <c r="A5706" i="1"/>
  <c r="B5706" i="1"/>
  <c r="C5706" i="1"/>
  <c r="A2711" i="1"/>
  <c r="B2711" i="1"/>
  <c r="C2711" i="1"/>
  <c r="A10929" i="1"/>
  <c r="B10929" i="1"/>
  <c r="C10929" i="1"/>
  <c r="A766" i="1"/>
  <c r="B766" i="1"/>
  <c r="C766" i="1"/>
  <c r="A7041" i="1"/>
  <c r="B7041" i="1"/>
  <c r="C7041" i="1"/>
  <c r="A13454" i="1"/>
  <c r="B13454" i="1"/>
  <c r="C13454" i="1"/>
  <c r="A8941" i="1"/>
  <c r="B8941" i="1"/>
  <c r="C8941" i="1"/>
  <c r="A7272" i="1"/>
  <c r="B7272" i="1"/>
  <c r="C7272" i="1"/>
  <c r="A7155" i="1"/>
  <c r="B7155" i="1"/>
  <c r="C7155" i="1"/>
  <c r="A7156" i="1"/>
  <c r="B7156" i="1"/>
  <c r="C7156" i="1"/>
  <c r="A7157" i="1"/>
  <c r="B7157" i="1"/>
  <c r="C7157" i="1"/>
  <c r="A7158" i="1"/>
  <c r="B7158" i="1"/>
  <c r="C7158" i="1"/>
  <c r="A9431" i="1"/>
  <c r="B9431" i="1"/>
  <c r="C9431" i="1"/>
  <c r="A6144" i="1"/>
  <c r="B6144" i="1"/>
  <c r="C6144" i="1"/>
  <c r="A4491" i="1"/>
  <c r="B4491" i="1"/>
  <c r="C4491" i="1"/>
  <c r="A3757" i="1"/>
  <c r="B3757" i="1"/>
  <c r="C3757" i="1"/>
  <c r="A5506" i="1"/>
  <c r="B5506" i="1"/>
  <c r="C5506" i="1"/>
  <c r="A3725" i="1"/>
  <c r="B3725" i="1"/>
  <c r="C3725" i="1"/>
  <c r="A6928" i="1"/>
  <c r="B6928" i="1"/>
  <c r="C6928" i="1"/>
  <c r="A12497" i="1"/>
  <c r="B12497" i="1"/>
  <c r="C12497" i="1"/>
  <c r="A12913" i="1"/>
  <c r="B12913" i="1"/>
  <c r="C12913" i="1"/>
  <c r="A3986" i="1"/>
  <c r="B3986" i="1"/>
  <c r="C3986" i="1"/>
  <c r="A7078" i="1"/>
  <c r="B7078" i="1"/>
  <c r="C7078" i="1"/>
  <c r="A3180" i="1"/>
  <c r="B3180" i="1"/>
  <c r="C3180" i="1"/>
  <c r="A7334" i="1"/>
  <c r="B7334" i="1"/>
  <c r="C7334" i="1"/>
  <c r="A8721" i="1"/>
  <c r="B8721" i="1"/>
  <c r="C8721" i="1"/>
  <c r="A1928" i="1"/>
  <c r="B1928" i="1"/>
  <c r="C1928" i="1"/>
  <c r="A1929" i="1"/>
  <c r="B1929" i="1"/>
  <c r="C1929" i="1"/>
  <c r="A10959" i="1"/>
  <c r="B10959" i="1"/>
  <c r="C10959" i="1"/>
  <c r="A3709" i="1"/>
  <c r="B3709" i="1"/>
  <c r="C3709" i="1"/>
  <c r="A11833" i="1"/>
  <c r="B11833" i="1"/>
  <c r="C11833" i="1"/>
  <c r="A11834" i="1"/>
  <c r="B11834" i="1"/>
  <c r="C11834" i="1"/>
  <c r="A1699" i="1"/>
  <c r="B1699" i="1"/>
  <c r="C1699" i="1"/>
  <c r="A818" i="1"/>
  <c r="B818" i="1"/>
  <c r="C818" i="1"/>
  <c r="A6937" i="1"/>
  <c r="B6937" i="1"/>
  <c r="C6937" i="1"/>
  <c r="A6199" i="1"/>
  <c r="B6199" i="1"/>
  <c r="C6199" i="1"/>
  <c r="A11908" i="1"/>
  <c r="B11908" i="1"/>
  <c r="C11908" i="1"/>
  <c r="A9421" i="1"/>
  <c r="B9421" i="1"/>
  <c r="C9421" i="1"/>
  <c r="A2123" i="1"/>
  <c r="B2123" i="1"/>
  <c r="C2123" i="1"/>
  <c r="A2124" i="1"/>
  <c r="B2124" i="1"/>
  <c r="C2124" i="1"/>
  <c r="A2125" i="1"/>
  <c r="B2125" i="1"/>
  <c r="C2125" i="1"/>
  <c r="A2126" i="1"/>
  <c r="B2126" i="1"/>
  <c r="C2126" i="1"/>
  <c r="A4620" i="1"/>
  <c r="B4620" i="1"/>
  <c r="C4620" i="1"/>
  <c r="A9952" i="1"/>
  <c r="B9952" i="1"/>
  <c r="C9952" i="1"/>
  <c r="A375" i="1"/>
  <c r="B375" i="1"/>
  <c r="C375" i="1"/>
  <c r="A5039" i="1"/>
  <c r="B5039" i="1"/>
  <c r="C5039" i="1"/>
  <c r="A4436" i="1"/>
  <c r="B4436" i="1"/>
  <c r="C4436" i="1"/>
  <c r="A9383" i="1"/>
  <c r="B9383" i="1"/>
  <c r="C9383" i="1"/>
  <c r="A9384" i="1"/>
  <c r="B9384" i="1"/>
  <c r="C9384" i="1"/>
  <c r="A9385" i="1"/>
  <c r="B9385" i="1"/>
  <c r="C9385" i="1"/>
  <c r="A9386" i="1"/>
  <c r="B9386" i="1"/>
  <c r="C9386" i="1"/>
  <c r="A9387" i="1"/>
  <c r="B9387" i="1"/>
  <c r="C9387" i="1"/>
  <c r="A11207" i="1"/>
  <c r="B11207" i="1"/>
  <c r="C11207" i="1"/>
  <c r="A1668" i="1"/>
  <c r="B1668" i="1"/>
  <c r="C1668" i="1"/>
  <c r="A10926" i="1"/>
  <c r="B10926" i="1"/>
  <c r="C10926" i="1"/>
  <c r="A833" i="1"/>
  <c r="B833" i="1"/>
  <c r="C833" i="1"/>
  <c r="A10250" i="1"/>
  <c r="B10250" i="1"/>
  <c r="C10250" i="1"/>
  <c r="A10960" i="1"/>
  <c r="B10960" i="1"/>
  <c r="C10960" i="1"/>
  <c r="A4497" i="1"/>
  <c r="B4497" i="1"/>
  <c r="C4497" i="1"/>
  <c r="A11263" i="1"/>
  <c r="B11263" i="1"/>
  <c r="C11263" i="1"/>
  <c r="A8294" i="1"/>
  <c r="B8294" i="1"/>
  <c r="C8294" i="1"/>
  <c r="A2225" i="1"/>
  <c r="B2225" i="1"/>
  <c r="C2225" i="1"/>
  <c r="A13555" i="1"/>
  <c r="B13555" i="1"/>
  <c r="C13555" i="1"/>
  <c r="A6099" i="1"/>
  <c r="B6099" i="1"/>
  <c r="C6099" i="1"/>
  <c r="A13288" i="1"/>
  <c r="B13288" i="1"/>
  <c r="C13288" i="1"/>
  <c r="A1774" i="1"/>
  <c r="B1774" i="1"/>
  <c r="C1774" i="1"/>
  <c r="A1762" i="1"/>
  <c r="B1762" i="1"/>
  <c r="C1762" i="1"/>
  <c r="A7255" i="1"/>
  <c r="B7255" i="1"/>
  <c r="C7255" i="1"/>
  <c r="A9049" i="1"/>
  <c r="B9049" i="1"/>
  <c r="C9049" i="1"/>
  <c r="A331" i="1"/>
  <c r="B331" i="1"/>
  <c r="C331" i="1"/>
  <c r="A7383" i="1"/>
  <c r="B7383" i="1"/>
  <c r="C7383" i="1"/>
  <c r="A5309" i="1"/>
  <c r="B5309" i="1"/>
  <c r="C5309" i="1"/>
  <c r="A8634" i="1"/>
  <c r="B8634" i="1"/>
  <c r="C8634" i="1"/>
  <c r="A9406" i="1"/>
  <c r="B9406" i="1"/>
  <c r="C9406" i="1"/>
  <c r="A4182" i="1"/>
  <c r="B4182" i="1"/>
  <c r="C4182" i="1"/>
  <c r="A7262" i="1"/>
  <c r="B7262" i="1"/>
  <c r="C7262" i="1"/>
  <c r="A542" i="1"/>
  <c r="B542" i="1"/>
  <c r="C542" i="1"/>
  <c r="A13594" i="1"/>
  <c r="B13594" i="1"/>
  <c r="C13594" i="1"/>
  <c r="A9609" i="1"/>
  <c r="B9609" i="1"/>
  <c r="C9609" i="1"/>
  <c r="A1927" i="1"/>
  <c r="B1927" i="1"/>
  <c r="C1927" i="1"/>
  <c r="A8383" i="1"/>
  <c r="B8383" i="1"/>
  <c r="C8383" i="1"/>
  <c r="A3065" i="1"/>
  <c r="B3065" i="1"/>
  <c r="C3065" i="1"/>
  <c r="A6966" i="1"/>
  <c r="B6966" i="1"/>
  <c r="C6966" i="1"/>
  <c r="A4922" i="1"/>
  <c r="B4922" i="1"/>
  <c r="C4922" i="1"/>
  <c r="A12454" i="1"/>
  <c r="B12454" i="1"/>
  <c r="C12454" i="1"/>
  <c r="A5156" i="1"/>
  <c r="B5156" i="1"/>
  <c r="C5156" i="1"/>
  <c r="A5315" i="1"/>
  <c r="B5315" i="1"/>
  <c r="C5315" i="1"/>
  <c r="A10308" i="1"/>
  <c r="B10308" i="1"/>
  <c r="C10308" i="1"/>
  <c r="A1813" i="1"/>
  <c r="B1813" i="1"/>
  <c r="C1813" i="1"/>
  <c r="A6668" i="1"/>
  <c r="B6668" i="1"/>
  <c r="C6668" i="1"/>
  <c r="A7472" i="1"/>
  <c r="B7472" i="1"/>
  <c r="C7472" i="1"/>
  <c r="A5332" i="1"/>
  <c r="B5332" i="1"/>
  <c r="C5332" i="1"/>
  <c r="A11940" i="1"/>
  <c r="B11940" i="1"/>
  <c r="C11940" i="1"/>
  <c r="A11941" i="1"/>
  <c r="B11941" i="1"/>
  <c r="C11941" i="1"/>
  <c r="A11942" i="1"/>
  <c r="B11942" i="1"/>
  <c r="C11942" i="1"/>
  <c r="A11943" i="1"/>
  <c r="B11943" i="1"/>
  <c r="C11943" i="1"/>
  <c r="A11944" i="1"/>
  <c r="B11944" i="1"/>
  <c r="C11944" i="1"/>
  <c r="A11945" i="1"/>
  <c r="B11945" i="1"/>
  <c r="C11945" i="1"/>
  <c r="A6762" i="1"/>
  <c r="B6762" i="1"/>
  <c r="C6762" i="1"/>
  <c r="A7375" i="1"/>
  <c r="B7375" i="1"/>
  <c r="C7375" i="1"/>
  <c r="A13624" i="1"/>
  <c r="B13624" i="1"/>
  <c r="C13624" i="1"/>
  <c r="A3813" i="1"/>
  <c r="B3813" i="1"/>
  <c r="C3813" i="1"/>
  <c r="A8283" i="1"/>
  <c r="B8283" i="1"/>
  <c r="C8283" i="1"/>
  <c r="A13140" i="1"/>
  <c r="B13140" i="1"/>
  <c r="C13140" i="1"/>
  <c r="A10429" i="1"/>
  <c r="B10429" i="1"/>
  <c r="C10429" i="1"/>
  <c r="A3311" i="1"/>
  <c r="B3311" i="1"/>
  <c r="C3311" i="1"/>
  <c r="A8109" i="1"/>
  <c r="B8109" i="1"/>
  <c r="C8109" i="1"/>
  <c r="A1742" i="1"/>
  <c r="B1742" i="1"/>
  <c r="C1742" i="1"/>
  <c r="A8227" i="1"/>
  <c r="B8227" i="1"/>
  <c r="C8227" i="1"/>
  <c r="A12448" i="1"/>
  <c r="B12448" i="1"/>
  <c r="C12448" i="1"/>
  <c r="A13864" i="1"/>
  <c r="B13864" i="1"/>
  <c r="C13864" i="1"/>
  <c r="A10015" i="1"/>
  <c r="B10015" i="1"/>
  <c r="C10015" i="1"/>
  <c r="A10016" i="1"/>
  <c r="B10016" i="1"/>
  <c r="C10016" i="1"/>
  <c r="A9704" i="1"/>
  <c r="B9704" i="1"/>
  <c r="C9704" i="1"/>
  <c r="A2021" i="1"/>
  <c r="B2021" i="1"/>
  <c r="C2021" i="1"/>
  <c r="A13337" i="1"/>
  <c r="B13337" i="1"/>
  <c r="C13337" i="1"/>
  <c r="A4049" i="1"/>
  <c r="B4049" i="1"/>
  <c r="C4049" i="1"/>
  <c r="A12942" i="1"/>
  <c r="B12942" i="1"/>
  <c r="C12942" i="1"/>
  <c r="A780" i="1"/>
  <c r="B780" i="1"/>
  <c r="C780" i="1"/>
  <c r="A6054" i="1"/>
  <c r="B6054" i="1"/>
  <c r="C6054" i="1"/>
  <c r="A6143" i="1"/>
  <c r="B6143" i="1"/>
  <c r="C6143" i="1"/>
  <c r="A2039" i="1"/>
  <c r="B2039" i="1"/>
  <c r="C2039" i="1"/>
  <c r="A10230" i="1"/>
  <c r="B10230" i="1"/>
  <c r="C10230" i="1"/>
  <c r="A7768" i="1"/>
  <c r="B7768" i="1"/>
  <c r="C7768" i="1"/>
  <c r="A8102" i="1"/>
  <c r="B8102" i="1"/>
  <c r="C8102" i="1"/>
  <c r="A477" i="1"/>
  <c r="B477" i="1"/>
  <c r="C477" i="1"/>
  <c r="A4229" i="1"/>
  <c r="B4229" i="1"/>
  <c r="C4229" i="1"/>
  <c r="A373" i="1"/>
  <c r="B373" i="1"/>
  <c r="C373" i="1"/>
  <c r="A8216" i="1"/>
  <c r="B8216" i="1"/>
  <c r="C8216" i="1"/>
  <c r="A4897" i="1"/>
  <c r="B4897" i="1"/>
  <c r="C4897" i="1"/>
  <c r="A1001" i="1"/>
  <c r="B1001" i="1"/>
  <c r="C1001" i="1"/>
  <c r="A2169" i="1"/>
  <c r="B2169" i="1"/>
  <c r="C2169" i="1"/>
  <c r="A3466" i="1"/>
  <c r="B3466" i="1"/>
  <c r="C3466" i="1"/>
  <c r="A5193" i="1"/>
  <c r="B5193" i="1"/>
  <c r="C5193" i="1"/>
  <c r="A3171" i="1"/>
  <c r="B3171" i="1"/>
  <c r="C3171" i="1"/>
  <c r="A1953" i="1"/>
  <c r="B1953" i="1"/>
  <c r="C1953" i="1"/>
  <c r="A9715" i="1"/>
  <c r="B9715" i="1"/>
  <c r="C9715" i="1"/>
  <c r="A4513" i="1"/>
  <c r="B4513" i="1"/>
  <c r="C4513" i="1"/>
  <c r="A10044" i="1"/>
  <c r="B10044" i="1"/>
  <c r="C10044" i="1"/>
  <c r="A9145" i="1"/>
  <c r="B9145" i="1"/>
  <c r="C9145" i="1"/>
  <c r="A13329" i="1"/>
  <c r="B13329" i="1"/>
  <c r="C13329" i="1"/>
  <c r="A7901" i="1"/>
  <c r="B7901" i="1"/>
  <c r="C7901" i="1"/>
  <c r="A7413" i="1"/>
  <c r="B7413" i="1"/>
  <c r="C7413" i="1"/>
  <c r="A2740" i="1"/>
  <c r="B2740" i="1"/>
  <c r="C2740" i="1"/>
  <c r="A6101" i="1"/>
  <c r="B6101" i="1"/>
  <c r="C6101" i="1"/>
  <c r="A9390" i="1"/>
  <c r="B9390" i="1"/>
  <c r="C9390" i="1"/>
  <c r="A11493" i="1"/>
  <c r="B11493" i="1"/>
  <c r="C11493" i="1"/>
  <c r="A6980" i="1"/>
  <c r="B6980" i="1"/>
  <c r="C6980" i="1"/>
  <c r="A1854" i="1"/>
  <c r="B1854" i="1"/>
  <c r="C1854" i="1"/>
  <c r="A13175" i="1"/>
  <c r="B13175" i="1"/>
  <c r="C13175" i="1"/>
  <c r="A2410" i="1"/>
  <c r="B2410" i="1"/>
  <c r="C2410" i="1"/>
  <c r="A2553" i="1"/>
  <c r="B2553" i="1"/>
  <c r="C2553" i="1"/>
  <c r="A5943" i="1"/>
  <c r="B5943" i="1"/>
  <c r="C5943" i="1"/>
  <c r="A2769" i="1"/>
  <c r="B2769" i="1"/>
  <c r="C2769" i="1"/>
  <c r="A620" i="1"/>
  <c r="B620" i="1"/>
  <c r="C620" i="1"/>
  <c r="A6307" i="1"/>
  <c r="B6307" i="1"/>
  <c r="C6307" i="1"/>
  <c r="A11791" i="1"/>
  <c r="B11791" i="1"/>
  <c r="C11791" i="1"/>
  <c r="A6113" i="1"/>
  <c r="B6113" i="1"/>
  <c r="C6113" i="1"/>
  <c r="A13615" i="1"/>
  <c r="B13615" i="1"/>
  <c r="C13615" i="1"/>
  <c r="A3793" i="1"/>
  <c r="B3793" i="1"/>
  <c r="C3793" i="1"/>
  <c r="A13317" i="1"/>
  <c r="B13317" i="1"/>
  <c r="C13317" i="1"/>
  <c r="A3141" i="1"/>
  <c r="B3141" i="1"/>
  <c r="C3141" i="1"/>
  <c r="A9495" i="1"/>
  <c r="B9495" i="1"/>
  <c r="C9495" i="1"/>
  <c r="A9577" i="1"/>
  <c r="B9577" i="1"/>
  <c r="C9577" i="1"/>
  <c r="A4010" i="1"/>
  <c r="B4010" i="1"/>
  <c r="C4010" i="1"/>
  <c r="A4011" i="1"/>
  <c r="B4011" i="1"/>
  <c r="C4011" i="1"/>
  <c r="A4012" i="1"/>
  <c r="B4012" i="1"/>
  <c r="C4012" i="1"/>
  <c r="A4013" i="1"/>
  <c r="B4013" i="1"/>
  <c r="C4013" i="1"/>
  <c r="A2129" i="1"/>
  <c r="B2129" i="1"/>
  <c r="C2129" i="1"/>
  <c r="A8577" i="1"/>
  <c r="B8577" i="1"/>
  <c r="C8577" i="1"/>
  <c r="A11615" i="1"/>
  <c r="B11615" i="1"/>
  <c r="C11615" i="1"/>
  <c r="A1915" i="1"/>
  <c r="B1915" i="1"/>
  <c r="C1915" i="1"/>
  <c r="A13151" i="1"/>
  <c r="B13151" i="1"/>
  <c r="C13151" i="1"/>
  <c r="A10150" i="1"/>
  <c r="B10150" i="1"/>
  <c r="C10150" i="1"/>
  <c r="A9257" i="1"/>
  <c r="B9257" i="1"/>
  <c r="C9257" i="1"/>
  <c r="A4827" i="1"/>
  <c r="B4827" i="1"/>
  <c r="C4827" i="1"/>
  <c r="A6786" i="1"/>
  <c r="B6786" i="1"/>
  <c r="C6786" i="1"/>
  <c r="A12067" i="1"/>
  <c r="B12067" i="1"/>
  <c r="C12067" i="1"/>
  <c r="A7373" i="1"/>
  <c r="B7373" i="1"/>
  <c r="C7373" i="1"/>
  <c r="A13413" i="1"/>
  <c r="B13413" i="1"/>
  <c r="C13413" i="1"/>
  <c r="A13635" i="1"/>
  <c r="B13635" i="1"/>
  <c r="C13635" i="1"/>
  <c r="A8067" i="1"/>
  <c r="B8067" i="1"/>
  <c r="C8067" i="1"/>
  <c r="A9743" i="1"/>
  <c r="B9743" i="1"/>
  <c r="C9743" i="1"/>
  <c r="A681" i="1"/>
  <c r="B681" i="1"/>
  <c r="C681" i="1"/>
  <c r="A1423" i="1"/>
  <c r="B1423" i="1"/>
  <c r="C1423" i="1"/>
  <c r="A6757" i="1"/>
  <c r="B6757" i="1"/>
  <c r="C6757" i="1"/>
  <c r="A11050" i="1"/>
  <c r="B11050" i="1"/>
  <c r="C11050" i="1"/>
  <c r="A2033" i="1"/>
  <c r="B2033" i="1"/>
  <c r="C2033" i="1"/>
  <c r="A2566" i="1"/>
  <c r="B2566" i="1"/>
  <c r="C2566" i="1"/>
  <c r="A5501" i="1"/>
  <c r="B5501" i="1"/>
  <c r="C5501" i="1"/>
  <c r="A7475" i="1"/>
  <c r="B7475" i="1"/>
  <c r="C7475" i="1"/>
  <c r="A7303" i="1"/>
  <c r="B7303" i="1"/>
  <c r="C7303" i="1"/>
  <c r="A6771" i="1"/>
  <c r="B6771" i="1"/>
  <c r="C6771" i="1"/>
  <c r="A11809" i="1"/>
  <c r="B11809" i="1"/>
  <c r="C11809" i="1"/>
  <c r="A3088" i="1"/>
  <c r="B3088" i="1"/>
  <c r="C3088" i="1"/>
  <c r="A5064" i="1"/>
  <c r="B5064" i="1"/>
  <c r="C5064" i="1"/>
  <c r="A8370" i="1"/>
  <c r="B8370" i="1"/>
  <c r="C8370" i="1"/>
  <c r="A5219" i="1"/>
  <c r="B5219" i="1"/>
  <c r="C5219" i="1"/>
  <c r="A2965" i="1"/>
  <c r="B2965" i="1"/>
  <c r="C2965" i="1"/>
  <c r="A10058" i="1"/>
  <c r="B10058" i="1"/>
  <c r="C10058" i="1"/>
  <c r="A2992" i="1"/>
  <c r="B2992" i="1"/>
  <c r="C2992" i="1"/>
  <c r="A3937" i="1"/>
  <c r="B3937" i="1"/>
  <c r="C3937" i="1"/>
  <c r="A13697" i="1"/>
  <c r="B13697" i="1"/>
  <c r="C13697" i="1"/>
  <c r="A9053" i="1"/>
  <c r="B9053" i="1"/>
  <c r="C9053" i="1"/>
  <c r="A2148" i="1"/>
  <c r="B2148" i="1"/>
  <c r="C2148" i="1"/>
  <c r="A5985" i="1"/>
  <c r="B5985" i="1"/>
  <c r="C5985" i="1"/>
  <c r="A5518" i="1"/>
  <c r="B5518" i="1"/>
  <c r="C5518" i="1"/>
  <c r="A13148" i="1"/>
  <c r="B13148" i="1"/>
  <c r="C13148" i="1"/>
  <c r="A5852" i="1"/>
  <c r="B5852" i="1"/>
  <c r="C5852" i="1"/>
  <c r="A13478" i="1"/>
  <c r="B13478" i="1"/>
  <c r="C13478" i="1"/>
  <c r="A7960" i="1"/>
  <c r="B7960" i="1"/>
  <c r="C7960" i="1"/>
  <c r="A3017" i="1"/>
  <c r="B3017" i="1"/>
  <c r="C3017" i="1"/>
  <c r="A13071" i="1"/>
  <c r="B13071" i="1"/>
  <c r="C13071" i="1"/>
  <c r="A7627" i="1"/>
  <c r="B7627" i="1"/>
  <c r="C7627" i="1"/>
  <c r="A5791" i="1"/>
  <c r="B5791" i="1"/>
  <c r="C5791" i="1"/>
  <c r="A10527" i="1"/>
  <c r="B10527" i="1"/>
  <c r="C10527" i="1"/>
  <c r="A1747" i="1"/>
  <c r="B1747" i="1"/>
  <c r="C1747" i="1"/>
  <c r="A11539" i="1"/>
  <c r="B11539" i="1"/>
  <c r="C11539" i="1"/>
  <c r="A4494" i="1"/>
  <c r="B4494" i="1"/>
  <c r="C4494" i="1"/>
  <c r="A2814" i="1"/>
  <c r="B2814" i="1"/>
  <c r="C2814" i="1"/>
  <c r="A2776" i="1"/>
  <c r="B2776" i="1"/>
  <c r="C2776" i="1"/>
  <c r="A2503" i="1"/>
  <c r="B2503" i="1"/>
  <c r="C2503" i="1"/>
  <c r="A9500" i="1"/>
  <c r="B9500" i="1"/>
  <c r="C9500" i="1"/>
  <c r="A4988" i="1"/>
  <c r="B4988" i="1"/>
  <c r="C4988" i="1"/>
  <c r="A1755" i="1"/>
  <c r="B1755" i="1"/>
  <c r="C1755" i="1"/>
  <c r="A540" i="1"/>
  <c r="B540" i="1"/>
  <c r="C540" i="1"/>
  <c r="A8919" i="1"/>
  <c r="B8919" i="1"/>
  <c r="C8919" i="1"/>
  <c r="A7480" i="1"/>
  <c r="B7480" i="1"/>
  <c r="C7480" i="1"/>
  <c r="A13250" i="1"/>
  <c r="B13250" i="1"/>
  <c r="C13250" i="1"/>
  <c r="A13737" i="1"/>
  <c r="B13737" i="1"/>
  <c r="C13737" i="1"/>
  <c r="A9371" i="1"/>
  <c r="B9371" i="1"/>
  <c r="C9371" i="1"/>
  <c r="A863" i="1"/>
  <c r="B863" i="1"/>
  <c r="C863" i="1"/>
  <c r="A10059" i="1"/>
  <c r="B10059" i="1"/>
  <c r="C10059" i="1"/>
  <c r="A8479" i="1"/>
  <c r="B8479" i="1"/>
  <c r="C8479" i="1"/>
  <c r="A12925" i="1"/>
  <c r="B12925" i="1"/>
  <c r="C12925" i="1"/>
  <c r="A5065" i="1"/>
  <c r="B5065" i="1"/>
  <c r="C5065" i="1"/>
  <c r="A4031" i="1"/>
  <c r="B4031" i="1"/>
  <c r="C4031" i="1"/>
  <c r="A4683" i="1"/>
  <c r="B4683" i="1"/>
  <c r="C4683" i="1"/>
  <c r="A5939" i="1"/>
  <c r="B5939" i="1"/>
  <c r="C5939" i="1"/>
  <c r="A13870" i="1"/>
  <c r="B13870" i="1"/>
  <c r="C13870" i="1"/>
  <c r="A387" i="1"/>
  <c r="B387" i="1"/>
  <c r="C387" i="1"/>
  <c r="A5589" i="1"/>
  <c r="B5589" i="1"/>
  <c r="C5589" i="1"/>
  <c r="A12786" i="1"/>
  <c r="B12786" i="1"/>
  <c r="C12786" i="1"/>
  <c r="A7504" i="1"/>
  <c r="B7504" i="1"/>
  <c r="C7504" i="1"/>
  <c r="A2003" i="1"/>
  <c r="B2003" i="1"/>
  <c r="C2003" i="1"/>
  <c r="A1285" i="1"/>
  <c r="B1285" i="1"/>
  <c r="C1285" i="1"/>
  <c r="A2212" i="1"/>
  <c r="B2212" i="1"/>
  <c r="C2212" i="1"/>
  <c r="A12511" i="1"/>
  <c r="B12511" i="1"/>
  <c r="C12511" i="1"/>
  <c r="A509" i="1"/>
  <c r="B509" i="1"/>
  <c r="C509" i="1"/>
  <c r="A6936" i="1"/>
  <c r="B6936" i="1"/>
  <c r="C6936" i="1"/>
  <c r="A10145" i="1"/>
  <c r="B10145" i="1"/>
  <c r="C10145" i="1"/>
  <c r="A8009" i="1"/>
  <c r="B8009" i="1"/>
  <c r="C8009" i="1"/>
  <c r="A12738" i="1"/>
  <c r="B12738" i="1"/>
  <c r="C12738" i="1"/>
  <c r="A3183" i="1"/>
  <c r="B3183" i="1"/>
  <c r="C3183" i="1"/>
  <c r="A13493" i="1"/>
  <c r="B13493" i="1"/>
  <c r="C13493" i="1"/>
  <c r="A4512" i="1"/>
  <c r="B4512" i="1"/>
  <c r="C4512" i="1"/>
  <c r="A10506" i="1"/>
  <c r="B10506" i="1"/>
  <c r="C10506" i="1"/>
  <c r="A6843" i="1"/>
  <c r="B6843" i="1"/>
  <c r="C6843" i="1"/>
  <c r="A7414" i="1"/>
  <c r="B7414" i="1"/>
  <c r="C7414" i="1"/>
  <c r="A2300" i="1"/>
  <c r="B2300" i="1"/>
  <c r="C2300" i="1"/>
  <c r="A3190" i="1"/>
  <c r="B3190" i="1"/>
  <c r="C3190" i="1"/>
  <c r="A10520" i="1"/>
  <c r="B10520" i="1"/>
  <c r="C10520" i="1"/>
  <c r="A8855" i="1"/>
  <c r="B8855" i="1"/>
  <c r="C8855" i="1"/>
  <c r="A7769" i="1"/>
  <c r="B7769" i="1"/>
  <c r="C7769" i="1"/>
  <c r="A8252" i="1"/>
  <c r="B8252" i="1"/>
  <c r="C8252" i="1"/>
  <c r="A3497" i="1"/>
  <c r="B3497" i="1"/>
  <c r="C3497" i="1"/>
  <c r="A1136" i="1"/>
  <c r="B1136" i="1"/>
  <c r="C1136" i="1"/>
  <c r="A10007" i="1"/>
  <c r="B10007" i="1"/>
  <c r="C10007" i="1"/>
  <c r="A13010" i="1"/>
  <c r="B13010" i="1"/>
  <c r="C13010" i="1"/>
  <c r="A7856" i="1"/>
  <c r="B7856" i="1"/>
  <c r="C7856" i="1"/>
  <c r="A12724" i="1"/>
  <c r="B12724" i="1"/>
  <c r="C12724" i="1"/>
  <c r="A4791" i="1"/>
  <c r="B4791" i="1"/>
  <c r="C4791" i="1"/>
  <c r="A5832" i="1"/>
  <c r="B5832" i="1"/>
  <c r="C5832" i="1"/>
  <c r="A11289" i="1"/>
  <c r="B11289" i="1"/>
  <c r="C11289" i="1"/>
  <c r="A4702" i="1"/>
  <c r="B4702" i="1"/>
  <c r="C4702" i="1"/>
  <c r="A1466" i="1"/>
  <c r="B1466" i="1"/>
  <c r="C1466" i="1"/>
  <c r="A5066" i="1"/>
  <c r="B5066" i="1"/>
  <c r="C5066" i="1"/>
  <c r="A13325" i="1"/>
  <c r="B13325" i="1"/>
  <c r="C13325" i="1"/>
  <c r="A13326" i="1"/>
  <c r="B13326" i="1"/>
  <c r="C13326" i="1"/>
  <c r="A6048" i="1"/>
  <c r="B6048" i="1"/>
  <c r="C6048" i="1"/>
  <c r="A6568" i="1"/>
  <c r="B6568" i="1"/>
  <c r="C6568" i="1"/>
  <c r="A2730" i="1"/>
  <c r="B2730" i="1"/>
  <c r="C2730" i="1"/>
  <c r="A5988" i="1"/>
  <c r="B5988" i="1"/>
  <c r="C5988" i="1"/>
  <c r="A13708" i="1"/>
  <c r="B13708" i="1"/>
  <c r="C13708" i="1"/>
  <c r="A3741" i="1"/>
  <c r="B3741" i="1"/>
  <c r="C3741" i="1"/>
  <c r="A11403" i="1"/>
  <c r="B11403" i="1"/>
  <c r="C11403" i="1"/>
  <c r="A632" i="1"/>
  <c r="B632" i="1"/>
  <c r="C632" i="1"/>
  <c r="A10676" i="1"/>
  <c r="B10676" i="1"/>
  <c r="C10676" i="1"/>
  <c r="A7575" i="1"/>
  <c r="B7575" i="1"/>
  <c r="C7575" i="1"/>
  <c r="A8549" i="1"/>
  <c r="B8549" i="1"/>
  <c r="C8549" i="1"/>
  <c r="A8550" i="1"/>
  <c r="B8550" i="1"/>
  <c r="C8550" i="1"/>
  <c r="A6359" i="1"/>
  <c r="B6359" i="1"/>
  <c r="C6359" i="1"/>
  <c r="A13755" i="1"/>
  <c r="B13755" i="1"/>
  <c r="C13755" i="1"/>
  <c r="A12892" i="1"/>
  <c r="B12892" i="1"/>
  <c r="C12892" i="1"/>
  <c r="A478" i="1"/>
  <c r="B478" i="1"/>
  <c r="C478" i="1"/>
  <c r="A5782" i="1"/>
  <c r="B5782" i="1"/>
  <c r="C5782" i="1"/>
  <c r="A4223" i="1"/>
  <c r="B4223" i="1"/>
  <c r="C4223" i="1"/>
  <c r="A11526" i="1"/>
  <c r="B11526" i="1"/>
  <c r="C11526" i="1"/>
  <c r="A6102" i="1"/>
  <c r="B6102" i="1"/>
  <c r="C6102" i="1"/>
  <c r="A8219" i="1"/>
  <c r="B8219" i="1"/>
  <c r="C8219" i="1"/>
  <c r="A5672" i="1"/>
  <c r="B5672" i="1"/>
  <c r="C5672" i="1"/>
  <c r="A1414" i="1"/>
  <c r="B1414" i="1"/>
  <c r="C1414" i="1"/>
  <c r="A6559" i="1"/>
  <c r="B6559" i="1"/>
  <c r="C6559" i="1"/>
  <c r="A12628" i="1"/>
  <c r="B12628" i="1"/>
  <c r="C12628" i="1"/>
  <c r="A1494" i="1"/>
  <c r="B1494" i="1"/>
  <c r="C1494" i="1"/>
  <c r="A2019" i="1"/>
  <c r="B2019" i="1"/>
  <c r="C2019" i="1"/>
  <c r="A2020" i="1"/>
  <c r="B2020" i="1"/>
  <c r="C2020" i="1"/>
  <c r="A11806" i="1"/>
  <c r="B11806" i="1"/>
  <c r="C11806" i="1"/>
  <c r="A9838" i="1"/>
  <c r="B9838" i="1"/>
  <c r="C9838" i="1"/>
  <c r="A12994" i="1"/>
  <c r="B12994" i="1"/>
  <c r="C12994" i="1"/>
  <c r="A10508" i="1"/>
  <c r="B10508" i="1"/>
  <c r="C10508" i="1"/>
  <c r="A3767" i="1"/>
  <c r="B3767" i="1"/>
  <c r="C3767" i="1"/>
  <c r="A12794" i="1"/>
  <c r="B12794" i="1"/>
  <c r="C12794" i="1"/>
  <c r="A3176" i="1"/>
  <c r="B3176" i="1"/>
  <c r="C3176" i="1"/>
  <c r="A9737" i="1"/>
  <c r="B9737" i="1"/>
  <c r="C9737" i="1"/>
  <c r="A8942" i="1"/>
  <c r="B8942" i="1"/>
  <c r="C8942" i="1"/>
  <c r="A8084" i="1"/>
  <c r="B8084" i="1"/>
  <c r="C8084" i="1"/>
  <c r="A8986" i="1"/>
  <c r="B8986" i="1"/>
  <c r="C8986" i="1"/>
  <c r="A10799" i="1"/>
  <c r="B10799" i="1"/>
  <c r="C10799" i="1"/>
  <c r="A8754" i="1"/>
  <c r="B8754" i="1"/>
  <c r="C8754" i="1"/>
  <c r="A12481" i="1"/>
  <c r="B12481" i="1"/>
  <c r="C12481" i="1"/>
  <c r="A13512" i="1"/>
  <c r="B13512" i="1"/>
  <c r="C13512" i="1"/>
  <c r="A12420" i="1"/>
  <c r="B12420" i="1"/>
  <c r="C12420" i="1"/>
  <c r="A7447" i="1"/>
  <c r="B7447" i="1"/>
  <c r="C7447" i="1"/>
  <c r="A10365" i="1"/>
  <c r="B10365" i="1"/>
  <c r="C10365" i="1"/>
  <c r="A8551" i="1"/>
  <c r="B8551" i="1"/>
  <c r="C8551" i="1"/>
  <c r="A8552" i="1"/>
  <c r="B8552" i="1"/>
  <c r="C8552" i="1"/>
  <c r="A13054" i="1"/>
  <c r="B13054" i="1"/>
  <c r="C13054" i="1"/>
  <c r="A9259" i="1"/>
  <c r="B9259" i="1"/>
  <c r="C9259" i="1"/>
  <c r="A5750" i="1"/>
  <c r="B5750" i="1"/>
  <c r="C5750" i="1"/>
  <c r="A1240" i="1"/>
  <c r="B1240" i="1"/>
  <c r="C1240" i="1"/>
  <c r="A6560" i="1"/>
  <c r="B6560" i="1"/>
  <c r="C6560" i="1"/>
  <c r="A7182" i="1"/>
  <c r="B7182" i="1"/>
  <c r="C7182" i="1"/>
  <c r="A6561" i="1"/>
  <c r="B6561" i="1"/>
  <c r="C6561" i="1"/>
  <c r="A10463" i="1"/>
  <c r="B10463" i="1"/>
  <c r="C10463" i="1"/>
  <c r="A6562" i="1"/>
  <c r="B6562" i="1"/>
  <c r="C6562" i="1"/>
  <c r="A2009" i="1"/>
  <c r="B2009" i="1"/>
  <c r="C2009" i="1"/>
  <c r="A7712" i="1"/>
  <c r="B7712" i="1"/>
  <c r="C7712" i="1"/>
  <c r="A3266" i="1"/>
  <c r="B3266" i="1"/>
  <c r="C3266" i="1"/>
  <c r="A3867" i="1"/>
  <c r="B3867" i="1"/>
  <c r="C3867" i="1"/>
  <c r="A2328" i="1"/>
  <c r="B2328" i="1"/>
  <c r="C2328" i="1"/>
  <c r="A13290" i="1"/>
  <c r="B13290" i="1"/>
  <c r="C13290" i="1"/>
  <c r="A1607" i="1"/>
  <c r="B1607" i="1"/>
  <c r="C1607" i="1"/>
  <c r="A656" i="1"/>
  <c r="B656" i="1"/>
  <c r="C656" i="1"/>
  <c r="A2748" i="1"/>
  <c r="B2748" i="1"/>
  <c r="C2748" i="1"/>
  <c r="A5098" i="1"/>
  <c r="B5098" i="1"/>
  <c r="C5098" i="1"/>
  <c r="A9792" i="1"/>
  <c r="B9792" i="1"/>
  <c r="C9792" i="1"/>
  <c r="A1486" i="1"/>
  <c r="B1486" i="1"/>
  <c r="C1486" i="1"/>
  <c r="A3242" i="1"/>
  <c r="B3242" i="1"/>
  <c r="C3242" i="1"/>
  <c r="A3386" i="1"/>
  <c r="B3386" i="1"/>
  <c r="C3386" i="1"/>
  <c r="A12259" i="1"/>
  <c r="B12259" i="1"/>
  <c r="A6758" i="1"/>
  <c r="B6758" i="1"/>
  <c r="C6758" i="1"/>
  <c r="A2582" i="1"/>
  <c r="B2582" i="1"/>
  <c r="C2582" i="1"/>
  <c r="A3158" i="1"/>
  <c r="B3158" i="1"/>
  <c r="C3158" i="1"/>
  <c r="A5490" i="1"/>
  <c r="B5490" i="1"/>
  <c r="C5490" i="1"/>
  <c r="A4639" i="1"/>
  <c r="B4639" i="1"/>
  <c r="C4639" i="1"/>
  <c r="A1298" i="1"/>
  <c r="B1298" i="1"/>
  <c r="C1298" i="1"/>
  <c r="A7009" i="1"/>
  <c r="B7009" i="1"/>
  <c r="C7009" i="1"/>
  <c r="A2983" i="1"/>
  <c r="B2983" i="1"/>
  <c r="C2983" i="1"/>
  <c r="A176" i="1"/>
  <c r="B176" i="1"/>
  <c r="C176" i="1"/>
  <c r="A12814" i="1"/>
  <c r="B12814" i="1"/>
  <c r="C12814" i="1"/>
  <c r="A973" i="1"/>
  <c r="B973" i="1"/>
  <c r="C973" i="1"/>
  <c r="A2163" i="1"/>
  <c r="B2163" i="1"/>
  <c r="C2163" i="1"/>
  <c r="A7324" i="1"/>
  <c r="B7324" i="1"/>
  <c r="C7324" i="1"/>
  <c r="A10566" i="1"/>
  <c r="B10566" i="1"/>
  <c r="C10566" i="1"/>
  <c r="A12159" i="1"/>
  <c r="B12159" i="1"/>
  <c r="C12159" i="1"/>
  <c r="A10284" i="1"/>
  <c r="B10284" i="1"/>
  <c r="C10284" i="1"/>
  <c r="A11509" i="1"/>
  <c r="B11509" i="1"/>
  <c r="C11509" i="1"/>
  <c r="A8462" i="1"/>
  <c r="B8462" i="1"/>
  <c r="C8462" i="1"/>
  <c r="A5858" i="1"/>
  <c r="B5858" i="1"/>
  <c r="C5858" i="1"/>
  <c r="A11319" i="1"/>
  <c r="B11319" i="1"/>
  <c r="C11319" i="1"/>
  <c r="A9159" i="1"/>
  <c r="B9159" i="1"/>
  <c r="C9159" i="1"/>
  <c r="A12520" i="1"/>
  <c r="B12520" i="1"/>
  <c r="C12520" i="1"/>
  <c r="A12467" i="1"/>
  <c r="B12467" i="1"/>
  <c r="C12467" i="1"/>
  <c r="A1722" i="1"/>
  <c r="B1722" i="1"/>
  <c r="C1722" i="1"/>
  <c r="A13562" i="1"/>
  <c r="B13562" i="1"/>
  <c r="C13562" i="1"/>
  <c r="A4516" i="1"/>
  <c r="B4516" i="1"/>
  <c r="C4516" i="1"/>
  <c r="A5874" i="1"/>
  <c r="B5874" i="1"/>
  <c r="C5874" i="1"/>
  <c r="A5844" i="1"/>
  <c r="B5844" i="1"/>
  <c r="C5844" i="1"/>
  <c r="A5848" i="1"/>
  <c r="B5848" i="1"/>
  <c r="C5848" i="1"/>
  <c r="A10568" i="1"/>
  <c r="B10568" i="1"/>
  <c r="C10568" i="1"/>
  <c r="A8220" i="1"/>
  <c r="B8220" i="1"/>
  <c r="C8220" i="1"/>
  <c r="A6772" i="1"/>
  <c r="B6772" i="1"/>
  <c r="C6772" i="1"/>
  <c r="A13369" i="1"/>
  <c r="B13369" i="1"/>
  <c r="C13369" i="1"/>
  <c r="A725" i="1"/>
  <c r="B725" i="1"/>
  <c r="C725" i="1"/>
  <c r="A8454" i="1"/>
  <c r="B8454" i="1"/>
  <c r="C8454" i="1"/>
  <c r="A1083" i="1"/>
  <c r="B1083" i="1"/>
  <c r="C1083" i="1"/>
  <c r="A7596" i="1"/>
  <c r="B7596" i="1"/>
  <c r="C7596" i="1"/>
  <c r="A1717" i="1"/>
  <c r="B1717" i="1"/>
  <c r="C1717" i="1"/>
  <c r="A10125" i="1"/>
  <c r="B10125" i="1"/>
  <c r="C10125" i="1"/>
  <c r="A6039" i="1"/>
  <c r="B6039" i="1"/>
  <c r="C6039" i="1"/>
  <c r="A12260" i="1"/>
  <c r="B12260" i="1"/>
  <c r="A12261" i="1"/>
  <c r="B12261" i="1"/>
  <c r="A9732" i="1"/>
  <c r="B9732" i="1"/>
  <c r="C9732" i="1"/>
  <c r="A5903" i="1"/>
  <c r="B5903" i="1"/>
  <c r="C5903" i="1"/>
  <c r="A177" i="1"/>
  <c r="B177" i="1"/>
  <c r="C177" i="1"/>
  <c r="A12295" i="1"/>
  <c r="B12295" i="1"/>
  <c r="C12295" i="1"/>
  <c r="A12823" i="1"/>
  <c r="B12823" i="1"/>
  <c r="C12823" i="1"/>
  <c r="A7940" i="1"/>
  <c r="B7940" i="1"/>
  <c r="C7940" i="1"/>
  <c r="A7941" i="1"/>
  <c r="B7941" i="1"/>
  <c r="C7941" i="1"/>
  <c r="A12979" i="1"/>
  <c r="B12979" i="1"/>
  <c r="C12979" i="1"/>
  <c r="A9746" i="1"/>
  <c r="B9746" i="1"/>
  <c r="C9746" i="1"/>
  <c r="A11584" i="1"/>
  <c r="B11584" i="1"/>
  <c r="C11584" i="1"/>
  <c r="A9213" i="1"/>
  <c r="B9213" i="1"/>
  <c r="C9213" i="1"/>
  <c r="A5135" i="1"/>
  <c r="B5135" i="1"/>
  <c r="C5135" i="1"/>
  <c r="A3019" i="1"/>
  <c r="B3019" i="1"/>
  <c r="C3019" i="1"/>
  <c r="A5194" i="1"/>
  <c r="B5194" i="1"/>
  <c r="C5194" i="1"/>
  <c r="A3062" i="1"/>
  <c r="B3062" i="1"/>
  <c r="C3062" i="1"/>
  <c r="A3063" i="1"/>
  <c r="B3063" i="1"/>
  <c r="C3063" i="1"/>
  <c r="A1336" i="1"/>
  <c r="B1336" i="1"/>
  <c r="C1336" i="1"/>
  <c r="A3791" i="1"/>
  <c r="B3791" i="1"/>
  <c r="C3791" i="1"/>
  <c r="A9308" i="1"/>
  <c r="B9308" i="1"/>
  <c r="C9308" i="1"/>
  <c r="A516" i="1"/>
  <c r="B516" i="1"/>
  <c r="C516" i="1"/>
  <c r="A6321" i="1"/>
  <c r="B6321" i="1"/>
  <c r="C6321" i="1"/>
  <c r="A6322" i="1"/>
  <c r="B6322" i="1"/>
  <c r="C6322" i="1"/>
  <c r="A12779" i="1"/>
  <c r="B12779" i="1"/>
  <c r="C12779" i="1"/>
  <c r="A6865" i="1"/>
  <c r="B6865" i="1"/>
  <c r="C6865" i="1"/>
  <c r="A9636" i="1"/>
  <c r="B9636" i="1"/>
  <c r="C9636" i="1"/>
  <c r="A9276" i="1"/>
  <c r="B9276" i="1"/>
  <c r="C9276" i="1"/>
  <c r="A12128" i="1"/>
  <c r="B12128" i="1"/>
  <c r="C12128" i="1"/>
  <c r="A5343" i="1"/>
  <c r="B5343" i="1"/>
  <c r="C5343" i="1"/>
  <c r="A8791" i="1"/>
  <c r="B8791" i="1"/>
  <c r="C8791" i="1"/>
  <c r="A9858" i="1"/>
  <c r="B9858" i="1"/>
  <c r="C9858" i="1"/>
  <c r="A2842" i="1"/>
  <c r="B2842" i="1"/>
  <c r="C2842" i="1"/>
  <c r="A9110" i="1"/>
  <c r="B9110" i="1"/>
  <c r="C9110" i="1"/>
  <c r="A9263" i="1"/>
  <c r="B9263" i="1"/>
  <c r="C9263" i="1"/>
  <c r="A10149" i="1"/>
  <c r="B10149" i="1"/>
  <c r="C10149" i="1"/>
  <c r="A6409" i="1"/>
  <c r="B6409" i="1"/>
  <c r="C6409" i="1"/>
  <c r="A6410" i="1"/>
  <c r="B6410" i="1"/>
  <c r="C6410" i="1"/>
  <c r="A6411" i="1"/>
  <c r="B6411" i="1"/>
  <c r="C6411" i="1"/>
  <c r="A8041" i="1"/>
  <c r="B8041" i="1"/>
  <c r="C8041" i="1"/>
  <c r="A635" i="1"/>
  <c r="B635" i="1"/>
  <c r="C635" i="1"/>
  <c r="A844" i="1"/>
  <c r="B844" i="1"/>
  <c r="C844" i="1"/>
  <c r="A306" i="1"/>
  <c r="B306" i="1"/>
  <c r="C306" i="1"/>
  <c r="A11554" i="1"/>
  <c r="B11554" i="1"/>
  <c r="C11554" i="1"/>
  <c r="A6720" i="1"/>
  <c r="B6720" i="1"/>
  <c r="C6720" i="1"/>
  <c r="A4342" i="1"/>
  <c r="B4342" i="1"/>
  <c r="C4342" i="1"/>
  <c r="A4343" i="1"/>
  <c r="B4343" i="1"/>
  <c r="C4343" i="1"/>
  <c r="A5457" i="1"/>
  <c r="B5457" i="1"/>
  <c r="C5457" i="1"/>
  <c r="A4941" i="1"/>
  <c r="B4941" i="1"/>
  <c r="C4941" i="1"/>
  <c r="A381" i="1"/>
  <c r="B381" i="1"/>
  <c r="C381" i="1"/>
  <c r="A2299" i="1"/>
  <c r="B2299" i="1"/>
  <c r="C2299" i="1"/>
  <c r="A6850" i="1"/>
  <c r="B6850" i="1"/>
  <c r="C6850" i="1"/>
  <c r="A9998" i="1"/>
  <c r="B9998" i="1"/>
  <c r="C9998" i="1"/>
  <c r="A5067" i="1"/>
  <c r="B5067" i="1"/>
  <c r="C5067" i="1"/>
  <c r="A9848" i="1"/>
  <c r="B9848" i="1"/>
  <c r="C9848" i="1"/>
  <c r="A2742" i="1"/>
  <c r="B2742" i="1"/>
  <c r="C2742" i="1"/>
  <c r="A771" i="1"/>
  <c r="B771" i="1"/>
  <c r="C771" i="1"/>
  <c r="A6261" i="1"/>
  <c r="B6261" i="1"/>
  <c r="C6261" i="1"/>
  <c r="A6262" i="1"/>
  <c r="B6262" i="1"/>
  <c r="C6262" i="1"/>
  <c r="A10980" i="1"/>
  <c r="B10980" i="1"/>
  <c r="C10980" i="1"/>
  <c r="A2106" i="1"/>
  <c r="B2106" i="1"/>
  <c r="C2106" i="1"/>
  <c r="A3920" i="1"/>
  <c r="B3920" i="1"/>
  <c r="C3920" i="1"/>
  <c r="A11063" i="1"/>
  <c r="B11063" i="1"/>
  <c r="C11063" i="1"/>
  <c r="A11064" i="1"/>
  <c r="B11064" i="1"/>
  <c r="C11064" i="1"/>
  <c r="A11065" i="1"/>
  <c r="B11065" i="1"/>
  <c r="C11065" i="1"/>
  <c r="A11066" i="1"/>
  <c r="B11066" i="1"/>
  <c r="C11066" i="1"/>
  <c r="A641" i="1"/>
  <c r="B641" i="1"/>
  <c r="C641" i="1"/>
  <c r="A11067" i="1"/>
  <c r="B11067" i="1"/>
  <c r="C11067" i="1"/>
  <c r="A7384" i="1"/>
  <c r="B7384" i="1"/>
  <c r="C7384" i="1"/>
  <c r="A11068" i="1"/>
  <c r="B11068" i="1"/>
  <c r="C11068" i="1"/>
  <c r="A10450" i="1"/>
  <c r="B10450" i="1"/>
  <c r="C10450" i="1"/>
  <c r="A12447" i="1"/>
  <c r="B12447" i="1"/>
  <c r="C12447" i="1"/>
  <c r="A1347" i="1"/>
  <c r="B1347" i="1"/>
  <c r="C1347" i="1"/>
  <c r="A4203" i="1"/>
  <c r="B4203" i="1"/>
  <c r="C4203" i="1"/>
  <c r="A8467" i="1"/>
  <c r="B8467" i="1"/>
  <c r="C8467" i="1"/>
  <c r="A11823" i="1"/>
  <c r="B11823" i="1"/>
  <c r="C11823" i="1"/>
  <c r="A8583" i="1"/>
  <c r="B8583" i="1"/>
  <c r="C8583" i="1"/>
  <c r="A11901" i="1"/>
  <c r="B11901" i="1"/>
  <c r="C11901" i="1"/>
  <c r="A8694" i="1"/>
  <c r="B8694" i="1"/>
  <c r="C8694" i="1"/>
  <c r="A4154" i="1"/>
  <c r="B4154" i="1"/>
  <c r="C4154" i="1"/>
  <c r="A1302" i="1"/>
  <c r="B1302" i="1"/>
  <c r="C1302" i="1"/>
  <c r="A2288" i="1"/>
  <c r="B2288" i="1"/>
  <c r="C2288" i="1"/>
  <c r="A12527" i="1"/>
  <c r="B12527" i="1"/>
  <c r="C12527" i="1"/>
  <c r="A7880" i="1"/>
  <c r="B7880" i="1"/>
  <c r="C7880" i="1"/>
  <c r="A10981" i="1"/>
  <c r="B10981" i="1"/>
  <c r="C10981" i="1"/>
  <c r="A8334" i="1"/>
  <c r="B8334" i="1"/>
  <c r="C8334" i="1"/>
  <c r="A5319" i="1"/>
  <c r="B5319" i="1"/>
  <c r="C5319" i="1"/>
  <c r="A9091" i="1"/>
  <c r="B9091" i="1"/>
  <c r="C9091" i="1"/>
  <c r="A8464" i="1"/>
  <c r="B8464" i="1"/>
  <c r="C8464" i="1"/>
  <c r="A5358" i="1"/>
  <c r="B5358" i="1"/>
  <c r="C5358" i="1"/>
  <c r="A2832" i="1"/>
  <c r="B2832" i="1"/>
  <c r="C2832" i="1"/>
  <c r="A7811" i="1"/>
  <c r="B7811" i="1"/>
  <c r="C7811" i="1"/>
  <c r="A8217" i="1"/>
  <c r="B8217" i="1"/>
  <c r="C8217" i="1"/>
  <c r="A13239" i="1"/>
  <c r="B13239" i="1"/>
  <c r="C13239" i="1"/>
  <c r="A7716" i="1"/>
  <c r="B7716" i="1"/>
  <c r="C7716" i="1"/>
  <c r="A5937" i="1"/>
  <c r="B5937" i="1"/>
  <c r="C5937" i="1"/>
  <c r="A7419" i="1"/>
  <c r="B7419" i="1"/>
  <c r="C7419" i="1"/>
  <c r="A10616" i="1"/>
  <c r="B10616" i="1"/>
  <c r="C10616" i="1"/>
  <c r="A3657" i="1"/>
  <c r="B3657" i="1"/>
  <c r="C3657" i="1"/>
  <c r="A12078" i="1"/>
  <c r="B12078" i="1"/>
  <c r="C12078" i="1"/>
  <c r="A610" i="1"/>
  <c r="B610" i="1"/>
  <c r="C610" i="1"/>
  <c r="A6973" i="1"/>
  <c r="B6973" i="1"/>
  <c r="C6973" i="1"/>
  <c r="A3801" i="1"/>
  <c r="B3801" i="1"/>
  <c r="C3801" i="1"/>
  <c r="A9002" i="1"/>
  <c r="B9002" i="1"/>
  <c r="C9002" i="1"/>
  <c r="A2427" i="1"/>
  <c r="B2427" i="1"/>
  <c r="C2427" i="1"/>
  <c r="A5446" i="1"/>
  <c r="B5446" i="1"/>
  <c r="C5446" i="1"/>
  <c r="A9593" i="1"/>
  <c r="B9593" i="1"/>
  <c r="C9593" i="1"/>
  <c r="A6526" i="1"/>
  <c r="B6526" i="1"/>
  <c r="C6526" i="1"/>
  <c r="A6527" i="1"/>
  <c r="B6527" i="1"/>
  <c r="C6527" i="1"/>
  <c r="A5804" i="1"/>
  <c r="B5804" i="1"/>
  <c r="C5804" i="1"/>
  <c r="A5805" i="1"/>
  <c r="B5805" i="1"/>
  <c r="C5805" i="1"/>
  <c r="A5803" i="1"/>
  <c r="B5803" i="1"/>
  <c r="C5803" i="1"/>
  <c r="A8461" i="1"/>
  <c r="B8461" i="1"/>
  <c r="C8461" i="1"/>
  <c r="A5429" i="1"/>
  <c r="B5429" i="1"/>
  <c r="C5429" i="1"/>
  <c r="A3555" i="1"/>
  <c r="B3555" i="1"/>
  <c r="C3555" i="1"/>
  <c r="A1193" i="1"/>
  <c r="B1193" i="1"/>
  <c r="C1193" i="1"/>
  <c r="A7011" i="1"/>
  <c r="B7011" i="1"/>
  <c r="C7011" i="1"/>
  <c r="A10164" i="1"/>
  <c r="B10164" i="1"/>
  <c r="C10164" i="1"/>
  <c r="A11069" i="1"/>
  <c r="B11069" i="1"/>
  <c r="C11069" i="1"/>
  <c r="A11070" i="1"/>
  <c r="B11070" i="1"/>
  <c r="C11070" i="1"/>
  <c r="A5367" i="1"/>
  <c r="B5367" i="1"/>
  <c r="C5367" i="1"/>
  <c r="A307" i="1"/>
  <c r="B307" i="1"/>
  <c r="C307" i="1"/>
  <c r="A2916" i="1"/>
  <c r="B2916" i="1"/>
  <c r="C2916" i="1"/>
  <c r="A4344" i="1"/>
  <c r="B4344" i="1"/>
  <c r="C4344" i="1"/>
  <c r="A11316" i="1"/>
  <c r="B11316" i="1"/>
  <c r="C11316" i="1"/>
  <c r="A4603" i="1"/>
  <c r="B4603" i="1"/>
  <c r="C4603" i="1"/>
  <c r="A1464" i="1"/>
  <c r="B1464" i="1"/>
  <c r="C1464" i="1"/>
  <c r="A311" i="1"/>
  <c r="B311" i="1"/>
  <c r="C311" i="1"/>
  <c r="A6903" i="1"/>
  <c r="B6903" i="1"/>
  <c r="C6903" i="1"/>
  <c r="A8303" i="1"/>
  <c r="B8303" i="1"/>
  <c r="A303" i="1"/>
  <c r="B303" i="1"/>
  <c r="C303" i="1"/>
  <c r="A6477" i="1"/>
  <c r="B6477" i="1"/>
  <c r="C6477" i="1"/>
  <c r="A9569" i="1"/>
  <c r="B9569" i="1"/>
  <c r="C9569" i="1"/>
  <c r="A3997" i="1"/>
  <c r="B3997" i="1"/>
  <c r="C3997" i="1"/>
  <c r="A11331" i="1"/>
  <c r="B11331" i="1"/>
  <c r="C11331" i="1"/>
  <c r="A7057" i="1"/>
  <c r="B7057" i="1"/>
  <c r="C7057" i="1"/>
  <c r="A1211" i="1"/>
  <c r="B1211" i="1"/>
  <c r="C1211" i="1"/>
  <c r="A11529" i="1"/>
  <c r="B11529" i="1"/>
  <c r="C11529" i="1"/>
  <c r="A10804" i="1"/>
  <c r="B10804" i="1"/>
  <c r="C10804" i="1"/>
  <c r="A2825" i="1"/>
  <c r="B2825" i="1"/>
  <c r="C2825" i="1"/>
  <c r="A13647" i="1"/>
  <c r="B13647" i="1"/>
  <c r="C13647" i="1"/>
  <c r="A4624" i="1"/>
  <c r="B4624" i="1"/>
  <c r="C4624" i="1"/>
  <c r="A11760" i="1"/>
  <c r="B11760" i="1"/>
  <c r="C11760" i="1"/>
  <c r="A7725" i="1"/>
  <c r="B7725" i="1"/>
  <c r="C7725" i="1"/>
  <c r="A1208" i="1"/>
  <c r="B1208" i="1"/>
  <c r="C1208" i="1"/>
  <c r="A3361" i="1"/>
  <c r="B3361" i="1"/>
  <c r="C3361" i="1"/>
  <c r="A4224" i="1"/>
  <c r="B4224" i="1"/>
  <c r="C4224" i="1"/>
  <c r="A9103" i="1"/>
  <c r="B9103" i="1"/>
  <c r="C9103" i="1"/>
  <c r="A5935" i="1"/>
  <c r="B5935" i="1"/>
  <c r="C5935" i="1"/>
  <c r="A10542" i="1"/>
  <c r="B10542" i="1"/>
  <c r="C10542" i="1"/>
  <c r="A10543" i="1"/>
  <c r="B10543" i="1"/>
  <c r="C10543" i="1"/>
  <c r="A10544" i="1"/>
  <c r="B10544" i="1"/>
  <c r="C10544" i="1"/>
  <c r="A10545" i="1"/>
  <c r="B10545" i="1"/>
  <c r="C10545" i="1"/>
  <c r="A10546" i="1"/>
  <c r="B10546" i="1"/>
  <c r="C10546" i="1"/>
  <c r="A10976" i="1"/>
  <c r="B10976" i="1"/>
  <c r="C10976" i="1"/>
  <c r="A1137" i="1"/>
  <c r="B1137" i="1"/>
  <c r="C1137" i="1"/>
  <c r="A1047" i="1"/>
  <c r="B1047" i="1"/>
  <c r="C1047" i="1"/>
  <c r="A7409" i="1"/>
  <c r="B7409" i="1"/>
  <c r="C7409" i="1"/>
  <c r="A1937" i="1"/>
  <c r="B1937" i="1"/>
  <c r="C1937" i="1"/>
  <c r="A11883" i="1"/>
  <c r="B11883" i="1"/>
  <c r="C11883" i="1"/>
  <c r="A2468" i="1"/>
  <c r="B2468" i="1"/>
  <c r="C2468" i="1"/>
  <c r="A1295" i="1"/>
  <c r="B1295" i="1"/>
  <c r="C1295" i="1"/>
  <c r="A13698" i="1"/>
  <c r="B13698" i="1"/>
  <c r="C13698" i="1"/>
  <c r="A7381" i="1"/>
  <c r="B7381" i="1"/>
  <c r="C7381" i="1"/>
  <c r="A9203" i="1"/>
  <c r="B9203" i="1"/>
  <c r="C9203" i="1"/>
  <c r="A6511" i="1"/>
  <c r="B6511" i="1"/>
  <c r="C6511" i="1"/>
  <c r="A8500" i="1"/>
  <c r="B8500" i="1"/>
  <c r="C8500" i="1"/>
  <c r="A7362" i="1"/>
  <c r="B7362" i="1"/>
  <c r="C7362" i="1"/>
  <c r="A13858" i="1"/>
  <c r="B13858" i="1"/>
  <c r="C13858" i="1"/>
  <c r="A5068" i="1"/>
  <c r="B5068" i="1"/>
  <c r="C5068" i="1"/>
  <c r="A5069" i="1"/>
  <c r="B5069" i="1"/>
  <c r="C5069" i="1"/>
  <c r="A2778" i="1"/>
  <c r="B2778" i="1"/>
  <c r="C2778" i="1"/>
  <c r="A11219" i="1"/>
  <c r="B11219" i="1"/>
  <c r="C11219" i="1"/>
  <c r="A11220" i="1"/>
  <c r="B11220" i="1"/>
  <c r="C11220" i="1"/>
  <c r="A1491" i="1"/>
  <c r="B1491" i="1"/>
  <c r="C1491" i="1"/>
  <c r="A388" i="1"/>
  <c r="B388" i="1"/>
  <c r="C388" i="1"/>
  <c r="A8926" i="1"/>
  <c r="B8926" i="1"/>
  <c r="C8926" i="1"/>
  <c r="A10180" i="1"/>
  <c r="B10180" i="1"/>
  <c r="C10180" i="1"/>
  <c r="A8188" i="1"/>
  <c r="B8188" i="1"/>
  <c r="C8188" i="1"/>
  <c r="A12198" i="1"/>
  <c r="B12198" i="1"/>
  <c r="C12198" i="1"/>
  <c r="A13744" i="1"/>
  <c r="B13744" i="1"/>
  <c r="C13744" i="1"/>
  <c r="A9717" i="1"/>
  <c r="B9717" i="1"/>
  <c r="C9717" i="1"/>
  <c r="A9657" i="1"/>
  <c r="B9657" i="1"/>
  <c r="C9657" i="1"/>
  <c r="A10466" i="1"/>
  <c r="B10466" i="1"/>
  <c r="C10466" i="1"/>
  <c r="A13693" i="1"/>
  <c r="B13693" i="1"/>
  <c r="C13693" i="1"/>
  <c r="A3426" i="1"/>
  <c r="B3426" i="1"/>
  <c r="C3426" i="1"/>
  <c r="A13343" i="1"/>
  <c r="B13343" i="1"/>
  <c r="C13343" i="1"/>
  <c r="A3751" i="1"/>
  <c r="B3751" i="1"/>
  <c r="C3751" i="1"/>
  <c r="A8744" i="1"/>
  <c r="B8744" i="1"/>
  <c r="C8744" i="1"/>
  <c r="A8104" i="1"/>
  <c r="B8104" i="1"/>
  <c r="C8104" i="1"/>
  <c r="A5645" i="1"/>
  <c r="B5645" i="1"/>
  <c r="C5645" i="1"/>
  <c r="A4450" i="1"/>
  <c r="B4450" i="1"/>
  <c r="C4450" i="1"/>
  <c r="A7815" i="1"/>
  <c r="B7815" i="1"/>
  <c r="C7815" i="1"/>
  <c r="A7816" i="1"/>
  <c r="B7816" i="1"/>
  <c r="C7816" i="1"/>
  <c r="A7817" i="1"/>
  <c r="B7817" i="1"/>
  <c r="C7817" i="1"/>
  <c r="A9311" i="1"/>
  <c r="B9311" i="1"/>
  <c r="C9311" i="1"/>
  <c r="A4990" i="1"/>
  <c r="B4990" i="1"/>
  <c r="C4990" i="1"/>
  <c r="A3166" i="1"/>
  <c r="B3166" i="1"/>
  <c r="C3166" i="1"/>
  <c r="A4051" i="1"/>
  <c r="B4051" i="1"/>
  <c r="C4051" i="1"/>
  <c r="A1895" i="1"/>
  <c r="B1895" i="1"/>
  <c r="C1895" i="1"/>
  <c r="A12072" i="1"/>
  <c r="B12072" i="1"/>
  <c r="C12072" i="1"/>
  <c r="A12739" i="1"/>
  <c r="B12739" i="1"/>
  <c r="C12739" i="1"/>
  <c r="A13867" i="1"/>
  <c r="B13867" i="1"/>
  <c r="C13867" i="1"/>
  <c r="A12202" i="1"/>
  <c r="B12202" i="1"/>
  <c r="C12202" i="1"/>
  <c r="A9299" i="1"/>
  <c r="B9299" i="1"/>
  <c r="C9299" i="1"/>
  <c r="A12203" i="1"/>
  <c r="B12203" i="1"/>
  <c r="C12203" i="1"/>
  <c r="A4263" i="1"/>
  <c r="B4263" i="1"/>
  <c r="C4263" i="1"/>
  <c r="A11553" i="1"/>
  <c r="B11553" i="1"/>
  <c r="C11553" i="1"/>
  <c r="A10991" i="1"/>
  <c r="B10991" i="1"/>
  <c r="C10991" i="1"/>
  <c r="A7885" i="1"/>
  <c r="B7885" i="1"/>
  <c r="C7885" i="1"/>
  <c r="A518" i="1"/>
  <c r="B518" i="1"/>
  <c r="C518" i="1"/>
  <c r="A5756" i="1"/>
  <c r="B5756" i="1"/>
  <c r="C5756" i="1"/>
  <c r="A12565" i="1"/>
  <c r="B12565" i="1"/>
  <c r="C12565" i="1"/>
  <c r="A8997" i="1"/>
  <c r="B8997" i="1"/>
  <c r="C8997" i="1"/>
  <c r="A2114" i="1"/>
  <c r="B2114" i="1"/>
  <c r="C2114" i="1"/>
  <c r="A2170" i="1"/>
  <c r="B2170" i="1"/>
  <c r="C2170" i="1"/>
  <c r="A4383" i="1"/>
  <c r="B4383" i="1"/>
  <c r="C4383" i="1"/>
  <c r="A10748" i="1"/>
  <c r="B10748" i="1"/>
  <c r="C10748" i="1"/>
  <c r="A10684" i="1"/>
  <c r="B10684" i="1"/>
  <c r="C10684" i="1"/>
  <c r="A8982" i="1"/>
  <c r="B8982" i="1"/>
  <c r="C8982" i="1"/>
  <c r="A3234" i="1"/>
  <c r="B3234" i="1"/>
  <c r="C3234" i="1"/>
  <c r="A7297" i="1"/>
  <c r="B7297" i="1"/>
  <c r="C7297" i="1"/>
  <c r="A10431" i="1"/>
  <c r="B10431" i="1"/>
  <c r="C10431" i="1"/>
  <c r="A12464" i="1"/>
  <c r="B12464" i="1"/>
  <c r="C12464" i="1"/>
  <c r="A10643" i="1"/>
  <c r="B10643" i="1"/>
  <c r="C10643" i="1"/>
  <c r="A12698" i="1"/>
  <c r="B12698" i="1"/>
  <c r="C12698" i="1"/>
  <c r="A5517" i="1"/>
  <c r="B5517" i="1"/>
  <c r="C5517" i="1"/>
  <c r="A12112" i="1"/>
  <c r="B12112" i="1"/>
  <c r="C12112" i="1"/>
  <c r="A5869" i="1"/>
  <c r="B5869" i="1"/>
  <c r="C5869" i="1"/>
  <c r="A4614" i="1"/>
  <c r="B4614" i="1"/>
  <c r="C4614" i="1"/>
  <c r="A5957" i="1"/>
  <c r="B5957" i="1"/>
  <c r="C5957" i="1"/>
  <c r="A4496" i="1"/>
  <c r="B4496" i="1"/>
  <c r="C4496" i="1"/>
  <c r="A9204" i="1"/>
  <c r="B9204" i="1"/>
  <c r="C9204" i="1"/>
  <c r="A2358" i="1"/>
  <c r="B2358" i="1"/>
  <c r="C2358" i="1"/>
  <c r="A337" i="1"/>
  <c r="B337" i="1"/>
  <c r="C337" i="1"/>
  <c r="A2679" i="1"/>
  <c r="B2679" i="1"/>
  <c r="C2679" i="1"/>
  <c r="A2680" i="1"/>
  <c r="B2680" i="1"/>
  <c r="C2680" i="1"/>
  <c r="A10617" i="1"/>
  <c r="B10617" i="1"/>
  <c r="C10617" i="1"/>
  <c r="A10703" i="1"/>
  <c r="B10703" i="1"/>
  <c r="C10703" i="1"/>
  <c r="A5951" i="1"/>
  <c r="B5951" i="1"/>
  <c r="C5951" i="1"/>
  <c r="A2733" i="1"/>
  <c r="B2733" i="1"/>
  <c r="C2733" i="1"/>
  <c r="A1565" i="1"/>
  <c r="B1565" i="1"/>
  <c r="C1565" i="1"/>
  <c r="A1442" i="1"/>
  <c r="B1442" i="1"/>
  <c r="C1442" i="1"/>
  <c r="A1398" i="1"/>
  <c r="B1398" i="1"/>
  <c r="C1398" i="1"/>
  <c r="A8209" i="1"/>
  <c r="B8209" i="1"/>
  <c r="C8209" i="1"/>
  <c r="A7612" i="1"/>
  <c r="B7612" i="1"/>
  <c r="C7612" i="1"/>
  <c r="A578" i="1"/>
  <c r="B578" i="1"/>
  <c r="C578" i="1"/>
  <c r="A12065" i="1"/>
  <c r="B12065" i="1"/>
  <c r="C12065" i="1"/>
  <c r="A12143" i="1"/>
  <c r="B12143" i="1"/>
  <c r="C12143" i="1"/>
  <c r="A12947" i="1"/>
  <c r="B12947" i="1"/>
  <c r="C12947" i="1"/>
  <c r="A9795" i="1"/>
  <c r="B9795" i="1"/>
  <c r="C9795" i="1"/>
  <c r="A9058" i="1"/>
  <c r="B9058" i="1"/>
  <c r="C9058" i="1"/>
  <c r="A8573" i="1"/>
  <c r="B8573" i="1"/>
  <c r="C8573" i="1"/>
  <c r="A12204" i="1"/>
  <c r="B12204" i="1"/>
  <c r="C12204" i="1"/>
  <c r="A12486" i="1"/>
  <c r="B12486" i="1"/>
  <c r="C12486" i="1"/>
  <c r="A7389" i="1"/>
  <c r="B7389" i="1"/>
  <c r="C7389" i="1"/>
  <c r="A13265" i="1"/>
  <c r="B13265" i="1"/>
  <c r="C13265" i="1"/>
  <c r="A9361" i="1"/>
  <c r="B9361" i="1"/>
  <c r="C9361" i="1"/>
  <c r="A3207" i="1"/>
  <c r="B3207" i="1"/>
  <c r="C3207" i="1"/>
  <c r="A9554" i="1"/>
  <c r="B9554" i="1"/>
  <c r="C9554" i="1"/>
  <c r="A6465" i="1"/>
  <c r="B6465" i="1"/>
  <c r="C6465" i="1"/>
  <c r="A5281" i="1"/>
  <c r="B5281" i="1"/>
  <c r="C5281" i="1"/>
  <c r="A11437" i="1"/>
  <c r="B11437" i="1"/>
  <c r="C11437" i="1"/>
  <c r="A13360" i="1"/>
  <c r="B13360" i="1"/>
  <c r="C13360" i="1"/>
  <c r="A9205" i="1"/>
  <c r="B9205" i="1"/>
  <c r="C9205" i="1"/>
  <c r="A3964" i="1"/>
  <c r="B3964" i="1"/>
  <c r="C3964" i="1"/>
  <c r="A13494" i="1"/>
  <c r="B13494" i="1"/>
  <c r="C13494" i="1"/>
  <c r="A9069" i="1"/>
  <c r="B9069" i="1"/>
  <c r="C9069" i="1"/>
  <c r="A1064" i="1"/>
  <c r="B1064" i="1"/>
  <c r="C1064" i="1"/>
  <c r="A11195" i="1"/>
  <c r="B11195" i="1"/>
  <c r="C11195" i="1"/>
  <c r="A12833" i="1"/>
  <c r="B12833" i="1"/>
  <c r="C12833" i="1"/>
  <c r="A4350" i="1"/>
  <c r="B4350" i="1"/>
  <c r="C4350" i="1"/>
  <c r="A13712" i="1"/>
  <c r="B13712" i="1"/>
  <c r="C13712" i="1"/>
  <c r="A1496" i="1"/>
  <c r="B1496" i="1"/>
  <c r="C1496" i="1"/>
  <c r="A8611" i="1"/>
  <c r="B8611" i="1"/>
  <c r="C8611" i="1"/>
  <c r="A8612" i="1"/>
  <c r="B8612" i="1"/>
  <c r="C8612" i="1"/>
  <c r="A9487" i="1"/>
  <c r="B9487" i="1"/>
  <c r="C9487" i="1"/>
  <c r="A10562" i="1"/>
  <c r="B10562" i="1"/>
  <c r="C10562" i="1"/>
  <c r="A6381" i="1"/>
  <c r="B6381" i="1"/>
  <c r="C6381" i="1"/>
  <c r="A7505" i="1"/>
  <c r="B7505" i="1"/>
  <c r="C7505" i="1"/>
  <c r="A11892" i="1"/>
  <c r="B11892" i="1"/>
  <c r="C11892" i="1"/>
  <c r="A8735" i="1"/>
  <c r="B8735" i="1"/>
  <c r="C8735" i="1"/>
  <c r="A880" i="1"/>
  <c r="B880" i="1"/>
  <c r="C880" i="1"/>
  <c r="A587" i="1"/>
  <c r="B587" i="1"/>
  <c r="C587" i="1"/>
  <c r="A10271" i="1"/>
  <c r="B10271" i="1"/>
  <c r="C10271" i="1"/>
  <c r="A3851" i="1"/>
  <c r="B3851" i="1"/>
  <c r="C3851" i="1"/>
  <c r="A12272" i="1"/>
  <c r="B12272" i="1"/>
  <c r="C12272" i="1"/>
  <c r="A2140" i="1"/>
  <c r="B2140" i="1"/>
  <c r="C2140" i="1"/>
  <c r="A10227" i="1"/>
  <c r="B10227" i="1"/>
  <c r="C10227" i="1"/>
  <c r="A4352" i="1"/>
  <c r="B4352" i="1"/>
  <c r="C4352" i="1"/>
  <c r="A3040" i="1"/>
  <c r="B3040" i="1"/>
  <c r="C3040" i="1"/>
  <c r="A5051" i="1"/>
  <c r="B5051" i="1"/>
  <c r="C5051" i="1"/>
  <c r="A4337" i="1"/>
  <c r="B4337" i="1"/>
  <c r="C4337" i="1"/>
  <c r="A2422" i="1"/>
  <c r="B2422" i="1"/>
  <c r="C2422" i="1"/>
  <c r="A9673" i="1"/>
  <c r="B9673" i="1"/>
  <c r="C9673" i="1"/>
  <c r="A5050" i="1"/>
  <c r="B5050" i="1"/>
  <c r="C5050" i="1"/>
  <c r="A9652" i="1"/>
  <c r="B9652" i="1"/>
  <c r="C9652" i="1"/>
  <c r="A1359" i="1"/>
  <c r="B1359" i="1"/>
  <c r="C1359" i="1"/>
  <c r="A727" i="1"/>
  <c r="B727" i="1"/>
  <c r="C727" i="1"/>
  <c r="A5107" i="1"/>
  <c r="B5107" i="1"/>
  <c r="C5107" i="1"/>
  <c r="A12837" i="1"/>
  <c r="B12837" i="1"/>
  <c r="C12837" i="1"/>
  <c r="A6553" i="1"/>
  <c r="B6553" i="1"/>
  <c r="C6553" i="1"/>
  <c r="A10936" i="1"/>
  <c r="B10936" i="1"/>
  <c r="C10936" i="1"/>
  <c r="A3947" i="1"/>
  <c r="B3947" i="1"/>
  <c r="C3947" i="1"/>
  <c r="A11432" i="1"/>
  <c r="B11432" i="1"/>
  <c r="C11432" i="1"/>
  <c r="A13809" i="1"/>
  <c r="B13809" i="1"/>
  <c r="C13809" i="1"/>
  <c r="A11111" i="1"/>
  <c r="B11111" i="1"/>
  <c r="C11111" i="1"/>
  <c r="A11112" i="1"/>
  <c r="B11112" i="1"/>
  <c r="C11112" i="1"/>
  <c r="A5891" i="1"/>
  <c r="B5891" i="1"/>
  <c r="C5891" i="1"/>
  <c r="A1619" i="1"/>
  <c r="B1619" i="1"/>
  <c r="C1619" i="1"/>
  <c r="A1772" i="1"/>
  <c r="B1772" i="1"/>
  <c r="C1772" i="1"/>
  <c r="A11748" i="1"/>
  <c r="B11748" i="1"/>
  <c r="C11748" i="1"/>
  <c r="A639" i="1"/>
  <c r="B639" i="1"/>
  <c r="C639" i="1"/>
  <c r="A6620" i="1"/>
  <c r="B6620" i="1"/>
  <c r="C6620" i="1"/>
  <c r="A11496" i="1"/>
  <c r="B11496" i="1"/>
  <c r="C11496" i="1"/>
  <c r="A8869" i="1"/>
  <c r="B8869" i="1"/>
  <c r="C8869" i="1"/>
  <c r="A6217" i="1"/>
  <c r="B6217" i="1"/>
  <c r="C6217" i="1"/>
  <c r="A6594" i="1"/>
  <c r="B6594" i="1"/>
  <c r="C6594" i="1"/>
  <c r="A2568" i="1"/>
  <c r="B2568" i="1"/>
  <c r="C2568" i="1"/>
  <c r="A1291" i="1"/>
  <c r="B1291" i="1"/>
  <c r="C1291" i="1"/>
  <c r="A1216" i="1"/>
  <c r="B1216" i="1"/>
  <c r="C1216" i="1"/>
  <c r="A12689" i="1"/>
  <c r="B12689" i="1"/>
  <c r="C12689" i="1"/>
  <c r="A3846" i="1"/>
  <c r="B3846" i="1"/>
  <c r="C3846" i="1"/>
  <c r="A816" i="1"/>
  <c r="B816" i="1"/>
  <c r="C816" i="1"/>
  <c r="A10626" i="1"/>
  <c r="B10626" i="1"/>
  <c r="C10626" i="1"/>
  <c r="A13664" i="1"/>
  <c r="B13664" i="1"/>
  <c r="C13664" i="1"/>
  <c r="A6239" i="1"/>
  <c r="B6239" i="1"/>
  <c r="C6239" i="1"/>
  <c r="A4468" i="1"/>
  <c r="B4468" i="1"/>
  <c r="C4468" i="1"/>
  <c r="A10381" i="1"/>
  <c r="B10381" i="1"/>
  <c r="C10381" i="1"/>
  <c r="A8046" i="1"/>
  <c r="B8046" i="1"/>
  <c r="C8046" i="1"/>
  <c r="A7630" i="1"/>
  <c r="B7630" i="1"/>
  <c r="C7630" i="1"/>
  <c r="A2845" i="1"/>
  <c r="B2845" i="1"/>
  <c r="C2845" i="1"/>
  <c r="A8487" i="1"/>
  <c r="B8487" i="1"/>
  <c r="C8487" i="1"/>
  <c r="A5382" i="1"/>
  <c r="B5382" i="1"/>
  <c r="C5382" i="1"/>
  <c r="A2452" i="1"/>
  <c r="B2452" i="1"/>
  <c r="C2452" i="1"/>
  <c r="A9220" i="1"/>
  <c r="B9220" i="1"/>
  <c r="C9220" i="1"/>
  <c r="A13039" i="1"/>
  <c r="B13039" i="1"/>
  <c r="C13039" i="1"/>
  <c r="A13801" i="1"/>
  <c r="B13801" i="1"/>
  <c r="C13801" i="1"/>
  <c r="A8129" i="1"/>
  <c r="B8129" i="1"/>
  <c r="C8129" i="1"/>
  <c r="A10627" i="1"/>
  <c r="B10627" i="1"/>
  <c r="C10627" i="1"/>
  <c r="A4022" i="1"/>
  <c r="B4022" i="1"/>
  <c r="C4022" i="1"/>
  <c r="A270" i="1"/>
  <c r="B270" i="1"/>
  <c r="C270" i="1"/>
  <c r="A10628" i="1"/>
  <c r="B10628" i="1"/>
  <c r="C10628" i="1"/>
  <c r="A7691" i="1"/>
  <c r="B7691" i="1"/>
  <c r="C7691" i="1"/>
  <c r="A1659" i="1"/>
  <c r="B1659" i="1"/>
  <c r="C1659" i="1"/>
  <c r="A2202" i="1"/>
  <c r="B2202" i="1"/>
  <c r="C2202" i="1"/>
  <c r="A4096" i="1"/>
  <c r="B4096" i="1"/>
  <c r="C4096" i="1"/>
  <c r="A11775" i="1"/>
  <c r="B11775" i="1"/>
  <c r="C11775" i="1"/>
  <c r="A8181" i="1"/>
  <c r="B8181" i="1"/>
  <c r="C8181" i="1"/>
  <c r="A7608" i="1"/>
  <c r="B7608" i="1"/>
  <c r="C7608" i="1"/>
  <c r="A12104" i="1"/>
  <c r="B12104" i="1"/>
  <c r="C12104" i="1"/>
  <c r="A2896" i="1"/>
  <c r="B2896" i="1"/>
  <c r="C2896" i="1"/>
  <c r="A1811" i="1"/>
  <c r="B1811" i="1"/>
  <c r="C1811" i="1"/>
  <c r="A7241" i="1"/>
  <c r="B7241" i="1"/>
  <c r="C7241" i="1"/>
  <c r="A5266" i="1"/>
  <c r="B5266" i="1"/>
  <c r="C5266" i="1"/>
  <c r="A11114" i="1"/>
  <c r="B11114" i="1"/>
  <c r="C11114" i="1"/>
  <c r="A11208" i="1"/>
  <c r="B11208" i="1"/>
  <c r="C11208" i="1"/>
  <c r="A5305" i="1"/>
  <c r="B5305" i="1"/>
  <c r="C5305" i="1"/>
  <c r="A3554" i="1"/>
  <c r="B3554" i="1"/>
  <c r="C3554" i="1"/>
  <c r="A9118" i="1"/>
  <c r="B9118" i="1"/>
  <c r="C9118" i="1"/>
  <c r="A12209" i="1"/>
  <c r="B12209" i="1"/>
  <c r="C12209" i="1"/>
  <c r="A12210" i="1"/>
  <c r="B12210" i="1"/>
  <c r="C12210" i="1"/>
  <c r="A8834" i="1"/>
  <c r="B8834" i="1"/>
  <c r="C8834" i="1"/>
  <c r="A6949" i="1"/>
  <c r="B6949" i="1"/>
  <c r="C6949" i="1"/>
  <c r="A6442" i="1"/>
  <c r="B6442" i="1"/>
  <c r="C6442" i="1"/>
  <c r="A4356" i="1"/>
  <c r="B4356" i="1"/>
  <c r="C4356" i="1"/>
  <c r="A1233" i="1"/>
  <c r="B1233" i="1"/>
  <c r="C1233" i="1"/>
  <c r="A1880" i="1"/>
  <c r="B1880" i="1"/>
  <c r="C1880" i="1"/>
  <c r="A4991" i="1"/>
  <c r="B4991" i="1"/>
  <c r="C4991" i="1"/>
  <c r="A7529" i="1"/>
  <c r="B7529" i="1"/>
  <c r="C7529" i="1"/>
  <c r="A12134" i="1"/>
  <c r="B12134" i="1"/>
  <c r="C12134" i="1"/>
  <c r="A5202" i="1"/>
  <c r="B5202" i="1"/>
  <c r="C5202" i="1"/>
  <c r="A6586" i="1"/>
  <c r="B6586" i="1"/>
  <c r="C6586" i="1"/>
  <c r="A12588" i="1"/>
  <c r="B12588" i="1"/>
  <c r="C12588" i="1"/>
  <c r="A12589" i="1"/>
  <c r="B12589" i="1"/>
  <c r="C12589" i="1"/>
  <c r="A5692" i="1"/>
  <c r="B5692" i="1"/>
  <c r="C5692" i="1"/>
  <c r="A4107" i="1"/>
  <c r="B4107" i="1"/>
  <c r="C4107" i="1"/>
  <c r="A10448" i="1"/>
  <c r="B10448" i="1"/>
  <c r="C10448" i="1"/>
  <c r="A3053" i="1"/>
  <c r="B3053" i="1"/>
  <c r="C3053" i="1"/>
  <c r="A6775" i="1"/>
  <c r="B6775" i="1"/>
  <c r="C6775" i="1"/>
  <c r="A9340" i="1"/>
  <c r="B9340" i="1"/>
  <c r="C9340" i="1"/>
  <c r="A2835" i="1"/>
  <c r="B2835" i="1"/>
  <c r="C2835" i="1"/>
  <c r="A8867" i="1"/>
  <c r="B8867" i="1"/>
  <c r="C8867" i="1"/>
  <c r="A12544" i="1"/>
  <c r="B12544" i="1"/>
  <c r="C12544" i="1"/>
  <c r="A11105" i="1"/>
  <c r="B11105" i="1"/>
  <c r="C11105" i="1"/>
  <c r="A6327" i="1"/>
  <c r="B6327" i="1"/>
  <c r="C6327" i="1"/>
  <c r="A3169" i="1"/>
  <c r="B3169" i="1"/>
  <c r="C3169" i="1"/>
  <c r="A1785" i="1"/>
  <c r="B1785" i="1"/>
  <c r="C1785" i="1"/>
  <c r="A1786" i="1"/>
  <c r="B1786" i="1"/>
  <c r="C1786" i="1"/>
  <c r="A1825" i="1"/>
  <c r="B1825" i="1"/>
  <c r="C1825" i="1"/>
  <c r="A5960" i="1"/>
  <c r="B5960" i="1"/>
  <c r="C5960" i="1"/>
  <c r="A10340" i="1"/>
  <c r="B10340" i="1"/>
  <c r="C10340" i="1"/>
  <c r="A6467" i="1"/>
  <c r="B6467" i="1"/>
  <c r="C6467" i="1"/>
  <c r="A7722" i="1"/>
  <c r="B7722" i="1"/>
  <c r="C7722" i="1"/>
  <c r="A1223" i="1"/>
  <c r="B1223" i="1"/>
  <c r="C1223" i="1"/>
  <c r="A1739" i="1"/>
  <c r="B1739" i="1"/>
  <c r="C1739" i="1"/>
  <c r="A9660" i="1"/>
  <c r="B9660" i="1"/>
  <c r="C9660" i="1"/>
  <c r="A13248" i="1"/>
  <c r="B13248" i="1"/>
  <c r="C13248" i="1"/>
  <c r="A1824" i="1"/>
  <c r="B1824" i="1"/>
  <c r="C1824" i="1"/>
  <c r="A13077" i="1"/>
  <c r="B13077" i="1"/>
  <c r="C13077" i="1"/>
  <c r="A8763" i="1"/>
  <c r="B8763" i="1"/>
  <c r="C8763" i="1"/>
  <c r="A13215" i="1"/>
  <c r="B13215" i="1"/>
  <c r="C13215" i="1"/>
  <c r="A11604" i="1"/>
  <c r="B11604" i="1"/>
  <c r="C11604" i="1"/>
  <c r="A11552" i="1"/>
  <c r="B11552" i="1"/>
  <c r="C11552" i="1"/>
  <c r="A8241" i="1"/>
  <c r="B8241" i="1"/>
  <c r="C8241" i="1"/>
  <c r="A6052" i="1"/>
  <c r="B6052" i="1"/>
  <c r="C6052" i="1"/>
  <c r="A212" i="1"/>
  <c r="B212" i="1"/>
  <c r="C212" i="1"/>
  <c r="A2772" i="1"/>
  <c r="B2772" i="1"/>
  <c r="C2772" i="1"/>
  <c r="A213" i="1"/>
  <c r="B213" i="1"/>
  <c r="C213" i="1"/>
  <c r="A2773" i="1"/>
  <c r="B2773" i="1"/>
  <c r="C2773" i="1"/>
  <c r="A214" i="1"/>
  <c r="B214" i="1"/>
  <c r="C214" i="1"/>
  <c r="A215" i="1"/>
  <c r="B215" i="1"/>
  <c r="C215" i="1"/>
  <c r="A216" i="1"/>
  <c r="B216" i="1"/>
  <c r="C216" i="1"/>
  <c r="A217" i="1"/>
  <c r="B217" i="1"/>
  <c r="C217" i="1"/>
  <c r="A218" i="1"/>
  <c r="B218" i="1"/>
  <c r="C218" i="1"/>
  <c r="A6097" i="1"/>
  <c r="B6097" i="1"/>
  <c r="C6097" i="1"/>
  <c r="A6098" i="1"/>
  <c r="B6098" i="1"/>
  <c r="C6098" i="1"/>
  <c r="A4050" i="1"/>
  <c r="B4050" i="1"/>
  <c r="C4050" i="1"/>
  <c r="A9507" i="1"/>
  <c r="B9507" i="1"/>
  <c r="C9507" i="1"/>
  <c r="A2449" i="1"/>
  <c r="B2449" i="1"/>
  <c r="C2449" i="1"/>
  <c r="A3638" i="1"/>
  <c r="B3638" i="1"/>
  <c r="C3638" i="1"/>
  <c r="A764" i="1"/>
  <c r="B764" i="1"/>
  <c r="C764" i="1"/>
  <c r="A739" i="1"/>
  <c r="B739" i="1"/>
  <c r="C739" i="1"/>
  <c r="A9849" i="1"/>
  <c r="B9849" i="1"/>
  <c r="C9849" i="1"/>
  <c r="A9535" i="1"/>
  <c r="B9535" i="1"/>
  <c r="C9535" i="1"/>
  <c r="A4953" i="1"/>
  <c r="B4953" i="1"/>
  <c r="C4953" i="1"/>
  <c r="A2963" i="1"/>
  <c r="B2963" i="1"/>
  <c r="C2963" i="1"/>
  <c r="A6130" i="1"/>
  <c r="B6130" i="1"/>
  <c r="C6130" i="1"/>
  <c r="A6989" i="1"/>
  <c r="B6989" i="1"/>
  <c r="C6989" i="1"/>
  <c r="A9953" i="1"/>
  <c r="B9953" i="1"/>
  <c r="C9953" i="1"/>
  <c r="A3208" i="1"/>
  <c r="B3208" i="1"/>
  <c r="C3208" i="1"/>
  <c r="A8124" i="1"/>
  <c r="B8124" i="1"/>
  <c r="C8124" i="1"/>
  <c r="A6308" i="1"/>
  <c r="B6308" i="1"/>
  <c r="C6308" i="1"/>
  <c r="A10247" i="1"/>
  <c r="B10247" i="1"/>
  <c r="C10247" i="1"/>
  <c r="A11077" i="1"/>
  <c r="B11077" i="1"/>
  <c r="C11077" i="1"/>
  <c r="A3286" i="1"/>
  <c r="B3286" i="1"/>
  <c r="C3286" i="1"/>
  <c r="A2719" i="1"/>
  <c r="B2719" i="1"/>
  <c r="C2719" i="1"/>
  <c r="A13251" i="1"/>
  <c r="B13251" i="1"/>
  <c r="C13251" i="1"/>
  <c r="A6601" i="1"/>
  <c r="B6601" i="1"/>
  <c r="C6601" i="1"/>
  <c r="A1283" i="1"/>
  <c r="B1283" i="1"/>
  <c r="C1283" i="1"/>
  <c r="A11293" i="1"/>
  <c r="B11293" i="1"/>
  <c r="C11293" i="1"/>
  <c r="A2649" i="1"/>
  <c r="B2649" i="1"/>
  <c r="C2649" i="1"/>
  <c r="A2650" i="1"/>
  <c r="B2650" i="1"/>
  <c r="C2650" i="1"/>
  <c r="A5345" i="1"/>
  <c r="B5345" i="1"/>
  <c r="C5345" i="1"/>
  <c r="A12077" i="1"/>
  <c r="B12077" i="1"/>
  <c r="C12077" i="1"/>
  <c r="A10681" i="1"/>
  <c r="B10681" i="1"/>
  <c r="C10681" i="1"/>
  <c r="A13658" i="1"/>
  <c r="B13658" i="1"/>
  <c r="C13658" i="1"/>
  <c r="A9802" i="1"/>
  <c r="B9802" i="1"/>
  <c r="C9802" i="1"/>
  <c r="A2320" i="1"/>
  <c r="B2320" i="1"/>
  <c r="C2320" i="1"/>
  <c r="A10764" i="1"/>
  <c r="B10764" i="1"/>
  <c r="C10764" i="1"/>
  <c r="A1580" i="1"/>
  <c r="B1580" i="1"/>
  <c r="C1580" i="1"/>
  <c r="A9444" i="1"/>
  <c r="B9444" i="1"/>
  <c r="C9444" i="1"/>
  <c r="A2940" i="1"/>
  <c r="B2940" i="1"/>
  <c r="C2940" i="1"/>
  <c r="A11645" i="1"/>
  <c r="B11645" i="1"/>
  <c r="C11645" i="1"/>
  <c r="A11724" i="1"/>
  <c r="B11724" i="1"/>
  <c r="C11724" i="1"/>
  <c r="A1567" i="1"/>
  <c r="B1567" i="1"/>
  <c r="C1567" i="1"/>
  <c r="A4559" i="1"/>
  <c r="B4559" i="1"/>
  <c r="C4559" i="1"/>
  <c r="A6799" i="1"/>
  <c r="B6799" i="1"/>
  <c r="C6799" i="1"/>
  <c r="A4318" i="1"/>
  <c r="B4318" i="1"/>
  <c r="C4318" i="1"/>
  <c r="A4556" i="1"/>
  <c r="B4556" i="1"/>
  <c r="C4556" i="1"/>
  <c r="A8852" i="1"/>
  <c r="B8852" i="1"/>
  <c r="C8852" i="1"/>
  <c r="A13371" i="1"/>
  <c r="B13371" i="1"/>
  <c r="C13371" i="1"/>
  <c r="A10685" i="1"/>
  <c r="B10685" i="1"/>
  <c r="C10685" i="1"/>
  <c r="A12291" i="1"/>
  <c r="B12291" i="1"/>
  <c r="C12291" i="1"/>
  <c r="A6196" i="1"/>
  <c r="B6196" i="1"/>
  <c r="C6196" i="1"/>
  <c r="A2090" i="1"/>
  <c r="B2090" i="1"/>
  <c r="C2090" i="1"/>
  <c r="A13827" i="1"/>
  <c r="B13827" i="1"/>
  <c r="C13827" i="1"/>
  <c r="A2156" i="1"/>
  <c r="B2156" i="1"/>
  <c r="C2156" i="1"/>
  <c r="A13383" i="1"/>
  <c r="B13383" i="1"/>
  <c r="C13383" i="1"/>
  <c r="A11097" i="1"/>
  <c r="B11097" i="1"/>
  <c r="C11097" i="1"/>
  <c r="A9005" i="1"/>
  <c r="B9005" i="1"/>
  <c r="C9005" i="1"/>
  <c r="A8558" i="1"/>
  <c r="B8558" i="1"/>
  <c r="C8558" i="1"/>
  <c r="A7022" i="1"/>
  <c r="B7022" i="1"/>
  <c r="C7022" i="1"/>
  <c r="A1231" i="1"/>
  <c r="B1231" i="1"/>
  <c r="C1231" i="1"/>
  <c r="A10017" i="1"/>
  <c r="B10017" i="1"/>
  <c r="C10017" i="1"/>
  <c r="A10995" i="1"/>
  <c r="B10995" i="1"/>
  <c r="C10995" i="1"/>
  <c r="A9424" i="1"/>
  <c r="B9424" i="1"/>
  <c r="C9424" i="1"/>
  <c r="A13944" i="1"/>
  <c r="B13944" i="1"/>
  <c r="C13944" i="1"/>
  <c r="A11433" i="1"/>
  <c r="B11433" i="1"/>
  <c r="C11433" i="1"/>
  <c r="A13387" i="1"/>
  <c r="B13387" i="1"/>
  <c r="C13387" i="1"/>
  <c r="A6497" i="1"/>
  <c r="B6497" i="1"/>
  <c r="C6497" i="1"/>
  <c r="A12810" i="1"/>
  <c r="B12810" i="1"/>
  <c r="C12810" i="1"/>
  <c r="A9973" i="1"/>
  <c r="B9973" i="1"/>
  <c r="C9973" i="1"/>
  <c r="A13218" i="1"/>
  <c r="B13218" i="1"/>
  <c r="C13218" i="1"/>
  <c r="A11740" i="1"/>
  <c r="B11740" i="1"/>
  <c r="C11740" i="1"/>
  <c r="A8182" i="1"/>
  <c r="B8182" i="1"/>
  <c r="C8182" i="1"/>
  <c r="A7692" i="1"/>
  <c r="B7692" i="1"/>
  <c r="C7692" i="1"/>
  <c r="A3016" i="1"/>
  <c r="B3016" i="1"/>
  <c r="C3016" i="1"/>
  <c r="A5814" i="1"/>
  <c r="B5814" i="1"/>
  <c r="C5814" i="1"/>
  <c r="A2062" i="1"/>
  <c r="B2062" i="1"/>
  <c r="C2062" i="1"/>
  <c r="A13767" i="1"/>
  <c r="B13767" i="1"/>
  <c r="C13767" i="1"/>
  <c r="A1357" i="1"/>
  <c r="B1357" i="1"/>
  <c r="C1357" i="1"/>
  <c r="A9354" i="1"/>
  <c r="B9354" i="1"/>
  <c r="C9354" i="1"/>
  <c r="A974" i="1"/>
  <c r="B974" i="1"/>
  <c r="C974" i="1"/>
  <c r="A7008" i="1"/>
  <c r="B7008" i="1"/>
  <c r="C7008" i="1"/>
  <c r="A6707" i="1"/>
  <c r="B6707" i="1"/>
  <c r="C6707" i="1"/>
  <c r="A5250" i="1"/>
  <c r="B5250" i="1"/>
  <c r="C5250" i="1"/>
  <c r="A4023" i="1"/>
  <c r="B4023" i="1"/>
  <c r="C4023" i="1"/>
  <c r="A8066" i="1"/>
  <c r="B8066" i="1"/>
  <c r="C8066" i="1"/>
  <c r="A11205" i="1"/>
  <c r="B11205" i="1"/>
  <c r="C11205" i="1"/>
  <c r="A12477" i="1"/>
  <c r="B12477" i="1"/>
  <c r="C12477" i="1"/>
  <c r="A6635" i="1"/>
  <c r="B6635" i="1"/>
  <c r="C6635" i="1"/>
  <c r="A3478" i="1"/>
  <c r="B3478" i="1"/>
  <c r="C3478" i="1"/>
  <c r="A4925" i="1"/>
  <c r="B4925" i="1"/>
  <c r="C4925" i="1"/>
  <c r="A4177" i="1"/>
  <c r="B4177" i="1"/>
  <c r="C4177" i="1"/>
  <c r="A4205" i="1"/>
  <c r="B4205" i="1"/>
  <c r="C4205" i="1"/>
  <c r="A12963" i="1"/>
  <c r="B12963" i="1"/>
  <c r="C12963" i="1"/>
  <c r="A733" i="1"/>
  <c r="B733" i="1"/>
  <c r="C733" i="1"/>
  <c r="A2908" i="1"/>
  <c r="B2908" i="1"/>
  <c r="C2908" i="1"/>
  <c r="A768" i="1"/>
  <c r="B768" i="1"/>
  <c r="C768" i="1"/>
  <c r="A3220" i="1"/>
  <c r="B3220" i="1"/>
  <c r="C3220" i="1"/>
  <c r="A1101" i="1"/>
  <c r="B1101" i="1"/>
  <c r="C1101" i="1"/>
  <c r="A1102" i="1"/>
  <c r="B1102" i="1"/>
  <c r="C1102" i="1"/>
  <c r="A9033" i="1"/>
  <c r="B9033" i="1"/>
  <c r="C9033" i="1"/>
  <c r="A4452" i="1"/>
  <c r="B4452" i="1"/>
  <c r="C4452" i="1"/>
  <c r="A4608" i="1"/>
  <c r="B4608" i="1"/>
  <c r="C4608" i="1"/>
  <c r="A12129" i="1"/>
  <c r="B12129" i="1"/>
  <c r="C12129" i="1"/>
  <c r="A13068" i="1"/>
  <c r="B13068" i="1"/>
  <c r="C13068" i="1"/>
  <c r="A8795" i="1"/>
  <c r="B8795" i="1"/>
  <c r="C8795" i="1"/>
  <c r="A3244" i="1"/>
  <c r="B3244" i="1"/>
  <c r="C3244" i="1"/>
  <c r="A13862" i="1"/>
  <c r="B13862" i="1"/>
  <c r="C13862" i="1"/>
  <c r="A1465" i="1"/>
  <c r="B1465" i="1"/>
  <c r="C1465" i="1"/>
  <c r="A11534" i="1"/>
  <c r="B11534" i="1"/>
  <c r="C11534" i="1"/>
  <c r="A8954" i="1"/>
  <c r="B8954" i="1"/>
  <c r="C8954" i="1"/>
  <c r="A12161" i="1"/>
  <c r="B12161" i="1"/>
  <c r="C12161" i="1"/>
  <c r="A9672" i="1"/>
  <c r="B9672" i="1"/>
  <c r="C9672" i="1"/>
  <c r="A5492" i="1"/>
  <c r="B5492" i="1"/>
  <c r="C5492" i="1"/>
  <c r="A9867" i="1"/>
  <c r="B9867" i="1"/>
  <c r="C9867" i="1"/>
  <c r="A12538" i="1"/>
  <c r="B12538" i="1"/>
  <c r="C12538" i="1"/>
  <c r="A12716" i="1"/>
  <c r="B12716" i="1"/>
  <c r="C12716" i="1"/>
  <c r="A7438" i="1"/>
  <c r="B7438" i="1"/>
  <c r="C7438" i="1"/>
  <c r="A12051" i="1"/>
  <c r="B12051" i="1"/>
  <c r="C12051" i="1"/>
  <c r="A8278" i="1"/>
  <c r="B8278" i="1"/>
  <c r="C8278" i="1"/>
  <c r="A3587" i="1"/>
  <c r="B3587" i="1"/>
  <c r="C3587" i="1"/>
  <c r="A5383" i="1"/>
  <c r="B5383" i="1"/>
  <c r="C5383" i="1"/>
  <c r="A1525" i="1"/>
  <c r="B1525" i="1"/>
  <c r="C1525" i="1"/>
  <c r="A13928" i="1"/>
  <c r="B13928" i="1"/>
  <c r="C13928" i="1"/>
  <c r="A770" i="1"/>
  <c r="B770" i="1"/>
  <c r="C770" i="1"/>
  <c r="A12232" i="1"/>
  <c r="B12232" i="1"/>
  <c r="C12232" i="1"/>
  <c r="A10423" i="1"/>
  <c r="B10423" i="1"/>
  <c r="C10423" i="1"/>
  <c r="A10424" i="1"/>
  <c r="B10424" i="1"/>
  <c r="C10424" i="1"/>
  <c r="A2173" i="1"/>
  <c r="B2173" i="1"/>
  <c r="C2173" i="1"/>
  <c r="A12071" i="1"/>
  <c r="B12071" i="1"/>
  <c r="C12071" i="1"/>
  <c r="A2107" i="1"/>
  <c r="B2107" i="1"/>
  <c r="C2107" i="1"/>
  <c r="A2108" i="1"/>
  <c r="B2108" i="1"/>
  <c r="C2108" i="1"/>
  <c r="A2996" i="1"/>
  <c r="B2996" i="1"/>
  <c r="C2996" i="1"/>
  <c r="A1280" i="1"/>
  <c r="B1280" i="1"/>
  <c r="C1280" i="1"/>
  <c r="A5093" i="1"/>
  <c r="B5093" i="1"/>
  <c r="C5093" i="1"/>
  <c r="A5670" i="1"/>
  <c r="B5670" i="1"/>
  <c r="C5670" i="1"/>
  <c r="A10140" i="1"/>
  <c r="B10140" i="1"/>
  <c r="C10140" i="1"/>
  <c r="A909" i="1"/>
  <c r="B909" i="1"/>
  <c r="C909" i="1"/>
  <c r="A6093" i="1"/>
  <c r="B6093" i="1"/>
  <c r="C6093" i="1"/>
  <c r="A12395" i="1"/>
  <c r="B12395" i="1"/>
  <c r="C12395" i="1"/>
  <c r="A11153" i="1"/>
  <c r="B11153" i="1"/>
  <c r="C11153" i="1"/>
  <c r="A6502" i="1"/>
  <c r="B6502" i="1"/>
  <c r="C6502" i="1"/>
  <c r="A10509" i="1"/>
  <c r="B10509" i="1"/>
  <c r="C10509" i="1"/>
  <c r="A9200" i="1"/>
  <c r="B9200" i="1"/>
  <c r="C9200" i="1"/>
  <c r="A6058" i="1"/>
  <c r="B6058" i="1"/>
  <c r="C6058" i="1"/>
  <c r="A7323" i="1"/>
  <c r="B7323" i="1"/>
  <c r="C7323" i="1"/>
  <c r="A9334" i="1"/>
  <c r="B9334" i="1"/>
  <c r="C9334" i="1"/>
  <c r="A8992" i="1"/>
  <c r="B8992" i="1"/>
  <c r="C8992" i="1"/>
  <c r="A4189" i="1"/>
  <c r="B4189" i="1"/>
  <c r="C4189" i="1"/>
  <c r="A4867" i="1"/>
  <c r="B4867" i="1"/>
  <c r="C4867" i="1"/>
  <c r="A8502" i="1"/>
  <c r="B8502" i="1"/>
  <c r="C8502" i="1"/>
  <c r="A4675" i="1"/>
  <c r="B4675" i="1"/>
  <c r="C4675" i="1"/>
  <c r="A972" i="1"/>
  <c r="B972" i="1"/>
  <c r="C972" i="1"/>
  <c r="A12670" i="1"/>
  <c r="B12670" i="1"/>
  <c r="C12670" i="1"/>
  <c r="A10000" i="1"/>
  <c r="B10000" i="1"/>
  <c r="C10000" i="1"/>
  <c r="A3888" i="1"/>
  <c r="B3888" i="1"/>
  <c r="C3888" i="1"/>
  <c r="A10075" i="1"/>
  <c r="B10075" i="1"/>
  <c r="C10075" i="1"/>
  <c r="A10319" i="1"/>
  <c r="B10319" i="1"/>
  <c r="C10319" i="1"/>
  <c r="A3966" i="1"/>
  <c r="B3966" i="1"/>
  <c r="C3966" i="1"/>
  <c r="A3965" i="1"/>
  <c r="B3965" i="1"/>
  <c r="C3965" i="1"/>
  <c r="A2618" i="1"/>
  <c r="B2618" i="1"/>
  <c r="C2618" i="1"/>
  <c r="A7735" i="1"/>
  <c r="B7735" i="1"/>
  <c r="C7735" i="1"/>
  <c r="A2519" i="1"/>
  <c r="B2519" i="1"/>
  <c r="C2519" i="1"/>
  <c r="A1857" i="1"/>
  <c r="B1857" i="1"/>
  <c r="C1857" i="1"/>
  <c r="A2905" i="1"/>
  <c r="B2905" i="1"/>
  <c r="C2905" i="1"/>
  <c r="A5574" i="1"/>
  <c r="B5574" i="1"/>
  <c r="C5574" i="1"/>
  <c r="A5204" i="1"/>
  <c r="B5204" i="1"/>
  <c r="C5204" i="1"/>
  <c r="A3945" i="1"/>
  <c r="B3945" i="1"/>
  <c r="C3945" i="1"/>
  <c r="A2661" i="1"/>
  <c r="B2661" i="1"/>
  <c r="C2661" i="1"/>
  <c r="A586" i="1"/>
  <c r="B586" i="1"/>
  <c r="C586" i="1"/>
  <c r="A9224" i="1"/>
  <c r="B9224" i="1"/>
  <c r="C9224" i="1"/>
  <c r="A6253" i="1"/>
  <c r="B6253" i="1"/>
  <c r="C6253" i="1"/>
  <c r="A6737" i="1"/>
  <c r="B6737" i="1"/>
  <c r="C6737" i="1"/>
  <c r="A5043" i="1"/>
  <c r="B5043" i="1"/>
  <c r="C5043" i="1"/>
  <c r="A9270" i="1"/>
  <c r="B9270" i="1"/>
  <c r="C9270" i="1"/>
  <c r="A5581" i="1"/>
  <c r="B5581" i="1"/>
  <c r="C5581" i="1"/>
  <c r="A10260" i="1"/>
  <c r="B10260" i="1"/>
  <c r="C10260" i="1"/>
  <c r="A7786" i="1"/>
  <c r="B7786" i="1"/>
  <c r="C7786" i="1"/>
  <c r="A11936" i="1"/>
  <c r="B11936" i="1"/>
  <c r="C11936" i="1"/>
  <c r="A12530" i="1"/>
  <c r="B12530" i="1"/>
  <c r="C12530" i="1"/>
  <c r="A12570" i="1"/>
  <c r="B12570" i="1"/>
  <c r="C12570" i="1"/>
  <c r="A6241" i="1"/>
  <c r="B6241" i="1"/>
  <c r="C6241" i="1"/>
  <c r="A9576" i="1"/>
  <c r="B9576" i="1"/>
  <c r="C9576" i="1"/>
  <c r="A7228" i="1"/>
  <c r="B7228" i="1"/>
  <c r="C7228" i="1"/>
  <c r="A9967" i="1"/>
  <c r="B9967" i="1"/>
  <c r="C9967" i="1"/>
  <c r="A4862" i="1"/>
  <c r="B4862" i="1"/>
  <c r="C4862" i="1"/>
  <c r="A10894" i="1"/>
  <c r="B10894" i="1"/>
  <c r="C10894" i="1"/>
  <c r="A13754" i="1"/>
  <c r="B13754" i="1"/>
  <c r="C13754" i="1"/>
  <c r="A6318" i="1"/>
  <c r="B6318" i="1"/>
  <c r="C6318" i="1"/>
  <c r="A2261" i="1"/>
  <c r="B2261" i="1"/>
  <c r="C2261" i="1"/>
  <c r="A11094" i="1"/>
  <c r="B11094" i="1"/>
  <c r="C11094" i="1"/>
  <c r="A6305" i="1"/>
  <c r="B6305" i="1"/>
  <c r="C6305" i="1"/>
  <c r="A3639" i="1"/>
  <c r="B3639" i="1"/>
  <c r="C3639" i="1"/>
  <c r="A942" i="1"/>
  <c r="B942" i="1"/>
  <c r="C942" i="1"/>
  <c r="A9434" i="1"/>
  <c r="B9434" i="1"/>
  <c r="C9434" i="1"/>
  <c r="A5481" i="1"/>
  <c r="B5481" i="1"/>
  <c r="C5481" i="1"/>
  <c r="A585" i="1"/>
  <c r="B585" i="1"/>
  <c r="C585" i="1"/>
  <c r="A2214" i="1"/>
  <c r="B2214" i="1"/>
  <c r="C2214" i="1"/>
  <c r="A8421" i="1"/>
  <c r="B8421" i="1"/>
  <c r="C8421" i="1"/>
  <c r="A11937" i="1"/>
  <c r="B11937" i="1"/>
  <c r="C11937" i="1"/>
  <c r="A11792" i="1"/>
  <c r="B11792" i="1"/>
  <c r="C11792" i="1"/>
  <c r="A731" i="1"/>
  <c r="B731" i="1"/>
  <c r="C731" i="1"/>
  <c r="A8666" i="1"/>
  <c r="B8666" i="1"/>
  <c r="C8666" i="1"/>
  <c r="A732" i="1"/>
  <c r="B732" i="1"/>
  <c r="C732" i="1"/>
  <c r="A9129" i="1"/>
  <c r="B9129" i="1"/>
  <c r="C9129" i="1"/>
  <c r="A9556" i="1"/>
  <c r="B9556" i="1"/>
  <c r="C9556" i="1"/>
  <c r="A4228" i="1"/>
  <c r="B4228" i="1"/>
  <c r="C4228" i="1"/>
  <c r="A8864" i="1"/>
  <c r="B8864" i="1"/>
  <c r="C8864" i="1"/>
  <c r="A5235" i="1"/>
  <c r="B5235" i="1"/>
  <c r="C5235" i="1"/>
  <c r="A5438" i="1"/>
  <c r="B5438" i="1"/>
  <c r="C5438" i="1"/>
  <c r="A12990" i="1"/>
  <c r="B12990" i="1"/>
  <c r="C12990" i="1"/>
  <c r="A12507" i="1"/>
  <c r="B12507" i="1"/>
  <c r="C12507" i="1"/>
  <c r="A12508" i="1"/>
  <c r="B12508" i="1"/>
  <c r="C12508" i="1"/>
  <c r="A247" i="1"/>
  <c r="B247" i="1"/>
  <c r="C247" i="1"/>
  <c r="A6919" i="1"/>
  <c r="B6919" i="1"/>
  <c r="C6919" i="1"/>
  <c r="A8984" i="1"/>
  <c r="B8984" i="1"/>
  <c r="C8984" i="1"/>
  <c r="A911" i="1"/>
  <c r="B911" i="1"/>
  <c r="C911" i="1"/>
  <c r="A1621" i="1"/>
  <c r="B1621" i="1"/>
  <c r="C1621" i="1"/>
  <c r="A5365" i="1"/>
  <c r="B5365" i="1"/>
  <c r="C5365" i="1"/>
  <c r="A5366" i="1"/>
  <c r="B5366" i="1"/>
  <c r="C5366" i="1"/>
  <c r="A2891" i="1"/>
  <c r="B2891" i="1"/>
  <c r="C2891" i="1"/>
  <c r="A4423" i="1"/>
  <c r="B4423" i="1"/>
  <c r="C4423" i="1"/>
  <c r="A8229" i="1"/>
  <c r="B8229" i="1"/>
  <c r="C8229" i="1"/>
  <c r="A8384" i="1"/>
  <c r="B8384" i="1"/>
  <c r="C8384" i="1"/>
  <c r="A1568" i="1"/>
  <c r="B1568" i="1"/>
  <c r="C1568" i="1"/>
  <c r="A1561" i="1"/>
  <c r="B1561" i="1"/>
  <c r="C1561" i="1"/>
  <c r="A2642" i="1"/>
  <c r="B2642" i="1"/>
  <c r="C2642" i="1"/>
  <c r="A6231" i="1"/>
  <c r="B6231" i="1"/>
  <c r="C6231" i="1"/>
  <c r="A1633" i="1"/>
  <c r="B1633" i="1"/>
  <c r="C1633" i="1"/>
  <c r="A7161" i="1"/>
  <c r="B7161" i="1"/>
  <c r="C7161" i="1"/>
  <c r="A932" i="1"/>
  <c r="B932" i="1"/>
  <c r="C932" i="1"/>
  <c r="A12121" i="1"/>
  <c r="B12121" i="1"/>
  <c r="C12121" i="1"/>
  <c r="A13465" i="1"/>
  <c r="B13465" i="1"/>
  <c r="C13465" i="1"/>
  <c r="A10541" i="1"/>
  <c r="B10541" i="1"/>
  <c r="C10541" i="1"/>
  <c r="A6927" i="1"/>
  <c r="B6927" i="1"/>
  <c r="C6927" i="1"/>
  <c r="A1698" i="1"/>
  <c r="B1698" i="1"/>
  <c r="C1698" i="1"/>
  <c r="A8455" i="1"/>
  <c r="B8455" i="1"/>
  <c r="C8455" i="1"/>
  <c r="A8898" i="1"/>
  <c r="B8898" i="1"/>
  <c r="C8898" i="1"/>
  <c r="A8899" i="1"/>
  <c r="B8899" i="1"/>
  <c r="C8899" i="1"/>
  <c r="A3385" i="1"/>
  <c r="B3385" i="1"/>
  <c r="C3385" i="1"/>
  <c r="A1337" i="1"/>
  <c r="B1337" i="1"/>
  <c r="C1337" i="1"/>
  <c r="A13730" i="1"/>
  <c r="B13730" i="1"/>
  <c r="C13730" i="1"/>
  <c r="A1781" i="1"/>
  <c r="B1781" i="1"/>
  <c r="C1781" i="1"/>
  <c r="A4781" i="1"/>
  <c r="B4781" i="1"/>
  <c r="C4781" i="1"/>
  <c r="A5465" i="1"/>
  <c r="B5465" i="1"/>
  <c r="C5465" i="1"/>
  <c r="A5463" i="1"/>
  <c r="B5463" i="1"/>
  <c r="C5463" i="1"/>
  <c r="A10119" i="1"/>
  <c r="B10119" i="1"/>
  <c r="C10119" i="1"/>
  <c r="A3177" i="1"/>
  <c r="B3177" i="1"/>
  <c r="C3177" i="1"/>
  <c r="A10718" i="1"/>
  <c r="B10718" i="1"/>
  <c r="C10718" i="1"/>
  <c r="A1441" i="1"/>
  <c r="B1441" i="1"/>
  <c r="C1441" i="1"/>
  <c r="A5033" i="1"/>
  <c r="B5033" i="1"/>
  <c r="C5033" i="1"/>
  <c r="A5133" i="1"/>
  <c r="B5133" i="1"/>
  <c r="C5133" i="1"/>
  <c r="A5817" i="1"/>
  <c r="B5817" i="1"/>
  <c r="C5817" i="1"/>
  <c r="A4890" i="1"/>
  <c r="B4890" i="1"/>
  <c r="C4890" i="1"/>
  <c r="A10734" i="1"/>
  <c r="B10734" i="1"/>
  <c r="C10734" i="1"/>
  <c r="A9627" i="1"/>
  <c r="B9627" i="1"/>
  <c r="C9627" i="1"/>
  <c r="A6861" i="1"/>
  <c r="B6861" i="1"/>
  <c r="C6861" i="1"/>
  <c r="A2520" i="1"/>
  <c r="B2520" i="1"/>
  <c r="C2520" i="1"/>
  <c r="A8979" i="1"/>
  <c r="B8979" i="1"/>
  <c r="C8979" i="1"/>
  <c r="A7812" i="1"/>
  <c r="B7812" i="1"/>
  <c r="C7812" i="1"/>
  <c r="A686" i="1"/>
  <c r="B686" i="1"/>
  <c r="C686" i="1"/>
  <c r="A10978" i="1"/>
  <c r="B10978" i="1"/>
  <c r="C10978" i="1"/>
  <c r="A11250" i="1"/>
  <c r="B11250" i="1"/>
  <c r="C11250" i="1"/>
  <c r="A2560" i="1"/>
  <c r="B2560" i="1"/>
  <c r="C2560" i="1"/>
  <c r="A7314" i="1"/>
  <c r="B7314" i="1"/>
  <c r="C7314" i="1"/>
  <c r="A7299" i="1"/>
  <c r="B7299" i="1"/>
  <c r="A3951" i="1"/>
  <c r="B3951" i="1"/>
  <c r="C3951" i="1"/>
  <c r="A4197" i="1"/>
  <c r="B4197" i="1"/>
  <c r="C4197" i="1"/>
  <c r="A1514" i="1"/>
  <c r="B1514" i="1"/>
  <c r="C1514" i="1"/>
  <c r="A13785" i="1"/>
  <c r="B13785" i="1"/>
  <c r="C13785" i="1"/>
  <c r="A3034" i="1"/>
  <c r="B3034" i="1"/>
  <c r="C3034" i="1"/>
  <c r="A9958" i="1"/>
  <c r="B9958" i="1"/>
  <c r="C9958" i="1"/>
  <c r="A4330" i="1"/>
  <c r="B4330" i="1"/>
  <c r="C4330" i="1"/>
  <c r="A5996" i="1"/>
  <c r="B5996" i="1"/>
  <c r="C5996" i="1"/>
  <c r="A12110" i="1"/>
  <c r="B12110" i="1"/>
  <c r="C12110" i="1"/>
  <c r="A11545" i="1"/>
  <c r="B11545" i="1"/>
  <c r="C11545" i="1"/>
  <c r="A8103" i="1"/>
  <c r="B8103" i="1"/>
  <c r="C8103" i="1"/>
  <c r="A5443" i="1"/>
  <c r="B5443" i="1"/>
  <c r="A224" i="1"/>
  <c r="B224" i="1"/>
  <c r="C224" i="1"/>
  <c r="A13393" i="1"/>
  <c r="B13393" i="1"/>
  <c r="C13393" i="1"/>
  <c r="A9524" i="1"/>
  <c r="B9524" i="1"/>
  <c r="C9524" i="1"/>
  <c r="A10813" i="1"/>
  <c r="B10813" i="1"/>
  <c r="C10813" i="1"/>
  <c r="A5614" i="1"/>
  <c r="B5614" i="1"/>
  <c r="C5614" i="1"/>
  <c r="A1631" i="1"/>
  <c r="B1631" i="1"/>
  <c r="C1631" i="1"/>
  <c r="A6049" i="1"/>
  <c r="B6049" i="1"/>
  <c r="C6049" i="1"/>
  <c r="A1654" i="1"/>
  <c r="B1654" i="1"/>
  <c r="C1654" i="1"/>
  <c r="A6006" i="1"/>
  <c r="B6006" i="1"/>
  <c r="C6006" i="1"/>
  <c r="A2809" i="1"/>
  <c r="B2809" i="1"/>
  <c r="C2809" i="1"/>
  <c r="A12062" i="1"/>
  <c r="B12062" i="1"/>
  <c r="C12062" i="1"/>
  <c r="A13381" i="1"/>
  <c r="B13381" i="1"/>
  <c r="C13381" i="1"/>
  <c r="A9532" i="1"/>
  <c r="B9532" i="1"/>
  <c r="C9532" i="1"/>
  <c r="A9674" i="1"/>
  <c r="B9674" i="1"/>
  <c r="C9674" i="1"/>
  <c r="A864" i="1"/>
  <c r="B864" i="1"/>
  <c r="C864" i="1"/>
  <c r="A13139" i="1"/>
  <c r="B13139" i="1"/>
  <c r="C13139" i="1"/>
  <c r="A7551" i="1"/>
  <c r="B7551" i="1"/>
  <c r="C7551" i="1"/>
  <c r="A3485" i="1"/>
  <c r="B3485" i="1"/>
  <c r="C3485" i="1"/>
  <c r="A7055" i="1"/>
  <c r="B7055" i="1"/>
  <c r="C7055" i="1"/>
  <c r="A4090" i="1"/>
  <c r="B4090" i="1"/>
  <c r="C4090" i="1"/>
  <c r="A3949" i="1"/>
  <c r="B3949" i="1"/>
  <c r="C3949" i="1"/>
  <c r="A13568" i="1"/>
  <c r="B13568" i="1"/>
  <c r="C13568" i="1"/>
  <c r="A12413" i="1"/>
  <c r="B12413" i="1"/>
  <c r="C12413" i="1"/>
  <c r="A7270" i="1"/>
  <c r="B7270" i="1"/>
  <c r="C7270" i="1"/>
  <c r="A7479" i="1"/>
  <c r="B7479" i="1"/>
  <c r="C7479" i="1"/>
  <c r="A3717" i="1"/>
  <c r="B3717" i="1"/>
  <c r="C3717" i="1"/>
  <c r="A3718" i="1"/>
  <c r="B3718" i="1"/>
  <c r="C3718" i="1"/>
  <c r="A3719" i="1"/>
  <c r="B3719" i="1"/>
  <c r="C3719" i="1"/>
  <c r="A5016" i="1"/>
  <c r="B5016" i="1"/>
  <c r="A5017" i="1"/>
  <c r="B5017" i="1"/>
  <c r="A3537" i="1"/>
  <c r="B3537" i="1"/>
  <c r="C3537" i="1"/>
  <c r="A12099" i="1"/>
  <c r="B12099" i="1"/>
  <c r="C12099" i="1"/>
  <c r="A11871" i="1"/>
  <c r="B11871" i="1"/>
  <c r="C11871" i="1"/>
  <c r="A5168" i="1"/>
  <c r="B5168" i="1"/>
  <c r="C5168" i="1"/>
  <c r="A7724" i="1"/>
  <c r="B7724" i="1"/>
  <c r="C7724" i="1"/>
  <c r="A3503" i="1"/>
  <c r="B3503" i="1"/>
  <c r="C3503" i="1"/>
  <c r="A786" i="1"/>
  <c r="B786" i="1"/>
  <c r="C786" i="1"/>
  <c r="A7669" i="1"/>
  <c r="B7669" i="1"/>
  <c r="C7669" i="1"/>
  <c r="A10272" i="1"/>
  <c r="B10272" i="1"/>
  <c r="C10272" i="1"/>
  <c r="A13847" i="1"/>
  <c r="B13847" i="1"/>
  <c r="C13847" i="1"/>
  <c r="A10174" i="1"/>
  <c r="B10174" i="1"/>
  <c r="C10174" i="1"/>
  <c r="A3284" i="1"/>
  <c r="B3284" i="1"/>
  <c r="C3284" i="1"/>
  <c r="A4345" i="1"/>
  <c r="B4345" i="1"/>
  <c r="C4345" i="1"/>
  <c r="A776" i="1"/>
  <c r="B776" i="1"/>
  <c r="C776" i="1"/>
  <c r="A7979" i="1"/>
  <c r="B7979" i="1"/>
  <c r="C7979" i="1"/>
  <c r="A3467" i="1"/>
  <c r="B3467" i="1"/>
  <c r="C3467" i="1"/>
  <c r="A12741" i="1"/>
  <c r="B12741" i="1"/>
  <c r="C12741" i="1"/>
  <c r="A9635" i="1"/>
  <c r="B9635" i="1"/>
  <c r="C9635" i="1"/>
  <c r="A13581" i="1"/>
  <c r="B13581" i="1"/>
  <c r="C13581" i="1"/>
  <c r="A13533" i="1"/>
  <c r="B13533" i="1"/>
  <c r="C13533" i="1"/>
  <c r="A7713" i="1"/>
  <c r="B7713" i="1"/>
  <c r="C7713" i="1"/>
  <c r="A5296" i="1"/>
  <c r="B5296" i="1"/>
  <c r="C5296" i="1"/>
  <c r="A5297" i="1"/>
  <c r="B5297" i="1"/>
  <c r="C5297" i="1"/>
  <c r="A6311" i="1"/>
  <c r="B6311" i="1"/>
  <c r="C6311" i="1"/>
  <c r="A10570" i="1"/>
  <c r="B10570" i="1"/>
  <c r="C10570" i="1"/>
  <c r="A1373" i="1"/>
  <c r="B1373" i="1"/>
  <c r="C1373" i="1"/>
  <c r="A5094" i="1"/>
  <c r="B5094" i="1"/>
  <c r="C5094" i="1"/>
  <c r="A689" i="1"/>
  <c r="B689" i="1"/>
  <c r="C689" i="1"/>
  <c r="A10915" i="1"/>
  <c r="B10915" i="1"/>
  <c r="C10915" i="1"/>
  <c r="A12831" i="1"/>
  <c r="B12831" i="1"/>
  <c r="C12831" i="1"/>
  <c r="A10586" i="1"/>
  <c r="B10586" i="1"/>
  <c r="C10586" i="1"/>
  <c r="A9255" i="1"/>
  <c r="B9255" i="1"/>
  <c r="C9255" i="1"/>
  <c r="A5349" i="1"/>
  <c r="B5349" i="1"/>
  <c r="C5349" i="1"/>
  <c r="A2850" i="1"/>
  <c r="B2850" i="1"/>
  <c r="C2850" i="1"/>
  <c r="A10656" i="1"/>
  <c r="B10656" i="1"/>
  <c r="C10656" i="1"/>
  <c r="A7411" i="1"/>
  <c r="B7411" i="1"/>
  <c r="C7411" i="1"/>
  <c r="A6770" i="1"/>
  <c r="B6770" i="1"/>
  <c r="C6770" i="1"/>
  <c r="A12577" i="1"/>
  <c r="B12577" i="1"/>
  <c r="C12577" i="1"/>
  <c r="A5213" i="1"/>
  <c r="B5213" i="1"/>
  <c r="C5213" i="1"/>
  <c r="A4784" i="1"/>
  <c r="B4784" i="1"/>
  <c r="C4784" i="1"/>
  <c r="A6355" i="1"/>
  <c r="B6355" i="1"/>
  <c r="C6355" i="1"/>
  <c r="A2731" i="1"/>
  <c r="B2731" i="1"/>
  <c r="C2731" i="1"/>
  <c r="A8907" i="1"/>
  <c r="B8907" i="1"/>
  <c r="C8907" i="1"/>
  <c r="A8804" i="1"/>
  <c r="B8804" i="1"/>
  <c r="C8804" i="1"/>
  <c r="A1600" i="1"/>
  <c r="B1600" i="1"/>
  <c r="C1600" i="1"/>
  <c r="A5980" i="1"/>
  <c r="B5980" i="1"/>
  <c r="C5980" i="1"/>
  <c r="A11183" i="1"/>
  <c r="B11183" i="1"/>
  <c r="C11183" i="1"/>
  <c r="A7540" i="1"/>
  <c r="B7540" i="1"/>
  <c r="C7540" i="1"/>
  <c r="A7926" i="1"/>
  <c r="B7926" i="1"/>
  <c r="C7926" i="1"/>
  <c r="A13810" i="1"/>
  <c r="B13810" i="1"/>
  <c r="C13810" i="1"/>
  <c r="A10989" i="1"/>
  <c r="B10989" i="1"/>
  <c r="C10989" i="1"/>
  <c r="A10300" i="1"/>
  <c r="B10300" i="1"/>
  <c r="C10300" i="1"/>
  <c r="A2507" i="1"/>
  <c r="B2507" i="1"/>
  <c r="C2507" i="1"/>
  <c r="A8404" i="1"/>
  <c r="B8404" i="1"/>
  <c r="C8404" i="1"/>
  <c r="A3549" i="1"/>
  <c r="B3549" i="1"/>
  <c r="C3549" i="1"/>
  <c r="A1593" i="1"/>
  <c r="B1593" i="1"/>
  <c r="C1593" i="1"/>
  <c r="A652" i="1"/>
  <c r="B652" i="1"/>
  <c r="C652" i="1"/>
  <c r="A13597" i="1"/>
  <c r="B13597" i="1"/>
  <c r="C13597" i="1"/>
  <c r="A3388" i="1"/>
  <c r="B3388" i="1"/>
  <c r="C3388" i="1"/>
  <c r="A9186" i="1"/>
  <c r="B9186" i="1"/>
  <c r="C9186" i="1"/>
  <c r="A7420" i="1"/>
  <c r="B7420" i="1"/>
  <c r="C7420" i="1"/>
  <c r="A12047" i="1"/>
  <c r="B12047" i="1"/>
  <c r="C12047" i="1"/>
  <c r="A11536" i="1"/>
  <c r="B11536" i="1"/>
  <c r="C11536" i="1"/>
  <c r="A4776" i="1"/>
  <c r="B4776" i="1"/>
  <c r="C4776" i="1"/>
  <c r="A11596" i="1"/>
  <c r="B11596" i="1"/>
  <c r="C11596" i="1"/>
  <c r="A3049" i="1"/>
  <c r="B3049" i="1"/>
  <c r="C3049" i="1"/>
  <c r="A3515" i="1"/>
  <c r="B3515" i="1"/>
  <c r="C3515" i="1"/>
  <c r="A3915" i="1"/>
  <c r="B3915" i="1"/>
  <c r="C3915" i="1"/>
  <c r="A538" i="1"/>
  <c r="B538" i="1"/>
  <c r="C538" i="1"/>
  <c r="A1331" i="1"/>
  <c r="B1331" i="1"/>
  <c r="C1331" i="1"/>
  <c r="A110" i="1"/>
  <c r="B110" i="1"/>
  <c r="C110" i="1"/>
  <c r="A13544" i="1"/>
  <c r="B13544" i="1"/>
  <c r="C13544" i="1"/>
  <c r="A7124" i="1"/>
  <c r="B7124" i="1"/>
  <c r="C7124" i="1"/>
  <c r="A12518" i="1"/>
  <c r="B12518" i="1"/>
  <c r="C12518" i="1"/>
  <c r="A11041" i="1"/>
  <c r="B11041" i="1"/>
  <c r="C11041" i="1"/>
  <c r="A3653" i="1"/>
  <c r="B3653" i="1"/>
  <c r="C3653" i="1"/>
  <c r="A9405" i="1"/>
  <c r="B9405" i="1"/>
  <c r="C9405" i="1"/>
  <c r="A3187" i="1"/>
  <c r="B3187" i="1"/>
  <c r="C3187" i="1"/>
  <c r="A10190" i="1"/>
  <c r="B10190" i="1"/>
  <c r="C10190" i="1"/>
  <c r="A3906" i="1"/>
  <c r="B3906" i="1"/>
  <c r="C3906" i="1"/>
  <c r="A11113" i="1"/>
  <c r="B11113" i="1"/>
  <c r="C11113" i="1"/>
  <c r="A13881" i="1"/>
  <c r="B13881" i="1"/>
  <c r="C13881" i="1"/>
  <c r="A5582" i="1"/>
  <c r="B5582" i="1"/>
  <c r="C5582" i="1"/>
  <c r="A4560" i="1"/>
  <c r="B4560" i="1"/>
  <c r="C4560" i="1"/>
  <c r="A10295" i="1"/>
  <c r="B10295" i="1"/>
  <c r="C10295" i="1"/>
  <c r="A10713" i="1"/>
  <c r="B10713" i="1"/>
  <c r="C10713" i="1"/>
  <c r="A7145" i="1"/>
  <c r="B7145" i="1"/>
  <c r="C7145" i="1"/>
  <c r="A978" i="1"/>
  <c r="B978" i="1"/>
  <c r="C978" i="1"/>
  <c r="A11274" i="1"/>
  <c r="B11274" i="1"/>
  <c r="C11274" i="1"/>
  <c r="A3727" i="1"/>
  <c r="B3727" i="1"/>
  <c r="C3727" i="1"/>
  <c r="A12703" i="1"/>
  <c r="B12703" i="1"/>
  <c r="C12703" i="1"/>
  <c r="A5626" i="1"/>
  <c r="B5626" i="1"/>
  <c r="C5626" i="1"/>
  <c r="A6044" i="1"/>
  <c r="B6044" i="1"/>
  <c r="C6044" i="1"/>
  <c r="A6729" i="1"/>
  <c r="B6729" i="1"/>
  <c r="C6729" i="1"/>
  <c r="A12846" i="1"/>
  <c r="B12846" i="1"/>
  <c r="C12846" i="1"/>
  <c r="A3253" i="1"/>
  <c r="B3253" i="1"/>
  <c r="C3253" i="1"/>
  <c r="A1435" i="1"/>
  <c r="B1435" i="1"/>
  <c r="C1435" i="1"/>
  <c r="A1800" i="1"/>
  <c r="B1800" i="1"/>
  <c r="C1800" i="1"/>
  <c r="A6734" i="1"/>
  <c r="B6734" i="1"/>
  <c r="C6734" i="1"/>
  <c r="A7831" i="1"/>
  <c r="B7831" i="1"/>
  <c r="C7831" i="1"/>
  <c r="A9804" i="1"/>
  <c r="B9804" i="1"/>
  <c r="C9804" i="1"/>
  <c r="A5520" i="1"/>
  <c r="B5520" i="1"/>
  <c r="C5520" i="1"/>
  <c r="A13472" i="1"/>
  <c r="B13472" i="1"/>
  <c r="C13472" i="1"/>
  <c r="A8374" i="1"/>
  <c r="B8374" i="1"/>
  <c r="C8374" i="1"/>
  <c r="A495" i="1"/>
  <c r="B495" i="1"/>
  <c r="C495" i="1"/>
  <c r="A1082" i="1"/>
  <c r="B1082" i="1"/>
  <c r="C1082" i="1"/>
  <c r="A11608" i="1"/>
  <c r="B11608" i="1"/>
  <c r="C11608" i="1"/>
  <c r="A1913" i="1"/>
  <c r="B1913" i="1"/>
  <c r="C1913" i="1"/>
  <c r="A5663" i="1"/>
  <c r="B5663" i="1"/>
  <c r="C5663" i="1"/>
  <c r="A12074" i="1"/>
  <c r="B12074" i="1"/>
  <c r="C12074" i="1"/>
  <c r="A4409" i="1"/>
  <c r="B4409" i="1"/>
  <c r="C4409" i="1"/>
  <c r="A1978" i="1"/>
  <c r="B1978" i="1"/>
  <c r="C1978" i="1"/>
  <c r="A10502" i="1"/>
  <c r="B10502" i="1"/>
  <c r="C10502" i="1"/>
  <c r="A12181" i="1"/>
  <c r="B12181" i="1"/>
  <c r="C12181" i="1"/>
  <c r="A13498" i="1"/>
  <c r="B13498" i="1"/>
  <c r="C13498" i="1"/>
  <c r="A8685" i="1"/>
  <c r="B8685" i="1"/>
  <c r="C8685" i="1"/>
  <c r="A1569" i="1"/>
  <c r="B1569" i="1"/>
  <c r="C1569" i="1"/>
  <c r="A1566" i="1"/>
  <c r="B1566" i="1"/>
  <c r="C1566" i="1"/>
  <c r="A4102" i="1"/>
  <c r="B4102" i="1"/>
  <c r="C4102" i="1"/>
  <c r="A10745" i="1"/>
  <c r="B10745" i="1"/>
  <c r="C10745" i="1"/>
  <c r="A7174" i="1"/>
  <c r="B7174" i="1"/>
  <c r="C7174" i="1"/>
  <c r="A3277" i="1"/>
  <c r="B3277" i="1"/>
  <c r="C3277" i="1"/>
  <c r="A1709" i="1"/>
  <c r="B1709" i="1"/>
  <c r="C1709" i="1"/>
  <c r="A785" i="1"/>
  <c r="B785" i="1"/>
  <c r="C785" i="1"/>
  <c r="A2947" i="1"/>
  <c r="B2947" i="1"/>
  <c r="C2947" i="1"/>
  <c r="A6494" i="1"/>
  <c r="B6494" i="1"/>
  <c r="C6494" i="1"/>
  <c r="A8683" i="1"/>
  <c r="B8683" i="1"/>
  <c r="C8683" i="1"/>
  <c r="A4770" i="1"/>
  <c r="B4770" i="1"/>
  <c r="C4770" i="1"/>
  <c r="A2903" i="1"/>
  <c r="B2903" i="1"/>
  <c r="C2903" i="1"/>
  <c r="A6983" i="1"/>
  <c r="B6983" i="1"/>
  <c r="C6983" i="1"/>
  <c r="A9327" i="1"/>
  <c r="B9327" i="1"/>
  <c r="C9327" i="1"/>
  <c r="A9328" i="1"/>
  <c r="B9328" i="1"/>
  <c r="C9328" i="1"/>
  <c r="A9329" i="1"/>
  <c r="B9329" i="1"/>
  <c r="C9329" i="1"/>
  <c r="A1789" i="1"/>
  <c r="B1789" i="1"/>
  <c r="C1789" i="1"/>
  <c r="A6863" i="1"/>
  <c r="B6863" i="1"/>
  <c r="C6863" i="1"/>
  <c r="A13051" i="1"/>
  <c r="B13051" i="1"/>
  <c r="C13051" i="1"/>
  <c r="A5262" i="1"/>
  <c r="B5262" i="1"/>
  <c r="C5262" i="1"/>
  <c r="A10977" i="1"/>
  <c r="B10977" i="1"/>
  <c r="C10977" i="1"/>
  <c r="A5149" i="1"/>
  <c r="B5149" i="1"/>
  <c r="C5149" i="1"/>
  <c r="A10211" i="1"/>
  <c r="B10211" i="1"/>
  <c r="C10211" i="1"/>
  <c r="A3004" i="1"/>
  <c r="B3004" i="1"/>
  <c r="C3004" i="1"/>
  <c r="A11022" i="1"/>
  <c r="B11022" i="1"/>
  <c r="C11022" i="1"/>
  <c r="A12170" i="1"/>
  <c r="B12170" i="1"/>
  <c r="C12170" i="1"/>
  <c r="A10571" i="1"/>
  <c r="B10571" i="1"/>
  <c r="C10571" i="1"/>
  <c r="A3907" i="1"/>
  <c r="B3907" i="1"/>
  <c r="C3907" i="1"/>
  <c r="A7839" i="1"/>
  <c r="B7839" i="1"/>
  <c r="C7839" i="1"/>
  <c r="A6232" i="1"/>
  <c r="B6232" i="1"/>
  <c r="C6232" i="1"/>
  <c r="A7840" i="1"/>
  <c r="B7840" i="1"/>
  <c r="C7840" i="1"/>
  <c r="A5862" i="1"/>
  <c r="B5862" i="1"/>
  <c r="C5862" i="1"/>
  <c r="A5776" i="1"/>
  <c r="B5776" i="1"/>
  <c r="C5776" i="1"/>
  <c r="A11562" i="1"/>
  <c r="B11562" i="1"/>
  <c r="C11562" i="1"/>
  <c r="A2613" i="1"/>
  <c r="B2613" i="1"/>
  <c r="C2613" i="1"/>
  <c r="A2216" i="1"/>
  <c r="B2216" i="1"/>
  <c r="C2216" i="1"/>
  <c r="A6034" i="1"/>
  <c r="B6034" i="1"/>
  <c r="C6034" i="1"/>
  <c r="A4366" i="1"/>
  <c r="B4366" i="1"/>
  <c r="C4366" i="1"/>
  <c r="A6140" i="1"/>
  <c r="B6140" i="1"/>
  <c r="C6140" i="1"/>
  <c r="A9870" i="1"/>
  <c r="B9870" i="1"/>
  <c r="C9870" i="1"/>
  <c r="A1289" i="1"/>
  <c r="B1289" i="1"/>
  <c r="C1289" i="1"/>
  <c r="A3543" i="1"/>
  <c r="B3543" i="1"/>
  <c r="C3543" i="1"/>
  <c r="A4227" i="1"/>
  <c r="B4227" i="1"/>
  <c r="C4227" i="1"/>
  <c r="A3224" i="1"/>
  <c r="B3224" i="1"/>
  <c r="C3224" i="1"/>
  <c r="A12623" i="1"/>
  <c r="B12623" i="1"/>
  <c r="C12623" i="1"/>
  <c r="A1515" i="1"/>
  <c r="B1515" i="1"/>
  <c r="C1515" i="1"/>
  <c r="A1564" i="1"/>
  <c r="B1564" i="1"/>
  <c r="C1564" i="1"/>
  <c r="A6715" i="1"/>
  <c r="B6715" i="1"/>
  <c r="C6715" i="1"/>
  <c r="A7965" i="1"/>
  <c r="B7965" i="1"/>
  <c r="C7965" i="1"/>
  <c r="A2532" i="1"/>
  <c r="B2532" i="1"/>
  <c r="C2532" i="1"/>
  <c r="A13720" i="1"/>
  <c r="B13720" i="1"/>
  <c r="C13720" i="1"/>
  <c r="A13940" i="1"/>
  <c r="B13940" i="1"/>
  <c r="C13940" i="1"/>
  <c r="A9187" i="1"/>
  <c r="B9187" i="1"/>
  <c r="C9187" i="1"/>
  <c r="A7506" i="1"/>
  <c r="B7506" i="1"/>
  <c r="C7506" i="1"/>
  <c r="A3481" i="1"/>
  <c r="B3481" i="1"/>
  <c r="C3481" i="1"/>
  <c r="A10259" i="1"/>
  <c r="B10259" i="1"/>
  <c r="C10259" i="1"/>
  <c r="A11099" i="1"/>
  <c r="B11099" i="1"/>
  <c r="C11099" i="1"/>
  <c r="A11055" i="1"/>
  <c r="B11055" i="1"/>
  <c r="C11055" i="1"/>
  <c r="A10663" i="1"/>
  <c r="B10663" i="1"/>
  <c r="C10663" i="1"/>
  <c r="A7312" i="1"/>
  <c r="B7312" i="1"/>
  <c r="C7312" i="1"/>
  <c r="A12256" i="1"/>
  <c r="B12256" i="1"/>
  <c r="C12256" i="1"/>
  <c r="A12622" i="1"/>
  <c r="B12622" i="1"/>
  <c r="C12622" i="1"/>
  <c r="A2337" i="1"/>
  <c r="B2337" i="1"/>
  <c r="C2337" i="1"/>
  <c r="A12910" i="1"/>
  <c r="B12910" i="1"/>
  <c r="C12910" i="1"/>
  <c r="A2549" i="1"/>
  <c r="B2549" i="1"/>
  <c r="C2549" i="1"/>
  <c r="A13070" i="1"/>
  <c r="B13070" i="1"/>
  <c r="C13070" i="1"/>
  <c r="A13103" i="1"/>
  <c r="B13103" i="1"/>
  <c r="C13103" i="1"/>
  <c r="A13765" i="1"/>
  <c r="B13765" i="1"/>
  <c r="C13765" i="1"/>
  <c r="A4208" i="1"/>
  <c r="B4208" i="1"/>
  <c r="C4208" i="1"/>
  <c r="A3558" i="1"/>
  <c r="B3558" i="1"/>
  <c r="C3558" i="1"/>
  <c r="A4301" i="1"/>
  <c r="B4301" i="1"/>
  <c r="C4301" i="1"/>
  <c r="A3761" i="1"/>
  <c r="B3761" i="1"/>
  <c r="C3761" i="1"/>
  <c r="A11353" i="1"/>
  <c r="B11353" i="1"/>
  <c r="C11353" i="1"/>
  <c r="A11585" i="1"/>
  <c r="B11585" i="1"/>
  <c r="C11585" i="1"/>
  <c r="A7333" i="1"/>
  <c r="B7333" i="1"/>
  <c r="C7333" i="1"/>
  <c r="A565" i="1"/>
  <c r="B565" i="1"/>
  <c r="C565" i="1"/>
  <c r="A1935" i="1"/>
  <c r="B1935" i="1"/>
  <c r="C1935" i="1"/>
  <c r="A2912" i="1"/>
  <c r="B2912" i="1"/>
  <c r="C2912" i="1"/>
  <c r="A10783" i="1"/>
  <c r="B10783" i="1"/>
  <c r="C10783" i="1"/>
  <c r="A13414" i="1"/>
  <c r="B13414" i="1"/>
  <c r="C13414" i="1"/>
  <c r="A1746" i="1"/>
  <c r="B1746" i="1"/>
  <c r="C1746" i="1"/>
  <c r="A10057" i="1"/>
  <c r="B10057" i="1"/>
  <c r="C10057" i="1"/>
  <c r="A5483" i="1"/>
  <c r="B5483" i="1"/>
  <c r="C5483" i="1"/>
  <c r="A13619" i="1"/>
  <c r="B13619" i="1"/>
  <c r="C13619" i="1"/>
  <c r="A13620" i="1"/>
  <c r="B13620" i="1"/>
  <c r="C13620" i="1"/>
  <c r="A5327" i="1"/>
  <c r="B5327" i="1"/>
  <c r="C5327" i="1"/>
  <c r="A7927" i="1"/>
  <c r="B7927" i="1"/>
  <c r="C7927" i="1"/>
  <c r="A11035" i="1"/>
  <c r="B11035" i="1"/>
  <c r="C11035" i="1"/>
  <c r="A1046" i="1"/>
  <c r="B1046" i="1"/>
  <c r="C1046" i="1"/>
  <c r="A5227" i="1"/>
  <c r="B5227" i="1"/>
  <c r="C5227" i="1"/>
  <c r="A7058" i="1"/>
  <c r="B7058" i="1"/>
  <c r="C7058" i="1"/>
  <c r="A907" i="1"/>
  <c r="B907" i="1"/>
  <c r="C907" i="1"/>
  <c r="A10970" i="1"/>
  <c r="B10970" i="1"/>
  <c r="C10970" i="1"/>
  <c r="A411" i="1"/>
  <c r="B411" i="1"/>
  <c r="C411" i="1"/>
  <c r="A7146" i="1"/>
  <c r="B7146" i="1"/>
  <c r="C7146" i="1"/>
  <c r="A877" i="1"/>
  <c r="B877" i="1"/>
  <c r="C877" i="1"/>
  <c r="A10060" i="1"/>
  <c r="B10060" i="1"/>
  <c r="C10060" i="1"/>
  <c r="A5513" i="1"/>
  <c r="B5513" i="1"/>
  <c r="C5513" i="1"/>
  <c r="A4071" i="1"/>
  <c r="B4071" i="1"/>
  <c r="C4071" i="1"/>
  <c r="A7615" i="1"/>
  <c r="B7615" i="1"/>
  <c r="C7615" i="1"/>
  <c r="A12031" i="1"/>
  <c r="B12031" i="1"/>
  <c r="C12031" i="1"/>
  <c r="A819" i="1"/>
  <c r="B819" i="1"/>
  <c r="C819" i="1"/>
  <c r="A5237" i="1"/>
  <c r="B5237" i="1"/>
  <c r="C5237" i="1"/>
  <c r="A8335" i="1"/>
  <c r="B8335" i="1"/>
  <c r="C8335" i="1"/>
  <c r="A5845" i="1"/>
  <c r="B5845" i="1"/>
  <c r="C5845" i="1"/>
  <c r="A12500" i="1"/>
  <c r="B12500" i="1"/>
  <c r="C12500" i="1"/>
  <c r="A1703" i="1"/>
  <c r="B1703" i="1"/>
  <c r="C1703" i="1"/>
  <c r="A3294" i="1"/>
  <c r="B3294" i="1"/>
  <c r="C3294" i="1"/>
  <c r="A9710" i="1"/>
  <c r="B9710" i="1"/>
  <c r="C9710" i="1"/>
  <c r="A2483" i="1"/>
  <c r="B2483" i="1"/>
  <c r="C2483" i="1"/>
  <c r="A4934" i="1"/>
  <c r="B4934" i="1"/>
  <c r="C4934" i="1"/>
  <c r="A6375" i="1"/>
  <c r="B6375" i="1"/>
  <c r="C6375" i="1"/>
  <c r="A10809" i="1"/>
  <c r="B10809" i="1"/>
  <c r="C10809" i="1"/>
  <c r="A7814" i="1"/>
  <c r="B7814" i="1"/>
  <c r="C7814" i="1"/>
  <c r="A8035" i="1"/>
  <c r="B8035" i="1"/>
  <c r="C8035" i="1"/>
  <c r="A1121" i="1"/>
  <c r="B1121" i="1"/>
  <c r="C1121" i="1"/>
  <c r="A4508" i="1"/>
  <c r="B4508" i="1"/>
  <c r="C4508" i="1"/>
  <c r="A13370" i="1"/>
  <c r="B13370" i="1"/>
  <c r="C13370" i="1"/>
  <c r="A15" i="1"/>
  <c r="B15" i="1"/>
  <c r="C15" i="1"/>
  <c r="A13908" i="1"/>
  <c r="B13908" i="1"/>
  <c r="C13908" i="1"/>
  <c r="A6074" i="1"/>
  <c r="B6074" i="1"/>
  <c r="C6074" i="1"/>
  <c r="A8239" i="1"/>
  <c r="B8239" i="1"/>
  <c r="C8239" i="1"/>
  <c r="A7246" i="1"/>
  <c r="B7246" i="1"/>
  <c r="C7246" i="1"/>
  <c r="A8398" i="1"/>
  <c r="B8398" i="1"/>
  <c r="C8398" i="1"/>
  <c r="A3367" i="1"/>
  <c r="B3367" i="1"/>
  <c r="C3367" i="1"/>
  <c r="A7261" i="1"/>
  <c r="B7261" i="1"/>
  <c r="C7261" i="1"/>
  <c r="A3892" i="1"/>
  <c r="B3892" i="1"/>
  <c r="C3892" i="1"/>
  <c r="A8460" i="1"/>
  <c r="B8460" i="1"/>
  <c r="C8460" i="1"/>
  <c r="A1943" i="1"/>
  <c r="B1943" i="1"/>
  <c r="C1943" i="1"/>
  <c r="A8319" i="1"/>
  <c r="B8319" i="1"/>
  <c r="C8319" i="1"/>
  <c r="A1079" i="1"/>
  <c r="B1079" i="1"/>
  <c r="C1079" i="1"/>
  <c r="A372" i="1"/>
  <c r="B372" i="1"/>
  <c r="C372" i="1"/>
  <c r="A12383" i="1"/>
  <c r="B12383" i="1"/>
  <c r="C12383" i="1"/>
  <c r="A11108" i="1"/>
  <c r="B11108" i="1"/>
  <c r="C11108" i="1"/>
  <c r="A9011" i="1"/>
  <c r="B9011" i="1"/>
  <c r="C9011" i="1"/>
  <c r="A4160" i="1"/>
  <c r="B4160" i="1"/>
  <c r="C4160" i="1"/>
  <c r="A5747" i="1"/>
  <c r="B5747" i="1"/>
  <c r="C5747" i="1"/>
  <c r="A2834" i="1"/>
  <c r="B2834" i="1"/>
  <c r="C2834" i="1"/>
  <c r="A8195" i="1"/>
  <c r="B8195" i="1"/>
  <c r="C8195" i="1"/>
  <c r="A7357" i="1"/>
  <c r="B7357" i="1"/>
  <c r="C7357" i="1"/>
  <c r="A2951" i="1"/>
  <c r="B2951" i="1"/>
  <c r="C2951" i="1"/>
  <c r="A1724" i="1"/>
  <c r="B1724" i="1"/>
  <c r="C1724" i="1"/>
  <c r="A5940" i="1"/>
  <c r="B5940" i="1"/>
  <c r="C5940" i="1"/>
  <c r="A8469" i="1"/>
  <c r="B8469" i="1"/>
  <c r="C8469" i="1"/>
  <c r="A2544" i="1"/>
  <c r="B2544" i="1"/>
  <c r="C2544" i="1"/>
  <c r="A1417" i="1"/>
  <c r="B1417" i="1"/>
  <c r="C1417" i="1"/>
  <c r="A5070" i="1"/>
  <c r="B5070" i="1"/>
  <c r="C5070" i="1"/>
  <c r="A6922" i="1"/>
  <c r="B6922" i="1"/>
  <c r="C6922" i="1"/>
  <c r="A2615" i="1"/>
  <c r="B2615" i="1"/>
  <c r="C2615" i="1"/>
  <c r="A1803" i="1"/>
  <c r="B1803" i="1"/>
  <c r="C1803" i="1"/>
  <c r="A6402" i="1"/>
  <c r="B6402" i="1"/>
  <c r="C6402" i="1"/>
  <c r="A6887" i="1"/>
  <c r="B6887" i="1"/>
  <c r="C6887" i="1"/>
  <c r="A1428" i="1"/>
  <c r="B1428" i="1"/>
  <c r="C1428" i="1"/>
  <c r="A13491" i="1"/>
  <c r="B13491" i="1"/>
  <c r="C13491" i="1"/>
  <c r="A5036" i="1"/>
  <c r="B5036" i="1"/>
  <c r="C5036" i="1"/>
  <c r="A4768" i="1"/>
  <c r="B4768" i="1"/>
  <c r="C4768" i="1"/>
  <c r="A4255" i="1"/>
  <c r="B4255" i="1"/>
  <c r="C4255" i="1"/>
  <c r="A13912" i="1"/>
  <c r="B13912" i="1"/>
  <c r="C13912" i="1"/>
  <c r="A13166" i="1"/>
  <c r="B13166" i="1"/>
  <c r="C13166" i="1"/>
  <c r="A7964" i="1"/>
  <c r="B7964" i="1"/>
  <c r="C7964" i="1"/>
  <c r="A1570" i="1"/>
  <c r="B1570" i="1"/>
  <c r="C1570" i="1"/>
  <c r="A9682" i="1"/>
  <c r="B9682" i="1"/>
  <c r="C9682" i="1"/>
  <c r="A1712" i="1"/>
  <c r="B1712" i="1"/>
  <c r="C1712" i="1"/>
  <c r="A9824" i="1"/>
  <c r="B9824" i="1"/>
  <c r="C9824" i="1"/>
  <c r="A4903" i="1"/>
  <c r="B4903" i="1"/>
  <c r="C4903" i="1"/>
  <c r="A9786" i="1"/>
  <c r="B9786" i="1"/>
  <c r="C9786" i="1"/>
  <c r="A8977" i="1"/>
  <c r="B8977" i="1"/>
  <c r="C8977" i="1"/>
  <c r="A6800" i="1"/>
  <c r="B6800" i="1"/>
  <c r="C6800" i="1"/>
  <c r="A9538" i="1"/>
  <c r="B9538" i="1"/>
  <c r="C9538" i="1"/>
  <c r="A389" i="1"/>
  <c r="B389" i="1"/>
  <c r="C389" i="1"/>
  <c r="A11703" i="1"/>
  <c r="B11703" i="1"/>
  <c r="C11703" i="1"/>
  <c r="A11956" i="1"/>
  <c r="B11956" i="1"/>
  <c r="C11956" i="1"/>
  <c r="A1262" i="1"/>
  <c r="B1262" i="1"/>
  <c r="C1262" i="1"/>
  <c r="A3461" i="1"/>
  <c r="B3461" i="1"/>
  <c r="C3461" i="1"/>
  <c r="A5912" i="1"/>
  <c r="B5912" i="1"/>
  <c r="C5912" i="1"/>
  <c r="A6088" i="1"/>
  <c r="B6088" i="1"/>
  <c r="C6088" i="1"/>
  <c r="A13612" i="1"/>
  <c r="B13612" i="1"/>
  <c r="C13612" i="1"/>
  <c r="A10746" i="1"/>
  <c r="B10746" i="1"/>
  <c r="C10746" i="1"/>
  <c r="A8931" i="1"/>
  <c r="B8931" i="1"/>
  <c r="C8931" i="1"/>
  <c r="A3462" i="1"/>
  <c r="B3462" i="1"/>
  <c r="C3462" i="1"/>
  <c r="A4540" i="1"/>
  <c r="B4540" i="1"/>
  <c r="C4540" i="1"/>
  <c r="A5737" i="1"/>
  <c r="B5737" i="1"/>
  <c r="C5737" i="1"/>
  <c r="A5738" i="1"/>
  <c r="B5738" i="1"/>
  <c r="C5738" i="1"/>
  <c r="A8331" i="1"/>
  <c r="B8331" i="1"/>
  <c r="C8331" i="1"/>
  <c r="A9865" i="1"/>
  <c r="B9865" i="1"/>
  <c r="C9865" i="1"/>
  <c r="A2516" i="1"/>
  <c r="B2516" i="1"/>
  <c r="C2516" i="1"/>
  <c r="A3042" i="1"/>
  <c r="B3042" i="1"/>
  <c r="C3042" i="1"/>
  <c r="A1863" i="1"/>
  <c r="B1863" i="1"/>
  <c r="C1863" i="1"/>
  <c r="A11874" i="1"/>
  <c r="B11874" i="1"/>
  <c r="C11874" i="1"/>
  <c r="A1666" i="1"/>
  <c r="B1666" i="1"/>
  <c r="C1666" i="1"/>
  <c r="A8302" i="1"/>
  <c r="B8302" i="1"/>
  <c r="C8302" i="1"/>
  <c r="A4310" i="1"/>
  <c r="B4310" i="1"/>
  <c r="C4310" i="1"/>
  <c r="A13731" i="1"/>
  <c r="B13731" i="1"/>
  <c r="C13731" i="1"/>
  <c r="A1810" i="1"/>
  <c r="B1810" i="1"/>
  <c r="C1810" i="1"/>
  <c r="A10518" i="1"/>
  <c r="B10518" i="1"/>
  <c r="C10518" i="1"/>
  <c r="A7197" i="1"/>
  <c r="B7197" i="1"/>
  <c r="C7197" i="1"/>
  <c r="A1705" i="1"/>
  <c r="B1705" i="1"/>
  <c r="C1705" i="1"/>
  <c r="A1801" i="1"/>
  <c r="B1801" i="1"/>
  <c r="C1801" i="1"/>
  <c r="A9681" i="1"/>
  <c r="B9681" i="1"/>
  <c r="C9681" i="1"/>
  <c r="A10103" i="1"/>
  <c r="B10103" i="1"/>
  <c r="C10103" i="1"/>
  <c r="A12290" i="1"/>
  <c r="B12290" i="1"/>
  <c r="C12290" i="1"/>
  <c r="A912" i="1"/>
  <c r="B912" i="1"/>
  <c r="C912" i="1"/>
  <c r="A8050" i="1"/>
  <c r="B8050" i="1"/>
  <c r="C8050" i="1"/>
  <c r="A6459" i="1"/>
  <c r="B6459" i="1"/>
  <c r="C6459" i="1"/>
  <c r="A4865" i="1"/>
  <c r="B4865" i="1"/>
  <c r="C4865" i="1"/>
  <c r="A1716" i="1"/>
  <c r="B1716" i="1"/>
  <c r="C1716" i="1"/>
  <c r="A9816" i="1"/>
  <c r="B9816" i="1"/>
  <c r="C9816" i="1"/>
  <c r="A2561" i="1"/>
  <c r="B2561" i="1"/>
  <c r="C2561" i="1"/>
  <c r="A8911" i="1"/>
  <c r="B8911" i="1"/>
  <c r="C8911" i="1"/>
  <c r="A2956" i="1"/>
  <c r="B2956" i="1"/>
  <c r="C2956" i="1"/>
  <c r="A3362" i="1"/>
  <c r="B3362" i="1"/>
  <c r="C3362" i="1"/>
  <c r="A11684" i="1"/>
  <c r="B11684" i="1"/>
  <c r="C11684" i="1"/>
  <c r="A9401" i="1"/>
  <c r="B9401" i="1"/>
  <c r="C9401" i="1"/>
  <c r="A5123" i="1"/>
  <c r="B5123" i="1"/>
  <c r="C5123" i="1"/>
  <c r="A11185" i="1"/>
  <c r="B11185" i="1"/>
  <c r="C11185" i="1"/>
  <c r="A2682" i="1"/>
  <c r="B2682" i="1"/>
  <c r="C2682" i="1"/>
  <c r="A5630" i="1"/>
  <c r="B5630" i="1"/>
  <c r="C5630" i="1"/>
  <c r="A7027" i="1"/>
  <c r="B7027" i="1"/>
  <c r="C7027" i="1"/>
  <c r="A13074" i="1"/>
  <c r="B13074" i="1"/>
  <c r="C13074" i="1"/>
  <c r="A10965" i="1"/>
  <c r="B10965" i="1"/>
  <c r="C10965" i="1"/>
  <c r="A10966" i="1"/>
  <c r="B10966" i="1"/>
  <c r="C10966" i="1"/>
  <c r="A5621" i="1"/>
  <c r="B5621" i="1"/>
  <c r="C5621" i="1"/>
  <c r="A7996" i="1"/>
  <c r="B7996" i="1"/>
  <c r="C7996" i="1"/>
  <c r="A8966" i="1"/>
  <c r="B8966" i="1"/>
  <c r="C8966" i="1"/>
  <c r="A2133" i="1"/>
  <c r="B2133" i="1"/>
  <c r="C2133" i="1"/>
  <c r="A6399" i="1"/>
  <c r="B6399" i="1"/>
  <c r="C6399" i="1"/>
  <c r="A2784" i="1"/>
  <c r="B2784" i="1"/>
  <c r="C2784" i="1"/>
  <c r="A12993" i="1"/>
  <c r="B12993" i="1"/>
  <c r="C12993" i="1"/>
  <c r="A1941" i="1"/>
  <c r="B1941" i="1"/>
  <c r="C1941" i="1"/>
  <c r="A7727" i="1"/>
  <c r="B7727" i="1"/>
  <c r="C7727" i="1"/>
  <c r="A1765" i="1"/>
  <c r="B1765" i="1"/>
  <c r="C1765" i="1"/>
  <c r="A11087" i="1"/>
  <c r="B11087" i="1"/>
  <c r="C11087" i="1"/>
  <c r="A12911" i="1"/>
  <c r="B12911" i="1"/>
  <c r="C12911" i="1"/>
  <c r="A12792" i="1"/>
  <c r="B12792" i="1"/>
  <c r="C12792" i="1"/>
  <c r="A9767" i="1"/>
  <c r="B9767" i="1"/>
  <c r="C9767" i="1"/>
  <c r="A2429" i="1"/>
  <c r="B2429" i="1"/>
  <c r="C2429" i="1"/>
  <c r="A10101" i="1"/>
  <c r="B10101" i="1"/>
  <c r="C10101" i="1"/>
  <c r="A1638" i="1"/>
  <c r="B1638" i="1"/>
  <c r="C1638" i="1"/>
  <c r="A1639" i="1"/>
  <c r="B1639" i="1"/>
  <c r="C1639" i="1"/>
  <c r="A1640" i="1"/>
  <c r="B1640" i="1"/>
  <c r="C1640" i="1"/>
  <c r="A1641" i="1"/>
  <c r="B1641" i="1"/>
  <c r="C1641" i="1"/>
  <c r="A1642" i="1"/>
  <c r="B1642" i="1"/>
  <c r="C1642" i="1"/>
  <c r="A1643" i="1"/>
  <c r="B1643" i="1"/>
  <c r="C1643" i="1"/>
  <c r="A1644" i="1"/>
  <c r="B1644" i="1"/>
  <c r="C1644" i="1"/>
  <c r="A1645" i="1"/>
  <c r="B1645" i="1"/>
  <c r="C1645" i="1"/>
  <c r="A1646" i="1"/>
  <c r="B1646" i="1"/>
  <c r="C1646" i="1"/>
  <c r="A1647" i="1"/>
  <c r="B1647" i="1"/>
  <c r="C1647" i="1"/>
  <c r="A416" i="1"/>
  <c r="B416" i="1"/>
  <c r="C416" i="1"/>
  <c r="A9345" i="1"/>
  <c r="B9345" i="1"/>
  <c r="C9345" i="1"/>
  <c r="A6906" i="1"/>
  <c r="B6906" i="1"/>
  <c r="C6906" i="1"/>
  <c r="A10464" i="1"/>
  <c r="B10464" i="1"/>
  <c r="C10464" i="1"/>
  <c r="A2990" i="1"/>
  <c r="B2990" i="1"/>
  <c r="C2990" i="1"/>
  <c r="A1139" i="1"/>
  <c r="B1139" i="1"/>
  <c r="C1139" i="1"/>
  <c r="A11907" i="1"/>
  <c r="B11907" i="1"/>
  <c r="C11907" i="1"/>
  <c r="A1678" i="1"/>
  <c r="B1678" i="1"/>
  <c r="C1678" i="1"/>
  <c r="A1870" i="1"/>
  <c r="B1870" i="1"/>
  <c r="C1870" i="1"/>
  <c r="A345" i="1"/>
  <c r="B345" i="1"/>
  <c r="C345" i="1"/>
  <c r="A3349" i="1"/>
  <c r="B3349" i="1"/>
  <c r="C3349" i="1"/>
  <c r="A12044" i="1"/>
  <c r="B12044" i="1"/>
  <c r="C12044" i="1"/>
  <c r="A2876" i="1"/>
  <c r="B2876" i="1"/>
  <c r="C2876" i="1"/>
  <c r="A2877" i="1"/>
  <c r="B2877" i="1"/>
  <c r="C2877" i="1"/>
  <c r="A7136" i="1"/>
  <c r="B7136" i="1"/>
  <c r="C7136" i="1"/>
  <c r="A13486" i="1"/>
  <c r="B13486" i="1"/>
  <c r="C13486" i="1"/>
  <c r="A7828" i="1"/>
  <c r="B7828" i="1"/>
  <c r="C7828" i="1"/>
  <c r="A6356" i="1"/>
  <c r="B6356" i="1"/>
  <c r="C6356" i="1"/>
  <c r="A6487" i="1"/>
  <c r="B6487" i="1"/>
  <c r="C6487" i="1"/>
  <c r="A2547" i="1"/>
  <c r="B2547" i="1"/>
  <c r="C2547" i="1"/>
  <c r="A8036" i="1"/>
  <c r="B8036" i="1"/>
  <c r="C8036" i="1"/>
  <c r="A1475" i="1"/>
  <c r="B1475" i="1"/>
  <c r="C1475" i="1"/>
  <c r="A2004" i="1"/>
  <c r="B2004" i="1"/>
  <c r="C2004" i="1"/>
  <c r="A7693" i="1"/>
  <c r="B7693" i="1"/>
  <c r="C7693" i="1"/>
  <c r="A3421" i="1"/>
  <c r="B3421" i="1"/>
  <c r="C3421" i="1"/>
  <c r="A2634" i="1"/>
  <c r="B2634" i="1"/>
  <c r="C2634" i="1"/>
  <c r="A2001" i="1"/>
  <c r="B2001" i="1"/>
  <c r="C2001" i="1"/>
  <c r="A8233" i="1"/>
  <c r="B8233" i="1"/>
  <c r="C8233" i="1"/>
  <c r="A8101" i="1"/>
  <c r="B8101" i="1"/>
  <c r="C8101" i="1"/>
  <c r="A8792" i="1"/>
  <c r="B8792" i="1"/>
  <c r="C8792" i="1"/>
  <c r="A8793" i="1"/>
  <c r="B8793" i="1"/>
  <c r="C8793" i="1"/>
  <c r="A12862" i="1"/>
  <c r="B12862" i="1"/>
  <c r="C12862" i="1"/>
  <c r="A5812" i="1"/>
  <c r="B5812" i="1"/>
  <c r="C5812" i="1"/>
  <c r="A11352" i="1"/>
  <c r="B11352" i="1"/>
  <c r="C11352" i="1"/>
  <c r="A1422" i="1"/>
  <c r="B1422" i="1"/>
  <c r="C1422" i="1"/>
  <c r="A651" i="1"/>
  <c r="B651" i="1"/>
  <c r="C651" i="1"/>
  <c r="A3591" i="1"/>
  <c r="B3591" i="1"/>
  <c r="C3591" i="1"/>
  <c r="A7473" i="1"/>
  <c r="B7473" i="1"/>
  <c r="C7473" i="1"/>
  <c r="A5182" i="1"/>
  <c r="B5182" i="1"/>
  <c r="C5182" i="1"/>
  <c r="A5357" i="1"/>
  <c r="B5357" i="1"/>
  <c r="C5357" i="1"/>
  <c r="A12458" i="1"/>
  <c r="B12458" i="1"/>
  <c r="C12458" i="1"/>
  <c r="A12459" i="1"/>
  <c r="B12459" i="1"/>
  <c r="C12459" i="1"/>
  <c r="A3336" i="1"/>
  <c r="B3336" i="1"/>
  <c r="C3336" i="1"/>
  <c r="A3337" i="1"/>
  <c r="B3337" i="1"/>
  <c r="C3337" i="1"/>
  <c r="A9285" i="1"/>
  <c r="B9285" i="1"/>
  <c r="C9285" i="1"/>
  <c r="A8853" i="1"/>
  <c r="B8853" i="1"/>
  <c r="C8853" i="1"/>
  <c r="A12201" i="1"/>
  <c r="B12201" i="1"/>
  <c r="C12201" i="1"/>
  <c r="A4201" i="1"/>
  <c r="B4201" i="1"/>
  <c r="C4201" i="1"/>
  <c r="A9808" i="1"/>
  <c r="B9808" i="1"/>
  <c r="C9808" i="1"/>
  <c r="A5294" i="1"/>
  <c r="B5294" i="1"/>
  <c r="C5294" i="1"/>
  <c r="A12385" i="1"/>
  <c r="B12385" i="1"/>
  <c r="C12385" i="1"/>
  <c r="A7361" i="1"/>
  <c r="B7361" i="1"/>
  <c r="C7361" i="1"/>
  <c r="A2368" i="1"/>
  <c r="B2368" i="1"/>
  <c r="C2368" i="1"/>
  <c r="A3693" i="1"/>
  <c r="B3693" i="1"/>
  <c r="C3693" i="1"/>
  <c r="A2061" i="1"/>
  <c r="B2061" i="1"/>
  <c r="C2061" i="1"/>
  <c r="A6479" i="1"/>
  <c r="B6479" i="1"/>
  <c r="C6479" i="1"/>
  <c r="A12806" i="1"/>
  <c r="B12806" i="1"/>
  <c r="C12806" i="1"/>
  <c r="A5548" i="1"/>
  <c r="B5548" i="1"/>
  <c r="C5548" i="1"/>
  <c r="A1733" i="1"/>
  <c r="B1733" i="1"/>
  <c r="C1733" i="1"/>
  <c r="A500" i="1"/>
  <c r="B500" i="1"/>
  <c r="C500" i="1"/>
  <c r="A2822" i="1"/>
  <c r="B2822" i="1"/>
  <c r="C2822" i="1"/>
  <c r="A13055" i="1"/>
  <c r="B13055" i="1"/>
  <c r="C13055" i="1"/>
  <c r="A11746" i="1"/>
  <c r="B11746" i="1"/>
  <c r="C11746" i="1"/>
  <c r="A3164" i="1"/>
  <c r="B3164" i="1"/>
  <c r="C3164" i="1"/>
  <c r="A13029" i="1"/>
  <c r="B13029" i="1"/>
  <c r="C13029" i="1"/>
  <c r="A5221" i="1"/>
  <c r="B5221" i="1"/>
  <c r="C5221" i="1"/>
  <c r="A6888" i="1"/>
  <c r="B6888" i="1"/>
  <c r="C6888" i="1"/>
  <c r="A9286" i="1"/>
  <c r="B9286" i="1"/>
  <c r="C9286" i="1"/>
  <c r="A8414" i="1"/>
  <c r="B8414" i="1"/>
  <c r="C8414" i="1"/>
  <c r="A2985" i="1"/>
  <c r="B2985" i="1"/>
  <c r="C2985" i="1"/>
  <c r="A5388" i="1"/>
  <c r="B5388" i="1"/>
  <c r="C5388" i="1"/>
  <c r="A8702" i="1"/>
  <c r="B8702" i="1"/>
  <c r="C8702" i="1"/>
  <c r="A1430" i="1"/>
  <c r="B1430" i="1"/>
  <c r="C1430" i="1"/>
  <c r="A581" i="1"/>
  <c r="B581" i="1"/>
  <c r="C581" i="1"/>
  <c r="A11787" i="1"/>
  <c r="B11787" i="1"/>
  <c r="C11787" i="1"/>
  <c r="A12114" i="1"/>
  <c r="B12114" i="1"/>
  <c r="C12114" i="1"/>
  <c r="A9711" i="1"/>
  <c r="B9711" i="1"/>
  <c r="C9711" i="1"/>
  <c r="A12888" i="1"/>
  <c r="B12888" i="1"/>
  <c r="C12888" i="1"/>
  <c r="A10587" i="1"/>
  <c r="B10587" i="1"/>
  <c r="C10587" i="1"/>
  <c r="A11418" i="1"/>
  <c r="B11418" i="1"/>
  <c r="C11418" i="1"/>
  <c r="A11714" i="1"/>
  <c r="B11714" i="1"/>
  <c r="C11714" i="1"/>
  <c r="A259" i="1"/>
  <c r="B259" i="1"/>
  <c r="C259" i="1"/>
  <c r="A6257" i="1"/>
  <c r="B6257" i="1"/>
  <c r="C6257" i="1"/>
  <c r="A8921" i="1"/>
  <c r="B8921" i="1"/>
  <c r="C8921" i="1"/>
  <c r="A4804" i="1"/>
  <c r="B4804" i="1"/>
  <c r="C4804" i="1"/>
  <c r="A3889" i="1"/>
  <c r="B3889" i="1"/>
  <c r="C3889" i="1"/>
  <c r="A1495" i="1"/>
  <c r="B1495" i="1"/>
  <c r="C1495" i="1"/>
  <c r="A5856" i="1"/>
  <c r="B5856" i="1"/>
  <c r="C5856" i="1"/>
  <c r="A1267" i="1"/>
  <c r="B1267" i="1"/>
  <c r="C1267" i="1"/>
  <c r="A4769" i="1"/>
  <c r="B4769" i="1"/>
  <c r="C4769" i="1"/>
  <c r="A3455" i="1"/>
  <c r="B3455" i="1"/>
  <c r="C3455" i="1"/>
  <c r="A8183" i="1"/>
  <c r="B8183" i="1"/>
  <c r="C8183" i="1"/>
  <c r="A13450" i="1"/>
  <c r="B13450" i="1"/>
  <c r="C13450" i="1"/>
  <c r="A6401" i="1"/>
  <c r="B6401" i="1"/>
  <c r="C6401" i="1"/>
  <c r="A736" i="1"/>
  <c r="B736" i="1"/>
  <c r="C736" i="1"/>
  <c r="A6278" i="1"/>
  <c r="B6278" i="1"/>
  <c r="C6278" i="1"/>
  <c r="A4919" i="1"/>
  <c r="B4919" i="1"/>
  <c r="C4919" i="1"/>
  <c r="A9798" i="1"/>
  <c r="B9798" i="1"/>
  <c r="C9798" i="1"/>
  <c r="A8996" i="1"/>
  <c r="B8996" i="1"/>
  <c r="C8996" i="1"/>
  <c r="A10122" i="1"/>
  <c r="B10122" i="1"/>
  <c r="C10122" i="1"/>
  <c r="A859" i="1"/>
  <c r="B859" i="1"/>
  <c r="C859" i="1"/>
  <c r="A3418" i="1"/>
  <c r="B3418" i="1"/>
  <c r="C3418" i="1"/>
  <c r="A2321" i="1"/>
  <c r="B2321" i="1"/>
  <c r="C2321" i="1"/>
  <c r="A419" i="1"/>
  <c r="B419" i="1"/>
  <c r="C419" i="1"/>
  <c r="A928" i="1"/>
  <c r="B928" i="1"/>
  <c r="C928" i="1"/>
  <c r="A929" i="1"/>
  <c r="B929" i="1"/>
  <c r="C929" i="1"/>
  <c r="A66" i="1"/>
  <c r="B66" i="1"/>
  <c r="C66" i="1"/>
  <c r="A9303" i="1"/>
  <c r="B9303" i="1"/>
  <c r="C9303" i="1"/>
  <c r="A4844" i="1"/>
  <c r="B4844" i="1"/>
  <c r="C4844" i="1"/>
  <c r="A9382" i="1"/>
  <c r="B9382" i="1"/>
  <c r="C9382" i="1"/>
  <c r="A10373" i="1"/>
  <c r="B10373" i="1"/>
  <c r="C10373" i="1"/>
  <c r="A4803" i="1"/>
  <c r="B4803" i="1"/>
  <c r="C4803" i="1"/>
  <c r="A2066" i="1"/>
  <c r="B2066" i="1"/>
  <c r="C2066" i="1"/>
  <c r="A10606" i="1"/>
  <c r="B10606" i="1"/>
  <c r="C10606" i="1"/>
  <c r="A13681" i="1"/>
  <c r="B13681" i="1"/>
  <c r="C13681" i="1"/>
  <c r="A885" i="1"/>
  <c r="B885" i="1"/>
  <c r="C885" i="1"/>
  <c r="A3908" i="1"/>
  <c r="B3908" i="1"/>
  <c r="C3908" i="1"/>
  <c r="A1571" i="1"/>
  <c r="B1571" i="1"/>
  <c r="C1571" i="1"/>
  <c r="A8341" i="1"/>
  <c r="B8341" i="1"/>
  <c r="C8341" i="1"/>
  <c r="A6170" i="1"/>
  <c r="B6170" i="1"/>
  <c r="C6170" i="1"/>
  <c r="A9000" i="1"/>
  <c r="B9000" i="1"/>
  <c r="C9000" i="1"/>
  <c r="A2633" i="1"/>
  <c r="B2633" i="1"/>
  <c r="C2633" i="1"/>
  <c r="A1993" i="1"/>
  <c r="B1993" i="1"/>
  <c r="C1993" i="1"/>
  <c r="A6235" i="1"/>
  <c r="B6235" i="1"/>
  <c r="C6235" i="1"/>
  <c r="A3504" i="1"/>
  <c r="B3504" i="1"/>
  <c r="C3504" i="1"/>
  <c r="A13722" i="1"/>
  <c r="B13722" i="1"/>
  <c r="C13722" i="1"/>
  <c r="A5350" i="1"/>
  <c r="B5350" i="1"/>
  <c r="C5350" i="1"/>
  <c r="A10081" i="1"/>
  <c r="B10081" i="1"/>
  <c r="C10081" i="1"/>
  <c r="A10093" i="1"/>
  <c r="B10093" i="1"/>
  <c r="C10093" i="1"/>
  <c r="A9818" i="1"/>
  <c r="B9818" i="1"/>
  <c r="C9818" i="1"/>
  <c r="A3264" i="1"/>
  <c r="B3264" i="1"/>
  <c r="C3264" i="1"/>
  <c r="A10292" i="1"/>
  <c r="B10292" i="1"/>
  <c r="C10292" i="1"/>
  <c r="A6745" i="1"/>
  <c r="B6745" i="1"/>
  <c r="C6745" i="1"/>
  <c r="A6764" i="1"/>
  <c r="B6764" i="1"/>
  <c r="C6764" i="1"/>
  <c r="A11230" i="1"/>
  <c r="B11230" i="1"/>
  <c r="C11230" i="1"/>
  <c r="A2050" i="1"/>
  <c r="B2050" i="1"/>
  <c r="C2050" i="1"/>
  <c r="A10495" i="1"/>
  <c r="B10495" i="1"/>
  <c r="C10495" i="1"/>
  <c r="A5542" i="1"/>
  <c r="B5542" i="1"/>
  <c r="C5542" i="1"/>
  <c r="A615" i="1"/>
  <c r="B615" i="1"/>
  <c r="C615" i="1"/>
  <c r="A10158" i="1"/>
  <c r="B10158" i="1"/>
  <c r="C10158" i="1"/>
  <c r="A2815" i="1"/>
  <c r="B2815" i="1"/>
  <c r="C2815" i="1"/>
  <c r="A11090" i="1"/>
  <c r="B11090" i="1"/>
  <c r="C11090" i="1"/>
  <c r="A7029" i="1"/>
  <c r="B7029" i="1"/>
  <c r="C7029" i="1"/>
  <c r="A4970" i="1"/>
  <c r="B4970" i="1"/>
  <c r="C4970" i="1"/>
  <c r="A6384" i="1"/>
  <c r="B6384" i="1"/>
  <c r="C6384" i="1"/>
  <c r="A9225" i="1"/>
  <c r="B9225" i="1"/>
  <c r="C9225" i="1"/>
  <c r="A3327" i="1"/>
  <c r="B3327" i="1"/>
  <c r="C3327" i="1"/>
  <c r="A12083" i="1"/>
  <c r="B12083" i="1"/>
  <c r="C12083" i="1"/>
  <c r="A12177" i="1"/>
  <c r="B12177" i="1"/>
  <c r="C12177" i="1"/>
  <c r="A5553" i="1"/>
  <c r="B5553" i="1"/>
  <c r="C5553" i="1"/>
  <c r="A6602" i="1"/>
  <c r="B6602" i="1"/>
  <c r="C6602" i="1"/>
  <c r="A1837" i="1"/>
  <c r="B1837" i="1"/>
  <c r="C1837" i="1"/>
  <c r="A8352" i="1"/>
  <c r="B8352" i="1"/>
  <c r="C8352" i="1"/>
  <c r="A12540" i="1"/>
  <c r="B12540" i="1"/>
  <c r="C12540" i="1"/>
  <c r="A4780" i="1"/>
  <c r="B4780" i="1"/>
  <c r="C4780" i="1"/>
  <c r="A8944" i="1"/>
  <c r="B8944" i="1"/>
  <c r="C8944" i="1"/>
  <c r="A13958" i="1"/>
  <c r="B13958" i="1"/>
  <c r="C13958" i="1"/>
  <c r="A13959" i="1"/>
  <c r="B13959" i="1"/>
  <c r="C13959" i="1"/>
  <c r="A6607" i="1"/>
  <c r="B6607" i="1"/>
  <c r="C6607" i="1"/>
  <c r="A8210" i="1"/>
  <c r="B8210" i="1"/>
  <c r="C8210" i="1"/>
  <c r="A3967" i="1"/>
  <c r="B3967" i="1"/>
  <c r="C3967" i="1"/>
  <c r="A11986" i="1"/>
  <c r="B11986" i="1"/>
  <c r="C11986" i="1"/>
  <c r="A11987" i="1"/>
  <c r="B11987" i="1"/>
  <c r="C11987" i="1"/>
  <c r="A11988" i="1"/>
  <c r="B11988" i="1"/>
  <c r="C11988" i="1"/>
  <c r="A11989" i="1"/>
  <c r="B11989" i="1"/>
  <c r="C11989" i="1"/>
  <c r="A11990" i="1"/>
  <c r="B11990" i="1"/>
  <c r="C11990" i="1"/>
  <c r="A11991" i="1"/>
  <c r="B11991" i="1"/>
  <c r="C11991" i="1"/>
  <c r="A4291" i="1"/>
  <c r="B4291" i="1"/>
  <c r="C4291" i="1"/>
  <c r="A5071" i="1"/>
  <c r="B5071" i="1"/>
  <c r="C5071" i="1"/>
  <c r="A5072" i="1"/>
  <c r="B5072" i="1"/>
  <c r="C5072" i="1"/>
  <c r="A3998" i="1"/>
  <c r="B3998" i="1"/>
  <c r="C3998" i="1"/>
  <c r="A6121" i="1"/>
  <c r="B6121" i="1"/>
  <c r="C6121" i="1"/>
  <c r="A5055" i="1"/>
  <c r="B5055" i="1"/>
  <c r="C5055" i="1"/>
  <c r="A2322" i="1"/>
  <c r="B2322" i="1"/>
  <c r="C2322" i="1"/>
  <c r="A6969" i="1"/>
  <c r="B6969" i="1"/>
  <c r="C6969" i="1"/>
  <c r="A2231" i="1"/>
  <c r="B2231" i="1"/>
  <c r="C2231" i="1"/>
  <c r="A5073" i="1"/>
  <c r="B5073" i="1"/>
  <c r="C5073" i="1"/>
  <c r="A3816" i="1"/>
  <c r="B3816" i="1"/>
  <c r="C3816" i="1"/>
  <c r="A5611" i="1"/>
  <c r="B5611" i="1"/>
  <c r="C5611" i="1"/>
  <c r="A10800" i="1"/>
  <c r="B10800" i="1"/>
  <c r="C10800" i="1"/>
  <c r="A3716" i="1"/>
  <c r="B3716" i="1"/>
  <c r="C3716" i="1"/>
  <c r="A7968" i="1"/>
  <c r="B7968" i="1"/>
  <c r="C7968" i="1"/>
  <c r="A10114" i="1"/>
  <c r="B10114" i="1"/>
  <c r="C10114" i="1"/>
  <c r="A3406" i="1"/>
  <c r="B3406" i="1"/>
  <c r="C3406" i="1"/>
  <c r="A8646" i="1"/>
  <c r="B8646" i="1"/>
  <c r="C8646" i="1"/>
  <c r="A7390" i="1"/>
  <c r="B7390" i="1"/>
  <c r="C7390" i="1"/>
  <c r="A12029" i="1"/>
  <c r="B12029" i="1"/>
  <c r="C12029" i="1"/>
  <c r="A11504" i="1"/>
  <c r="B11504" i="1"/>
  <c r="C11504" i="1"/>
  <c r="A4756" i="1"/>
  <c r="B4756" i="1"/>
  <c r="C4756" i="1"/>
  <c r="A4757" i="1"/>
  <c r="B4757" i="1"/>
  <c r="C4757" i="1"/>
  <c r="A8200" i="1"/>
  <c r="B8200" i="1"/>
  <c r="C8200" i="1"/>
  <c r="A5827" i="1"/>
  <c r="B5827" i="1"/>
  <c r="C5827" i="1"/>
  <c r="A4384" i="1"/>
  <c r="B4384" i="1"/>
  <c r="C4384" i="1"/>
  <c r="A12076" i="1"/>
  <c r="B12076" i="1"/>
  <c r="C12076" i="1"/>
  <c r="A6247" i="1"/>
  <c r="B6247" i="1"/>
  <c r="C6247" i="1"/>
  <c r="A5854" i="1"/>
  <c r="B5854" i="1"/>
  <c r="C5854" i="1"/>
  <c r="A8007" i="1"/>
  <c r="B8007" i="1"/>
  <c r="C8007" i="1"/>
  <c r="A11847" i="1"/>
  <c r="B11847" i="1"/>
  <c r="C11847" i="1"/>
  <c r="A8513" i="1"/>
  <c r="B8513" i="1"/>
  <c r="C8513" i="1"/>
  <c r="A3805" i="1"/>
  <c r="B3805" i="1"/>
  <c r="C3805" i="1"/>
  <c r="A6866" i="1"/>
  <c r="B6866" i="1"/>
  <c r="C6866" i="1"/>
  <c r="A10398" i="1"/>
  <c r="B10398" i="1"/>
  <c r="C10398" i="1"/>
  <c r="A8027" i="1"/>
  <c r="B8027" i="1"/>
  <c r="C8027" i="1"/>
  <c r="A7244" i="1"/>
  <c r="B7244" i="1"/>
  <c r="C7244" i="1"/>
  <c r="A5778" i="1"/>
  <c r="B5778" i="1"/>
  <c r="C5778" i="1"/>
  <c r="A6083" i="1"/>
  <c r="B6083" i="1"/>
  <c r="C6083" i="1"/>
  <c r="A1215" i="1"/>
  <c r="B1215" i="1"/>
  <c r="C1215" i="1"/>
  <c r="A6924" i="1"/>
  <c r="B6924" i="1"/>
  <c r="C6924" i="1"/>
  <c r="A8163" i="1"/>
  <c r="B8163" i="1"/>
  <c r="C8163" i="1"/>
  <c r="A4402" i="1"/>
  <c r="B4402" i="1"/>
  <c r="C4402" i="1"/>
  <c r="A13667" i="1"/>
  <c r="B13667" i="1"/>
  <c r="C13667" i="1"/>
  <c r="A4254" i="1"/>
  <c r="B4254" i="1"/>
  <c r="C4254" i="1"/>
  <c r="A1105" i="1"/>
  <c r="B1105" i="1"/>
  <c r="C1105" i="1"/>
  <c r="A12096" i="1"/>
  <c r="B12096" i="1"/>
  <c r="C12096" i="1"/>
  <c r="A3382" i="1"/>
  <c r="B3382" i="1"/>
  <c r="C3382" i="1"/>
  <c r="A4" i="1"/>
  <c r="B4" i="1"/>
  <c r="C4" i="1"/>
  <c r="A10655" i="1"/>
  <c r="B10655" i="1"/>
  <c r="C10655" i="1"/>
  <c r="A9027" i="1"/>
  <c r="B9027" i="1"/>
  <c r="C9027" i="1"/>
  <c r="A10805" i="1"/>
  <c r="B10805" i="1"/>
  <c r="C10805" i="1"/>
  <c r="A394" i="1"/>
  <c r="B394" i="1"/>
  <c r="C394" i="1"/>
  <c r="A7932" i="1"/>
  <c r="B7932" i="1"/>
  <c r="C7932" i="1"/>
  <c r="A1225" i="1"/>
  <c r="B1225" i="1"/>
  <c r="C1225" i="1"/>
  <c r="A13660" i="1"/>
  <c r="B13660" i="1"/>
  <c r="C13660" i="1"/>
  <c r="A145" i="1"/>
  <c r="B145" i="1"/>
  <c r="C145" i="1"/>
  <c r="A7600" i="1"/>
  <c r="B7600" i="1"/>
  <c r="C7600" i="1"/>
  <c r="A1154" i="1"/>
  <c r="B1154" i="1"/>
  <c r="C1154" i="1"/>
  <c r="A11647" i="1"/>
  <c r="B11647" i="1"/>
  <c r="C11647" i="1"/>
  <c r="A10629" i="1"/>
  <c r="B10629" i="1"/>
  <c r="C10629" i="1"/>
  <c r="A13903" i="1"/>
  <c r="B13903" i="1"/>
  <c r="C13903" i="1"/>
  <c r="A10630" i="1"/>
  <c r="B10630" i="1"/>
  <c r="C10630" i="1"/>
  <c r="A5925" i="1"/>
  <c r="B5925" i="1"/>
  <c r="C5925" i="1"/>
  <c r="A10631" i="1"/>
  <c r="B10631" i="1"/>
  <c r="C10631" i="1"/>
  <c r="A3383" i="1"/>
  <c r="B3383" i="1"/>
  <c r="C3383" i="1"/>
  <c r="A6842" i="1"/>
  <c r="B6842" i="1"/>
  <c r="C6842" i="1"/>
  <c r="A515" i="1"/>
  <c r="B515" i="1"/>
  <c r="C515" i="1"/>
  <c r="A5828" i="1"/>
  <c r="B5828" i="1"/>
  <c r="C5828" i="1"/>
  <c r="A2755" i="1"/>
  <c r="B2755" i="1"/>
  <c r="C2755" i="1"/>
  <c r="A3731" i="1"/>
  <c r="B3731" i="1"/>
  <c r="C3731" i="1"/>
  <c r="A8471" i="1"/>
  <c r="B8471" i="1"/>
  <c r="C8471" i="1"/>
  <c r="A7059" i="1"/>
  <c r="B7059" i="1"/>
  <c r="C7059" i="1"/>
  <c r="A7181" i="1"/>
  <c r="B7181" i="1"/>
  <c r="C7181" i="1"/>
  <c r="A4585" i="1"/>
  <c r="B4585" i="1"/>
  <c r="C4585" i="1"/>
  <c r="A12555" i="1"/>
  <c r="B12555" i="1"/>
  <c r="C12555" i="1"/>
  <c r="A6629" i="1"/>
  <c r="B6629" i="1"/>
  <c r="C6629" i="1"/>
  <c r="A931" i="1"/>
  <c r="B931" i="1"/>
  <c r="C931" i="1"/>
  <c r="A12788" i="1"/>
  <c r="B12788" i="1"/>
  <c r="C12788" i="1"/>
  <c r="A1084" i="1"/>
  <c r="B1084" i="1"/>
  <c r="C1084" i="1"/>
  <c r="A8108" i="1"/>
  <c r="B8108" i="1"/>
  <c r="C8108" i="1"/>
  <c r="A10216" i="1"/>
  <c r="B10216" i="1"/>
  <c r="C10216" i="1"/>
  <c r="A7478" i="1"/>
  <c r="B7478" i="1"/>
  <c r="C7478" i="1"/>
  <c r="A13845" i="1"/>
  <c r="B13845" i="1"/>
  <c r="C13845" i="1"/>
  <c r="A3039" i="1"/>
  <c r="B3039" i="1"/>
  <c r="C3039" i="1"/>
  <c r="A5515" i="1"/>
  <c r="B5515" i="1"/>
  <c r="C5515" i="1"/>
  <c r="A9490" i="1"/>
  <c r="B9490" i="1"/>
  <c r="C9490" i="1"/>
  <c r="A4211" i="1"/>
  <c r="B4211" i="1"/>
  <c r="C4211" i="1"/>
  <c r="A10123" i="1"/>
  <c r="B10123" i="1"/>
  <c r="C10123" i="1"/>
  <c r="A11825" i="1"/>
  <c r="B11825" i="1"/>
  <c r="C11825" i="1"/>
  <c r="A11826" i="1"/>
  <c r="B11826" i="1"/>
  <c r="C11826" i="1"/>
  <c r="A11827" i="1"/>
  <c r="B11827" i="1"/>
  <c r="C11827" i="1"/>
  <c r="A13128" i="1"/>
  <c r="B13128" i="1"/>
  <c r="C13128" i="1"/>
  <c r="A6699" i="1"/>
  <c r="B6699" i="1"/>
  <c r="C6699" i="1"/>
  <c r="A6781" i="1"/>
  <c r="B6781" i="1"/>
  <c r="C6781" i="1"/>
  <c r="A3625" i="1"/>
  <c r="B3625" i="1"/>
  <c r="C3625" i="1"/>
  <c r="A3173" i="1"/>
  <c r="B3173" i="1"/>
  <c r="C3173" i="1"/>
  <c r="A2808" i="1"/>
  <c r="B2808" i="1"/>
  <c r="C2808" i="1"/>
  <c r="A13273" i="1"/>
  <c r="B13273" i="1"/>
  <c r="C13273" i="1"/>
  <c r="A11288" i="1"/>
  <c r="B11288" i="1"/>
  <c r="C11288" i="1"/>
  <c r="A12859" i="1"/>
  <c r="B12859" i="1"/>
  <c r="C12859" i="1"/>
  <c r="A5679" i="1"/>
  <c r="B5679" i="1"/>
  <c r="C5679" i="1"/>
  <c r="A9966" i="1"/>
  <c r="B9966" i="1"/>
  <c r="C9966" i="1"/>
  <c r="A1948" i="1"/>
  <c r="B1948" i="1"/>
  <c r="C1948" i="1"/>
  <c r="A11614" i="1"/>
  <c r="B11614" i="1"/>
  <c r="C11614" i="1"/>
  <c r="A1018" i="1"/>
  <c r="B1018" i="1"/>
  <c r="C1018" i="1"/>
  <c r="A9364" i="1"/>
  <c r="B9364" i="1"/>
  <c r="C9364" i="1"/>
  <c r="A28" i="1"/>
  <c r="B28" i="1"/>
  <c r="C28" i="1"/>
  <c r="A29" i="1"/>
  <c r="B29" i="1"/>
  <c r="C29" i="1"/>
  <c r="A30" i="1"/>
  <c r="B30" i="1"/>
  <c r="C30" i="1"/>
  <c r="A32" i="1"/>
  <c r="B32" i="1"/>
  <c r="C32" i="1"/>
  <c r="A33" i="1"/>
  <c r="B33" i="1"/>
  <c r="C33" i="1"/>
  <c r="A11104" i="1"/>
  <c r="B11104" i="1"/>
  <c r="C11104" i="1"/>
  <c r="A1572" i="1"/>
  <c r="B1572" i="1"/>
  <c r="C1572" i="1"/>
  <c r="A10749" i="1"/>
  <c r="B10749" i="1"/>
  <c r="C10749" i="1"/>
  <c r="A3245" i="1"/>
  <c r="B3245" i="1"/>
  <c r="C3245" i="1"/>
  <c r="A8470" i="1"/>
  <c r="B8470" i="1"/>
  <c r="C8470" i="1"/>
  <c r="A12292" i="1"/>
  <c r="B12292" i="1"/>
  <c r="C12292" i="1"/>
  <c r="A7439" i="1"/>
  <c r="B7439" i="1"/>
  <c r="C7439" i="1"/>
  <c r="A1605" i="1"/>
  <c r="B1605" i="1"/>
  <c r="C1605" i="1"/>
  <c r="A6650" i="1"/>
  <c r="B6650" i="1"/>
  <c r="C6650" i="1"/>
  <c r="A1334" i="1"/>
  <c r="B1334" i="1"/>
  <c r="C1334" i="1"/>
  <c r="A4365" i="1"/>
  <c r="B4365" i="1"/>
  <c r="C4365" i="1"/>
  <c r="A5239" i="1"/>
  <c r="B5239" i="1"/>
  <c r="C5239" i="1"/>
  <c r="A1513" i="1"/>
  <c r="B1513" i="1"/>
  <c r="C1513" i="1"/>
  <c r="A4474" i="1"/>
  <c r="B4474" i="1"/>
  <c r="C4474" i="1"/>
  <c r="A5755" i="1"/>
  <c r="B5755" i="1"/>
  <c r="C5755" i="1"/>
  <c r="A7631" i="1"/>
  <c r="B7631" i="1"/>
  <c r="C7631" i="1"/>
  <c r="A9493" i="1"/>
  <c r="B9493" i="1"/>
  <c r="C9493" i="1"/>
  <c r="A13475" i="1"/>
  <c r="B13475" i="1"/>
  <c r="C13475" i="1"/>
  <c r="A3332" i="1"/>
  <c r="B3332" i="1"/>
  <c r="C3332" i="1"/>
  <c r="A8003" i="1"/>
  <c r="B8003" i="1"/>
  <c r="C8003" i="1"/>
  <c r="A10808" i="1"/>
  <c r="B10808" i="1"/>
  <c r="C10808" i="1"/>
  <c r="A1188" i="1"/>
  <c r="B1188" i="1"/>
  <c r="C1188" i="1"/>
  <c r="A8570" i="1"/>
  <c r="B8570" i="1"/>
  <c r="C8570" i="1"/>
  <c r="A8061" i="1"/>
  <c r="B8061" i="1"/>
  <c r="C8061" i="1"/>
  <c r="A6555" i="1"/>
  <c r="B6555" i="1"/>
  <c r="C6555" i="1"/>
  <c r="A3631" i="1"/>
  <c r="B3631" i="1"/>
  <c r="C3631" i="1"/>
  <c r="A4083" i="1"/>
  <c r="B4083" i="1"/>
  <c r="C4083" i="1"/>
  <c r="A2286" i="1"/>
  <c r="B2286" i="1"/>
  <c r="C2286" i="1"/>
  <c r="A10715" i="1"/>
  <c r="B10715" i="1"/>
  <c r="C10715" i="1"/>
  <c r="A3796" i="1"/>
  <c r="B3796" i="1"/>
  <c r="C3796" i="1"/>
  <c r="A1905" i="1"/>
  <c r="B1905" i="1"/>
  <c r="C1905" i="1"/>
  <c r="A7852" i="1"/>
  <c r="B7852" i="1"/>
  <c r="C7852" i="1"/>
  <c r="A13588" i="1"/>
  <c r="B13588" i="1"/>
  <c r="C13588" i="1"/>
  <c r="A5810" i="1"/>
  <c r="B5810" i="1"/>
  <c r="C5810" i="1"/>
  <c r="A3199" i="1"/>
  <c r="B3199" i="1"/>
  <c r="C3199" i="1"/>
  <c r="A8677" i="1"/>
  <c r="B8677" i="1"/>
  <c r="C8677" i="1"/>
  <c r="A3605" i="1"/>
  <c r="B3605" i="1"/>
  <c r="C3605" i="1"/>
  <c r="A11808" i="1"/>
  <c r="B11808" i="1"/>
  <c r="C11808" i="1"/>
  <c r="A3928" i="1"/>
  <c r="B3928" i="1"/>
  <c r="C3928" i="1"/>
  <c r="A13099" i="1"/>
  <c r="B13099" i="1"/>
  <c r="C13099" i="1"/>
  <c r="A9411" i="1"/>
  <c r="B9411" i="1"/>
  <c r="C9411" i="1"/>
  <c r="A4142" i="1"/>
  <c r="B4142" i="1"/>
  <c r="C4142" i="1"/>
  <c r="A3700" i="1"/>
  <c r="B3700" i="1"/>
  <c r="C3700" i="1"/>
  <c r="A886" i="1"/>
  <c r="B886" i="1"/>
  <c r="C886" i="1"/>
  <c r="A11254" i="1"/>
  <c r="B11254" i="1"/>
  <c r="C11254" i="1"/>
  <c r="A7628" i="1"/>
  <c r="B7628" i="1"/>
  <c r="C7628" i="1"/>
  <c r="A10759" i="1"/>
  <c r="B10759" i="1"/>
  <c r="C10759" i="1"/>
  <c r="A1662" i="1"/>
  <c r="B1662" i="1"/>
  <c r="C1662" i="1"/>
  <c r="A8399" i="1"/>
  <c r="B8399" i="1"/>
  <c r="C8399" i="1"/>
  <c r="A9310" i="1"/>
  <c r="B9310" i="1"/>
  <c r="C9310" i="1"/>
  <c r="A11992" i="1"/>
  <c r="B11992" i="1"/>
  <c r="C11992" i="1"/>
  <c r="A11993" i="1"/>
  <c r="B11993" i="1"/>
  <c r="C11993" i="1"/>
  <c r="A11994" i="1"/>
  <c r="B11994" i="1"/>
  <c r="C11994" i="1"/>
  <c r="A11995" i="1"/>
  <c r="B11995" i="1"/>
  <c r="C11995" i="1"/>
  <c r="A11996" i="1"/>
  <c r="B11996" i="1"/>
  <c r="C11996" i="1"/>
  <c r="A11997" i="1"/>
  <c r="B11997" i="1"/>
  <c r="C11997" i="1"/>
  <c r="A11998" i="1"/>
  <c r="B11998" i="1"/>
  <c r="C11998" i="1"/>
  <c r="A11999" i="1"/>
  <c r="B11999" i="1"/>
  <c r="C11999" i="1"/>
  <c r="A12000" i="1"/>
  <c r="B12000" i="1"/>
  <c r="C12000" i="1"/>
  <c r="A12001" i="1"/>
  <c r="B12001" i="1"/>
  <c r="C12001" i="1"/>
  <c r="A12002" i="1"/>
  <c r="B12002" i="1"/>
  <c r="C12002" i="1"/>
  <c r="A12003" i="1"/>
  <c r="B12003" i="1"/>
  <c r="C12003" i="1"/>
  <c r="A12004" i="1"/>
  <c r="B12004" i="1"/>
  <c r="C12004" i="1"/>
  <c r="A12005" i="1"/>
  <c r="B12005" i="1"/>
  <c r="C12005" i="1"/>
  <c r="A12006" i="1"/>
  <c r="B12006" i="1"/>
  <c r="C12006" i="1"/>
  <c r="A12007" i="1"/>
  <c r="B12007" i="1"/>
  <c r="C12007" i="1"/>
  <c r="A12008" i="1"/>
  <c r="B12008" i="1"/>
  <c r="C12008" i="1"/>
  <c r="A12009" i="1"/>
  <c r="B12009" i="1"/>
  <c r="C12009" i="1"/>
  <c r="A12010" i="1"/>
  <c r="B12010" i="1"/>
  <c r="C12010" i="1"/>
  <c r="A12011" i="1"/>
  <c r="B12011" i="1"/>
  <c r="C12011" i="1"/>
  <c r="A12012" i="1"/>
  <c r="B12012" i="1"/>
  <c r="C12012" i="1"/>
  <c r="A12013" i="1"/>
  <c r="B12013" i="1"/>
  <c r="C12013" i="1"/>
  <c r="A12014" i="1"/>
  <c r="B12014" i="1"/>
  <c r="C12014" i="1"/>
  <c r="A12015" i="1"/>
  <c r="B12015" i="1"/>
  <c r="C12015" i="1"/>
  <c r="A12016" i="1"/>
  <c r="B12016" i="1"/>
  <c r="C12016" i="1"/>
  <c r="A12017" i="1"/>
  <c r="B12017" i="1"/>
  <c r="C12017" i="1"/>
  <c r="A12018" i="1"/>
  <c r="B12018" i="1"/>
  <c r="C12018" i="1"/>
  <c r="A12019" i="1"/>
  <c r="B12019" i="1"/>
  <c r="C12019" i="1"/>
  <c r="A11757" i="1"/>
  <c r="B11757" i="1"/>
  <c r="C11757" i="1"/>
  <c r="A9216" i="1"/>
  <c r="B9216" i="1"/>
  <c r="C9216" i="1"/>
  <c r="A9678" i="1"/>
  <c r="B9678" i="1"/>
  <c r="C9678" i="1"/>
  <c r="A8012" i="1"/>
  <c r="B8012" i="1"/>
  <c r="C8012" i="1"/>
  <c r="A3471" i="1"/>
  <c r="B3471" i="1"/>
  <c r="C3471" i="1"/>
  <c r="A13567" i="1"/>
  <c r="B13567" i="1"/>
  <c r="C13567" i="1"/>
  <c r="A10973" i="1"/>
  <c r="B10973" i="1"/>
  <c r="C10973" i="1"/>
  <c r="A6043" i="1"/>
  <c r="B6043" i="1"/>
  <c r="C6043" i="1"/>
  <c r="A10133" i="1"/>
  <c r="B10133" i="1"/>
  <c r="C10133" i="1"/>
  <c r="A13268" i="1"/>
  <c r="B13268" i="1"/>
  <c r="C13268" i="1"/>
  <c r="A5775" i="1"/>
  <c r="B5775" i="1"/>
  <c r="C5775" i="1"/>
  <c r="A2946" i="1"/>
  <c r="B2946" i="1"/>
  <c r="C2946" i="1"/>
  <c r="A9714" i="1"/>
  <c r="B9714" i="1"/>
  <c r="C9714" i="1"/>
  <c r="A801" i="1"/>
  <c r="B801" i="1"/>
  <c r="C801" i="1"/>
  <c r="A10769" i="1"/>
  <c r="B10769" i="1"/>
  <c r="C10769" i="1"/>
  <c r="A7737" i="1"/>
  <c r="B7737" i="1"/>
  <c r="C7737" i="1"/>
  <c r="A9134" i="1"/>
  <c r="B9134" i="1"/>
  <c r="C9134" i="1"/>
  <c r="A12793" i="1"/>
  <c r="B12793" i="1"/>
  <c r="C12793" i="1"/>
  <c r="A3921" i="1"/>
  <c r="B3921" i="1"/>
  <c r="C3921" i="1"/>
  <c r="A4945" i="1"/>
  <c r="B4945" i="1"/>
  <c r="C4945" i="1"/>
  <c r="A7139" i="1"/>
  <c r="B7139" i="1"/>
  <c r="C7139" i="1"/>
  <c r="A4346" i="1"/>
  <c r="B4346" i="1"/>
  <c r="C4346" i="1"/>
  <c r="A13910" i="1"/>
  <c r="B13910" i="1"/>
  <c r="C13910" i="1"/>
  <c r="A1719" i="1"/>
  <c r="B1719" i="1"/>
  <c r="C1719" i="1"/>
  <c r="A13143" i="1"/>
  <c r="B13143" i="1"/>
  <c r="C13143" i="1"/>
  <c r="A9778" i="1"/>
  <c r="B9778" i="1"/>
  <c r="C9778" i="1"/>
  <c r="A8491" i="1"/>
  <c r="B8491" i="1"/>
  <c r="C8491" i="1"/>
  <c r="A8492" i="1"/>
  <c r="B8492" i="1"/>
  <c r="C8492" i="1"/>
  <c r="A8493" i="1"/>
  <c r="B8493" i="1"/>
  <c r="C8493" i="1"/>
  <c r="A13733" i="1"/>
  <c r="B13733" i="1"/>
  <c r="C13733" i="1"/>
  <c r="A8079" i="1"/>
  <c r="B8079" i="1"/>
  <c r="C8079" i="1"/>
  <c r="A8080" i="1"/>
  <c r="B8080" i="1"/>
  <c r="C8080" i="1"/>
  <c r="A8081" i="1"/>
  <c r="B8081" i="1"/>
  <c r="C8081" i="1"/>
  <c r="A4456" i="1"/>
  <c r="B4456" i="1"/>
  <c r="C4456" i="1"/>
  <c r="A5074" i="1"/>
  <c r="B5074" i="1"/>
  <c r="C5074" i="1"/>
  <c r="A11766" i="1"/>
  <c r="B11766" i="1"/>
  <c r="C11766" i="1"/>
  <c r="A5619" i="1"/>
  <c r="B5619" i="1"/>
  <c r="C5619" i="1"/>
  <c r="A3782" i="1"/>
  <c r="B3782" i="1"/>
  <c r="C3782" i="1"/>
  <c r="A9001" i="1"/>
  <c r="B9001" i="1"/>
  <c r="C9001" i="1"/>
  <c r="A9829" i="1"/>
  <c r="B9829" i="1"/>
  <c r="C9829" i="1"/>
  <c r="A2022" i="1"/>
  <c r="B2022" i="1"/>
  <c r="C2022" i="1"/>
  <c r="A2012" i="1"/>
  <c r="B2012" i="1"/>
  <c r="C2012" i="1"/>
  <c r="A5998" i="1"/>
  <c r="B5998" i="1"/>
  <c r="C5998" i="1"/>
  <c r="A13529" i="1"/>
  <c r="B13529" i="1"/>
  <c r="C13529" i="1"/>
  <c r="A4761" i="1"/>
  <c r="B4761" i="1"/>
  <c r="C4761" i="1"/>
  <c r="A9716" i="1"/>
  <c r="B9716" i="1"/>
  <c r="C9716" i="1"/>
  <c r="A5138" i="1"/>
  <c r="B5138" i="1"/>
  <c r="C5138" i="1"/>
  <c r="A9044" i="1"/>
  <c r="B9044" i="1"/>
  <c r="C9044" i="1"/>
  <c r="A7888" i="1"/>
  <c r="B7888" i="1"/>
  <c r="C7888" i="1"/>
  <c r="A2616" i="1"/>
  <c r="B2616" i="1"/>
  <c r="C2616" i="1"/>
  <c r="A11391" i="1"/>
  <c r="B11391" i="1"/>
  <c r="C11391" i="1"/>
  <c r="A6920" i="1"/>
  <c r="B6920" i="1"/>
  <c r="C6920" i="1"/>
  <c r="A7144" i="1"/>
  <c r="B7144" i="1"/>
  <c r="C7144" i="1"/>
  <c r="A1339" i="1"/>
  <c r="B1339" i="1"/>
  <c r="C1339" i="1"/>
  <c r="A8699" i="1"/>
  <c r="B8699" i="1"/>
  <c r="C8699" i="1"/>
  <c r="A7012" i="1"/>
  <c r="B7012" i="1"/>
  <c r="C7012" i="1"/>
  <c r="A861" i="1"/>
  <c r="B861" i="1"/>
  <c r="C861" i="1"/>
  <c r="A1553" i="1"/>
  <c r="B1553" i="1"/>
  <c r="C1553" i="1"/>
  <c r="A13060" i="1"/>
  <c r="B13060" i="1"/>
  <c r="C13060" i="1"/>
  <c r="A1533" i="1"/>
  <c r="B1533" i="1"/>
  <c r="C1533" i="1"/>
  <c r="A11239" i="1"/>
  <c r="B11239" i="1"/>
  <c r="C11239" i="1"/>
  <c r="A2028" i="1"/>
  <c r="B2028" i="1"/>
  <c r="C2028" i="1"/>
  <c r="A6669" i="1"/>
  <c r="B6669" i="1"/>
  <c r="C6669" i="1"/>
  <c r="A9888" i="1"/>
  <c r="B9888" i="1"/>
  <c r="C9888" i="1"/>
  <c r="A10443" i="1"/>
  <c r="B10443" i="1"/>
  <c r="C10443" i="1"/>
  <c r="A1108" i="1"/>
  <c r="B1108" i="1"/>
  <c r="C1108" i="1"/>
  <c r="A1109" i="1"/>
  <c r="B1109" i="1"/>
  <c r="C1109" i="1"/>
  <c r="A8368" i="1"/>
  <c r="B8368" i="1"/>
  <c r="C8368" i="1"/>
  <c r="A10002" i="1"/>
  <c r="B10002" i="1"/>
  <c r="C10002" i="1"/>
  <c r="A111" i="1"/>
  <c r="B111" i="1"/>
  <c r="C111" i="1"/>
  <c r="A9336" i="1"/>
  <c r="B9336" i="1"/>
  <c r="C9336" i="1"/>
  <c r="A403" i="1"/>
  <c r="B403" i="1"/>
  <c r="C403" i="1"/>
  <c r="A8452" i="1"/>
  <c r="B8452" i="1"/>
  <c r="C8452" i="1"/>
  <c r="A2945" i="1"/>
  <c r="B2945" i="1"/>
  <c r="C2945" i="1"/>
  <c r="A1503" i="1"/>
  <c r="B1503" i="1"/>
  <c r="C1503" i="1"/>
  <c r="A3238" i="1"/>
  <c r="B3238" i="1"/>
  <c r="C3238" i="1"/>
  <c r="A8275" i="1"/>
  <c r="B8275" i="1"/>
  <c r="C8275" i="1"/>
  <c r="A3338" i="1"/>
  <c r="B3338" i="1"/>
  <c r="C3338" i="1"/>
  <c r="A11586" i="1"/>
  <c r="B11586" i="1"/>
  <c r="C11586" i="1"/>
  <c r="A883" i="1"/>
  <c r="B883" i="1"/>
  <c r="C883" i="1"/>
  <c r="A4236" i="1"/>
  <c r="B4236" i="1"/>
  <c r="C4236" i="1"/>
  <c r="A1393" i="1"/>
  <c r="B1393" i="1"/>
  <c r="C1393" i="1"/>
  <c r="A745" i="1"/>
  <c r="B745" i="1"/>
  <c r="C745" i="1"/>
  <c r="A3552" i="1"/>
  <c r="B3552" i="1"/>
  <c r="C3552" i="1"/>
  <c r="A2476" i="1"/>
  <c r="B2476" i="1"/>
  <c r="C2476" i="1"/>
  <c r="A9326" i="1"/>
  <c r="B9326" i="1"/>
  <c r="C9326" i="1"/>
  <c r="A5571" i="1"/>
  <c r="B5571" i="1"/>
  <c r="C5571" i="1"/>
  <c r="A11380" i="1"/>
  <c r="B11380" i="1"/>
  <c r="C11380" i="1"/>
  <c r="A7210" i="1"/>
  <c r="B7210" i="1"/>
  <c r="C7210" i="1"/>
  <c r="A11629" i="1"/>
  <c r="B11629" i="1"/>
  <c r="C11629" i="1"/>
  <c r="A9199" i="1"/>
  <c r="B9199" i="1"/>
  <c r="C9199" i="1"/>
  <c r="A11056" i="1"/>
  <c r="B11056" i="1"/>
  <c r="C11056" i="1"/>
  <c r="A2120" i="1"/>
  <c r="B2120" i="1"/>
  <c r="C2120" i="1"/>
  <c r="A1914" i="1"/>
  <c r="B1914" i="1"/>
  <c r="C1914" i="1"/>
  <c r="A13906" i="1"/>
  <c r="B13906" i="1"/>
  <c r="C13906" i="1"/>
  <c r="A9130" i="1"/>
  <c r="B9130" i="1"/>
  <c r="C9130" i="1"/>
  <c r="A273" i="1"/>
  <c r="B273" i="1"/>
  <c r="C273" i="1"/>
  <c r="A12513" i="1"/>
  <c r="B12513" i="1"/>
  <c r="C12513" i="1"/>
  <c r="A9997" i="1"/>
  <c r="B9997" i="1"/>
  <c r="C9997" i="1"/>
  <c r="A2957" i="1"/>
  <c r="B2957" i="1"/>
  <c r="C2957" i="1"/>
  <c r="A7544" i="1"/>
  <c r="B7544" i="1"/>
  <c r="C7544" i="1"/>
  <c r="A4305" i="1"/>
  <c r="B4305" i="1"/>
  <c r="C4305" i="1"/>
  <c r="A5257" i="1"/>
  <c r="B5257" i="1"/>
  <c r="C5257" i="1"/>
  <c r="A5643" i="1"/>
  <c r="B5643" i="1"/>
  <c r="C5643" i="1"/>
  <c r="A5640" i="1"/>
  <c r="B5640" i="1"/>
  <c r="C5640" i="1"/>
  <c r="A3261" i="1"/>
  <c r="B3261" i="1"/>
  <c r="C3261" i="1"/>
  <c r="A10869" i="1"/>
  <c r="B10869" i="1"/>
  <c r="C10869" i="1"/>
  <c r="A9312" i="1"/>
  <c r="B9312" i="1"/>
  <c r="C9312" i="1"/>
  <c r="A5609" i="1"/>
  <c r="B5609" i="1"/>
  <c r="C5609" i="1"/>
  <c r="A10920" i="1"/>
  <c r="B10920" i="1"/>
  <c r="C10920" i="1"/>
  <c r="A11520" i="1"/>
  <c r="B11520" i="1"/>
  <c r="C11520" i="1"/>
  <c r="A4542" i="1"/>
  <c r="B4542" i="1"/>
  <c r="C4542" i="1"/>
  <c r="A4596" i="1"/>
  <c r="B4596" i="1"/>
  <c r="C4596" i="1"/>
  <c r="A11348" i="1"/>
  <c r="B11348" i="1"/>
  <c r="C11348" i="1"/>
  <c r="A2865" i="1"/>
  <c r="B2865" i="1"/>
  <c r="C2865" i="1"/>
  <c r="A1686" i="1"/>
  <c r="B1686" i="1"/>
  <c r="C1686" i="1"/>
  <c r="A7709" i="1"/>
  <c r="B7709" i="1"/>
  <c r="C7709" i="1"/>
  <c r="A939" i="1"/>
  <c r="B939" i="1"/>
  <c r="C939" i="1"/>
  <c r="A8453" i="1"/>
  <c r="B8453" i="1"/>
  <c r="C8453" i="1"/>
  <c r="A7067" i="1"/>
  <c r="B7067" i="1"/>
  <c r="C7067" i="1"/>
  <c r="A6759" i="1"/>
  <c r="B6759" i="1"/>
  <c r="C6759" i="1"/>
  <c r="A8402" i="1"/>
  <c r="B8402" i="1"/>
  <c r="C8402" i="1"/>
  <c r="A7298" i="1"/>
  <c r="B7298" i="1"/>
  <c r="C7298" i="1"/>
  <c r="A10994" i="1"/>
  <c r="B10994" i="1"/>
  <c r="C10994" i="1"/>
  <c r="A11591" i="1"/>
  <c r="B11591" i="1"/>
  <c r="C11591" i="1"/>
  <c r="A4656" i="1"/>
  <c r="B4656" i="1"/>
  <c r="C4656" i="1"/>
  <c r="A2663" i="1"/>
  <c r="B2663" i="1"/>
  <c r="C2663" i="1"/>
  <c r="A3567" i="1"/>
  <c r="B3567" i="1"/>
  <c r="C3567" i="1"/>
  <c r="A3943" i="1"/>
  <c r="B3943" i="1"/>
  <c r="C3943" i="1"/>
  <c r="A2291" i="1"/>
  <c r="B2291" i="1"/>
  <c r="C2291" i="1"/>
  <c r="A12253" i="1"/>
  <c r="B12253" i="1"/>
  <c r="C12253" i="1"/>
  <c r="A5433" i="1"/>
  <c r="B5433" i="1"/>
  <c r="C5433" i="1"/>
  <c r="A10231" i="1"/>
  <c r="B10231" i="1"/>
  <c r="C10231" i="1"/>
  <c r="A1841" i="1"/>
  <c r="B1841" i="1"/>
  <c r="C1841" i="1"/>
  <c r="A9119" i="1"/>
  <c r="B9119" i="1"/>
  <c r="C9119" i="1"/>
  <c r="A6456" i="1"/>
  <c r="B6456" i="1"/>
  <c r="C6456" i="1"/>
  <c r="A11102" i="1"/>
  <c r="B11102" i="1"/>
  <c r="C11102" i="1"/>
  <c r="A11646" i="1"/>
  <c r="B11646" i="1"/>
  <c r="C11646" i="1"/>
  <c r="A1156" i="1"/>
  <c r="B1156" i="1"/>
  <c r="C1156" i="1"/>
  <c r="A9613" i="1"/>
  <c r="B9613" i="1"/>
  <c r="C9613" i="1"/>
  <c r="A10844" i="1"/>
  <c r="B10844" i="1"/>
  <c r="C10844" i="1"/>
  <c r="A13509" i="1"/>
  <c r="B13509" i="1"/>
  <c r="C13509" i="1"/>
  <c r="A10785" i="1"/>
  <c r="B10785" i="1"/>
  <c r="C10785" i="1"/>
  <c r="A4408" i="1"/>
  <c r="B4408" i="1"/>
  <c r="C4408" i="1"/>
  <c r="A9085" i="1"/>
  <c r="B9085" i="1"/>
  <c r="C9085" i="1"/>
  <c r="A10763" i="1"/>
  <c r="B10763" i="1"/>
  <c r="C10763" i="1"/>
  <c r="A11441" i="1"/>
  <c r="B11441" i="1"/>
  <c r="C11441" i="1"/>
  <c r="A5556" i="1"/>
  <c r="B5556" i="1"/>
  <c r="C5556" i="1"/>
  <c r="A409" i="1"/>
  <c r="B409" i="1"/>
  <c r="C409" i="1"/>
  <c r="A10741" i="1"/>
  <c r="B10741" i="1"/>
  <c r="C10741" i="1"/>
  <c r="A13661" i="1"/>
  <c r="B13661" i="1"/>
  <c r="C13661" i="1"/>
  <c r="A835" i="1"/>
  <c r="B835" i="1"/>
  <c r="C835" i="1"/>
  <c r="A4311" i="1"/>
  <c r="B4311" i="1"/>
  <c r="C4311" i="1"/>
  <c r="A12095" i="1"/>
  <c r="B12095" i="1"/>
  <c r="C12095" i="1"/>
  <c r="A4981" i="1"/>
  <c r="B4981" i="1"/>
  <c r="C4981" i="1"/>
  <c r="A4312" i="1"/>
  <c r="B4312" i="1"/>
  <c r="C4312" i="1"/>
  <c r="A3546" i="1"/>
  <c r="B3546" i="1"/>
  <c r="C3546" i="1"/>
  <c r="A13380" i="1"/>
  <c r="B13380" i="1"/>
  <c r="C13380" i="1"/>
  <c r="A9525" i="1"/>
  <c r="B9525" i="1"/>
  <c r="C9525" i="1"/>
  <c r="A8952" i="1"/>
  <c r="B8952" i="1"/>
  <c r="C8952" i="1"/>
  <c r="A8953" i="1"/>
  <c r="B8953" i="1"/>
  <c r="C8953" i="1"/>
  <c r="A5507" i="1"/>
  <c r="B5507" i="1"/>
  <c r="C5507" i="1"/>
  <c r="A10519" i="1"/>
  <c r="B10519" i="1"/>
  <c r="C10519" i="1"/>
  <c r="A1002" i="1"/>
  <c r="B1002" i="1"/>
  <c r="C1002" i="1"/>
  <c r="A13145" i="1"/>
  <c r="B13145" i="1"/>
  <c r="C13145" i="1"/>
  <c r="A6615" i="1"/>
  <c r="B6615" i="1"/>
  <c r="C6615" i="1"/>
  <c r="A9304" i="1"/>
  <c r="B9304" i="1"/>
  <c r="C9304" i="1"/>
  <c r="A366" i="1"/>
  <c r="B366" i="1"/>
  <c r="C366" i="1"/>
  <c r="A112" i="1"/>
  <c r="B112" i="1"/>
  <c r="C112" i="1"/>
  <c r="A580" i="1"/>
  <c r="B580" i="1"/>
  <c r="C580" i="1"/>
  <c r="A3331" i="1"/>
  <c r="B3331" i="1"/>
  <c r="C3331" i="1"/>
  <c r="A2443" i="1"/>
  <c r="B2443" i="1"/>
  <c r="C2443" i="1"/>
  <c r="A12550" i="1"/>
  <c r="B12550" i="1"/>
  <c r="C12550" i="1"/>
  <c r="A12813" i="1"/>
  <c r="B12813" i="1"/>
  <c r="C12813" i="1"/>
  <c r="A5686" i="1"/>
  <c r="B5686" i="1"/>
  <c r="C5686" i="1"/>
  <c r="A7165" i="1"/>
  <c r="B7165" i="1"/>
  <c r="C7165" i="1"/>
  <c r="A10553" i="1"/>
  <c r="B10553" i="1"/>
  <c r="C10553" i="1"/>
  <c r="A7884" i="1"/>
  <c r="B7884" i="1"/>
  <c r="C7884" i="1"/>
  <c r="A9611" i="1"/>
  <c r="B9611" i="1"/>
  <c r="C9611" i="1"/>
  <c r="A1134" i="1"/>
  <c r="B1134" i="1"/>
  <c r="C1134" i="1"/>
  <c r="A407" i="1"/>
  <c r="B407" i="1"/>
  <c r="C407" i="1"/>
  <c r="A4464" i="1"/>
  <c r="B4464" i="1"/>
  <c r="C4464" i="1"/>
  <c r="A7629" i="1"/>
  <c r="B7629" i="1"/>
  <c r="C7629" i="1"/>
  <c r="A4328" i="1"/>
  <c r="B4328" i="1"/>
  <c r="C4328" i="1"/>
  <c r="A2155" i="1"/>
  <c r="B2155" i="1"/>
  <c r="C2155" i="1"/>
  <c r="A2997" i="1"/>
  <c r="B2997" i="1"/>
  <c r="C2997" i="1"/>
  <c r="A2766" i="1"/>
  <c r="B2766" i="1"/>
  <c r="C2766" i="1"/>
  <c r="A6791" i="1"/>
  <c r="B6791" i="1"/>
  <c r="C6791" i="1"/>
  <c r="A13073" i="1"/>
  <c r="B13073" i="1"/>
  <c r="C13073" i="1"/>
  <c r="A11840" i="1"/>
  <c r="B11840" i="1"/>
  <c r="C11840" i="1"/>
  <c r="A1821" i="1"/>
  <c r="B1821" i="1"/>
  <c r="C1821" i="1"/>
  <c r="A10011" i="1"/>
  <c r="B10011" i="1"/>
  <c r="C10011" i="1"/>
  <c r="A4994" i="1"/>
  <c r="B4994" i="1"/>
  <c r="C4994" i="1"/>
  <c r="A6042" i="1"/>
  <c r="B6042" i="1"/>
  <c r="C6042" i="1"/>
  <c r="A13900" i="1"/>
  <c r="B13900" i="1"/>
  <c r="C13900" i="1"/>
  <c r="A2557" i="1"/>
  <c r="B2557" i="1"/>
  <c r="C2557" i="1"/>
  <c r="A11290" i="1"/>
  <c r="B11290" i="1"/>
  <c r="C11290" i="1"/>
  <c r="A13863" i="1"/>
  <c r="B13863" i="1"/>
  <c r="C13863" i="1"/>
  <c r="A630" i="1"/>
  <c r="B630" i="1"/>
  <c r="C630" i="1"/>
  <c r="A1087" i="1"/>
  <c r="B1087" i="1"/>
  <c r="C1087" i="1"/>
  <c r="A4234" i="1"/>
  <c r="B4234" i="1"/>
  <c r="C4234" i="1"/>
  <c r="A12884" i="1"/>
  <c r="B12884" i="1"/>
  <c r="C12884" i="1"/>
  <c r="A4530" i="1"/>
  <c r="B4530" i="1"/>
  <c r="C4530" i="1"/>
  <c r="A4462" i="1"/>
  <c r="B4462" i="1"/>
  <c r="C4462" i="1"/>
  <c r="A6349" i="1"/>
  <c r="B6349" i="1"/>
  <c r="C6349" i="1"/>
  <c r="A6350" i="1"/>
  <c r="B6350" i="1"/>
  <c r="C6350" i="1"/>
  <c r="A5146" i="1"/>
  <c r="B5146" i="1"/>
  <c r="C5146" i="1"/>
  <c r="A1341" i="1"/>
  <c r="B1341" i="1"/>
  <c r="C1341" i="1"/>
  <c r="A11404" i="1"/>
  <c r="B11404" i="1"/>
  <c r="C11404" i="1"/>
  <c r="A9135" i="1"/>
  <c r="B9135" i="1"/>
  <c r="C9135" i="1"/>
  <c r="A9136" i="1"/>
  <c r="B9136" i="1"/>
  <c r="C9136" i="1"/>
  <c r="A9137" i="1"/>
  <c r="B9137" i="1"/>
  <c r="C9137" i="1"/>
  <c r="A9133" i="1"/>
  <c r="B9133" i="1"/>
  <c r="C9133" i="1"/>
  <c r="A9138" i="1"/>
  <c r="B9138" i="1"/>
  <c r="C9138" i="1"/>
  <c r="A10500" i="1"/>
  <c r="B10500" i="1"/>
  <c r="C10500" i="1"/>
  <c r="A12443" i="1"/>
  <c r="B12443" i="1"/>
  <c r="C12443" i="1"/>
  <c r="A1720" i="1"/>
  <c r="B1720" i="1"/>
  <c r="C1720" i="1"/>
  <c r="A3620" i="1"/>
  <c r="B3620" i="1"/>
  <c r="C3620" i="1"/>
  <c r="A12740" i="1"/>
  <c r="B12740" i="1"/>
  <c r="C12740" i="1"/>
  <c r="A4087" i="1"/>
  <c r="B4087" i="1"/>
  <c r="C4087" i="1"/>
  <c r="A3879" i="1"/>
  <c r="B3879" i="1"/>
  <c r="C3879" i="1"/>
  <c r="A11304" i="1"/>
  <c r="B11304" i="1"/>
  <c r="C11304" i="1"/>
  <c r="A11751" i="1"/>
  <c r="B11751" i="1"/>
  <c r="C11751" i="1"/>
  <c r="A11752" i="1"/>
  <c r="B11752" i="1"/>
  <c r="C11752" i="1"/>
  <c r="A1169" i="1"/>
  <c r="B1169" i="1"/>
  <c r="C1169" i="1"/>
  <c r="A2110" i="1"/>
  <c r="B2110" i="1"/>
  <c r="C2110" i="1"/>
  <c r="A5372" i="1"/>
  <c r="B5372" i="1"/>
  <c r="C5372" i="1"/>
  <c r="A5470" i="1"/>
  <c r="B5470" i="1"/>
  <c r="C5470" i="1"/>
  <c r="A2900" i="1"/>
  <c r="B2900" i="1"/>
  <c r="C2900" i="1"/>
  <c r="A1363" i="1"/>
  <c r="B1363" i="1"/>
  <c r="C1363" i="1"/>
  <c r="A1346" i="1"/>
  <c r="B1346" i="1"/>
  <c r="C1346" i="1"/>
  <c r="A3530" i="1"/>
  <c r="B3530" i="1"/>
  <c r="C3530" i="1"/>
  <c r="A5742" i="1"/>
  <c r="B5742" i="1"/>
  <c r="C5742" i="1"/>
  <c r="A8477" i="1"/>
  <c r="B8477" i="1"/>
  <c r="C8477" i="1"/>
  <c r="A4106" i="1"/>
  <c r="B4106" i="1"/>
  <c r="C4106" i="1"/>
  <c r="A5799" i="1"/>
  <c r="B5799" i="1"/>
  <c r="C5799" i="1"/>
  <c r="A13223" i="1"/>
  <c r="B13223" i="1"/>
  <c r="C13223" i="1"/>
  <c r="A7843" i="1"/>
  <c r="B7843" i="1"/>
  <c r="C7843" i="1"/>
  <c r="A7590" i="1"/>
  <c r="B7590" i="1"/>
  <c r="C7590" i="1"/>
  <c r="A6466" i="1"/>
  <c r="B6466" i="1"/>
  <c r="C6466" i="1"/>
  <c r="A13202" i="1"/>
  <c r="B13202" i="1"/>
  <c r="C13202" i="1"/>
  <c r="A9638" i="1"/>
  <c r="B9638" i="1"/>
  <c r="C9638" i="1"/>
  <c r="A6023" i="1"/>
  <c r="B6023" i="1"/>
  <c r="C6023" i="1"/>
  <c r="A8354" i="1"/>
  <c r="B8354" i="1"/>
  <c r="C8354" i="1"/>
  <c r="A13846" i="1"/>
  <c r="B13846" i="1"/>
  <c r="C13846" i="1"/>
  <c r="A9313" i="1"/>
  <c r="B9313" i="1"/>
  <c r="C9313" i="1"/>
  <c r="A3800" i="1"/>
  <c r="B3800" i="1"/>
  <c r="C3800" i="1"/>
  <c r="A2622" i="1"/>
  <c r="B2622" i="1"/>
  <c r="C2622" i="1"/>
  <c r="A6853" i="1"/>
  <c r="B6853" i="1"/>
  <c r="C6853" i="1"/>
  <c r="A3247" i="1"/>
  <c r="B3247" i="1"/>
  <c r="C3247" i="1"/>
  <c r="A12235" i="1"/>
  <c r="B12235" i="1"/>
  <c r="C12235" i="1"/>
  <c r="A7391" i="1"/>
  <c r="B7391" i="1"/>
  <c r="C7391" i="1"/>
  <c r="A3302" i="1"/>
  <c r="B3302" i="1"/>
  <c r="C3302" i="1"/>
  <c r="A13320" i="1"/>
  <c r="B13320" i="1"/>
  <c r="C13320" i="1"/>
  <c r="A1338" i="1"/>
  <c r="B1338" i="1"/>
  <c r="C1338" i="1"/>
  <c r="A3346" i="1"/>
  <c r="B3346" i="1"/>
  <c r="C3346" i="1"/>
  <c r="A8553" i="1"/>
  <c r="B8553" i="1"/>
  <c r="C8553" i="1"/>
  <c r="A7552" i="1"/>
  <c r="B7552" i="1"/>
  <c r="C7552" i="1"/>
  <c r="A11669" i="1"/>
  <c r="B11669" i="1"/>
  <c r="C11669" i="1"/>
  <c r="A12208" i="1"/>
  <c r="B12208" i="1"/>
  <c r="C12208" i="1"/>
  <c r="A9433" i="1"/>
  <c r="B9433" i="1"/>
  <c r="C9433" i="1"/>
  <c r="A2060" i="1"/>
  <c r="B2060" i="1"/>
  <c r="C2060" i="1"/>
  <c r="A6967" i="1"/>
  <c r="B6967" i="1"/>
  <c r="C6967" i="1"/>
  <c r="A8801" i="1"/>
  <c r="B8801" i="1"/>
  <c r="C8801" i="1"/>
  <c r="A13392" i="1"/>
  <c r="B13392" i="1"/>
  <c r="C13392" i="1"/>
  <c r="A12487" i="1"/>
  <c r="B12487" i="1"/>
  <c r="C12487" i="1"/>
  <c r="A6155" i="1"/>
  <c r="B6155" i="1"/>
  <c r="C6155" i="1"/>
  <c r="A5624" i="1"/>
  <c r="B5624" i="1"/>
  <c r="A8378" i="1"/>
  <c r="B8378" i="1"/>
  <c r="C8378" i="1"/>
  <c r="A10265" i="1"/>
  <c r="B10265" i="1"/>
  <c r="C10265" i="1"/>
  <c r="A3033" i="1"/>
  <c r="B3033" i="1"/>
  <c r="C3033" i="1"/>
  <c r="A4998" i="1"/>
  <c r="B4998" i="1"/>
  <c r="C4998" i="1"/>
  <c r="A13174" i="1"/>
  <c r="B13174" i="1"/>
  <c r="C13174" i="1"/>
  <c r="A11159" i="1"/>
  <c r="B11159" i="1"/>
  <c r="C11159" i="1"/>
  <c r="A12182" i="1"/>
  <c r="B12182" i="1"/>
  <c r="C12182" i="1"/>
  <c r="A13062" i="1"/>
  <c r="B13062" i="1"/>
  <c r="C13062" i="1"/>
  <c r="A1882" i="1"/>
  <c r="B1882" i="1"/>
  <c r="C1882" i="1"/>
  <c r="A1883" i="1"/>
  <c r="B1883" i="1"/>
  <c r="C1883" i="1"/>
  <c r="A1884" i="1"/>
  <c r="B1884" i="1"/>
  <c r="C1884" i="1"/>
  <c r="A2094" i="1"/>
  <c r="B2094" i="1"/>
  <c r="C2094" i="1"/>
  <c r="A9101" i="1"/>
  <c r="B9101" i="1"/>
  <c r="C9101" i="1"/>
  <c r="A12752" i="1"/>
  <c r="B12752" i="1"/>
  <c r="C12752" i="1"/>
  <c r="A2786" i="1"/>
  <c r="B2786" i="1"/>
  <c r="C2786" i="1"/>
  <c r="A12446" i="1"/>
  <c r="B12446" i="1"/>
  <c r="C12446" i="1"/>
  <c r="A13576" i="1"/>
  <c r="B13576" i="1"/>
  <c r="C13576" i="1"/>
  <c r="A13330" i="1"/>
  <c r="B13330" i="1"/>
  <c r="C13330" i="1"/>
  <c r="A6739" i="1"/>
  <c r="B6739" i="1"/>
  <c r="C6739" i="1"/>
  <c r="A5631" i="1"/>
  <c r="B5631" i="1"/>
  <c r="C5631" i="1"/>
  <c r="A4413" i="1"/>
  <c r="B4413" i="1"/>
  <c r="C4413" i="1"/>
  <c r="A8033" i="1"/>
  <c r="B8033" i="1"/>
  <c r="C8033" i="1"/>
  <c r="A13823" i="1"/>
  <c r="B13823" i="1"/>
  <c r="C13823" i="1"/>
  <c r="A2798" i="1"/>
  <c r="B2798" i="1"/>
  <c r="C2798" i="1"/>
  <c r="A1573" i="1"/>
  <c r="B1573" i="1"/>
  <c r="C1573" i="1"/>
  <c r="A983" i="1"/>
  <c r="B983" i="1"/>
  <c r="C983" i="1"/>
  <c r="A11850" i="1"/>
  <c r="B11850" i="1"/>
  <c r="C11850" i="1"/>
  <c r="A9904" i="1"/>
  <c r="B9904" i="1"/>
  <c r="C9904" i="1"/>
  <c r="A8130" i="1"/>
  <c r="B8130" i="1"/>
  <c r="C8130" i="1"/>
  <c r="A8635" i="1"/>
  <c r="B8635" i="1"/>
  <c r="C8635" i="1"/>
  <c r="A397" i="1"/>
  <c r="B397" i="1"/>
  <c r="C397" i="1"/>
  <c r="A5761" i="1"/>
  <c r="B5761" i="1"/>
  <c r="C5761" i="1"/>
  <c r="A9060" i="1"/>
  <c r="B9060" i="1"/>
  <c r="C9060" i="1"/>
  <c r="A2993" i="1"/>
  <c r="B2993" i="1"/>
  <c r="C2993" i="1"/>
  <c r="A3376" i="1"/>
  <c r="B3376" i="1"/>
  <c r="C3376" i="1"/>
  <c r="A4982" i="1"/>
  <c r="B4982" i="1"/>
  <c r="C4982" i="1"/>
  <c r="A7917" i="1"/>
  <c r="B7917" i="1"/>
  <c r="C7917" i="1"/>
  <c r="A729" i="1"/>
  <c r="B729" i="1"/>
  <c r="C729" i="1"/>
  <c r="A4983" i="1"/>
  <c r="B4983" i="1"/>
  <c r="C4983" i="1"/>
  <c r="A4980" i="1"/>
  <c r="B4980" i="1"/>
  <c r="C4980" i="1"/>
  <c r="A10264" i="1"/>
  <c r="B10264" i="1"/>
  <c r="C10264" i="1"/>
  <c r="A3163" i="1"/>
  <c r="B3163" i="1"/>
  <c r="C3163" i="1"/>
  <c r="A13046" i="1"/>
  <c r="B13046" i="1"/>
  <c r="C13046" i="1"/>
  <c r="A1160" i="1"/>
  <c r="B1160" i="1"/>
  <c r="C1160" i="1"/>
  <c r="A3209" i="1"/>
  <c r="B3209" i="1"/>
  <c r="C3209" i="1"/>
  <c r="A6981" i="1"/>
  <c r="B6981" i="1"/>
  <c r="C6981" i="1"/>
  <c r="A2591" i="1"/>
  <c r="B2591" i="1"/>
  <c r="C2591" i="1"/>
  <c r="A11731" i="1"/>
  <c r="B11731" i="1"/>
  <c r="C11731" i="1"/>
  <c r="A8266" i="1"/>
  <c r="B8266" i="1"/>
  <c r="C8266" i="1"/>
  <c r="A4963" i="1"/>
  <c r="B4963" i="1"/>
  <c r="C4963" i="1"/>
  <c r="A13003" i="1"/>
  <c r="B13003" i="1"/>
  <c r="C13003" i="1"/>
  <c r="A12343" i="1"/>
  <c r="B12343" i="1"/>
  <c r="C12343" i="1"/>
  <c r="A7670" i="1"/>
  <c r="B7670" i="1"/>
  <c r="C7670" i="1"/>
  <c r="A4324" i="1"/>
  <c r="B4324" i="1"/>
  <c r="C4324" i="1"/>
  <c r="A598" i="1"/>
  <c r="B598" i="1"/>
  <c r="C598" i="1"/>
  <c r="A4606" i="1"/>
  <c r="B4606" i="1"/>
  <c r="C4606" i="1"/>
  <c r="A9895" i="1"/>
  <c r="B9895" i="1"/>
  <c r="C9895" i="1"/>
  <c r="A4907" i="1"/>
  <c r="B4907" i="1"/>
  <c r="C4907" i="1"/>
  <c r="A5298" i="1"/>
  <c r="B5298" i="1"/>
  <c r="C5298" i="1"/>
  <c r="A7082" i="1"/>
  <c r="B7082" i="1"/>
  <c r="C7082" i="1"/>
  <c r="A3502" i="1"/>
  <c r="B3502" i="1"/>
  <c r="C3502" i="1"/>
  <c r="A4706" i="1"/>
  <c r="B4706" i="1"/>
  <c r="C4706" i="1"/>
  <c r="A6283" i="1"/>
  <c r="B6283" i="1"/>
  <c r="C6283" i="1"/>
  <c r="A3701" i="1"/>
  <c r="B3701" i="1"/>
  <c r="C3701" i="1"/>
  <c r="A12371" i="1"/>
  <c r="B12371" i="1"/>
  <c r="C12371" i="1"/>
  <c r="A10658" i="1"/>
  <c r="B10658" i="1"/>
  <c r="C10658" i="1"/>
  <c r="A7440" i="1"/>
  <c r="B7440" i="1"/>
  <c r="C7440" i="1"/>
  <c r="A179" i="1"/>
  <c r="B179" i="1"/>
  <c r="C179" i="1"/>
  <c r="A180" i="1"/>
  <c r="B180" i="1"/>
  <c r="C180" i="1"/>
  <c r="A2791" i="1"/>
  <c r="B2791" i="1"/>
  <c r="C2791" i="1"/>
  <c r="A9419" i="1"/>
  <c r="B9419" i="1"/>
  <c r="C9419" i="1"/>
  <c r="A12020" i="1"/>
  <c r="B12020" i="1"/>
  <c r="C12020" i="1"/>
  <c r="A12021" i="1"/>
  <c r="B12021" i="1"/>
  <c r="C12021" i="1"/>
  <c r="A12022" i="1"/>
  <c r="B12022" i="1"/>
  <c r="C12022" i="1"/>
  <c r="A12023" i="1"/>
  <c r="B12023" i="1"/>
  <c r="C12023" i="1"/>
  <c r="A12024" i="1"/>
  <c r="B12024" i="1"/>
  <c r="C12024" i="1"/>
  <c r="A12025" i="1"/>
  <c r="B12025" i="1"/>
  <c r="C12025" i="1"/>
  <c r="A12026" i="1"/>
  <c r="B12026" i="1"/>
  <c r="C12026" i="1"/>
  <c r="A12027" i="1"/>
  <c r="B12027" i="1"/>
  <c r="C12027" i="1"/>
  <c r="A2244" i="1"/>
  <c r="B2244" i="1"/>
  <c r="C2244" i="1"/>
  <c r="A2245" i="1"/>
  <c r="B2245" i="1"/>
  <c r="C2245" i="1"/>
  <c r="A6070" i="1"/>
  <c r="B6070" i="1"/>
  <c r="C6070" i="1"/>
  <c r="A2333" i="1"/>
  <c r="B2333" i="1"/>
  <c r="C2333" i="1"/>
  <c r="A2334" i="1"/>
  <c r="B2334" i="1"/>
  <c r="C2334" i="1"/>
  <c r="A12234" i="1"/>
  <c r="B12234" i="1"/>
  <c r="C12234" i="1"/>
  <c r="A1186" i="1"/>
  <c r="B1186" i="1"/>
  <c r="C1186" i="1"/>
  <c r="A2371" i="1"/>
  <c r="B2371" i="1"/>
  <c r="C2371" i="1"/>
  <c r="A4732" i="1"/>
  <c r="B4732" i="1"/>
  <c r="C4732" i="1"/>
  <c r="A12469" i="1"/>
  <c r="B12469" i="1"/>
  <c r="C12469" i="1"/>
  <c r="A7871" i="1"/>
  <c r="B7871" i="1"/>
  <c r="C7871" i="1"/>
  <c r="A1670" i="1"/>
  <c r="B1670" i="1"/>
  <c r="C1670" i="1"/>
  <c r="A7739" i="1"/>
  <c r="B7739" i="1"/>
  <c r="C7739" i="1"/>
  <c r="A7740" i="1"/>
  <c r="B7740" i="1"/>
  <c r="C7740" i="1"/>
  <c r="A7741" i="1"/>
  <c r="B7741" i="1"/>
  <c r="C7741" i="1"/>
  <c r="A7753" i="1"/>
  <c r="B7753" i="1"/>
  <c r="C7753" i="1"/>
  <c r="A7754" i="1"/>
  <c r="B7754" i="1"/>
  <c r="C7754" i="1"/>
  <c r="A13734" i="1"/>
  <c r="B13734" i="1"/>
  <c r="C13734" i="1"/>
  <c r="A10589" i="1"/>
  <c r="B10589" i="1"/>
  <c r="C10589" i="1"/>
  <c r="A8488" i="1"/>
  <c r="B8488" i="1"/>
  <c r="C8488" i="1"/>
  <c r="A3935" i="1"/>
  <c r="B3935" i="1"/>
  <c r="C3935" i="1"/>
  <c r="A6575" i="1"/>
  <c r="B6575" i="1"/>
  <c r="C6575" i="1"/>
  <c r="A1077" i="1"/>
  <c r="B1077" i="1"/>
  <c r="C1077" i="1"/>
  <c r="A9112" i="1"/>
  <c r="B9112" i="1"/>
  <c r="C9112" i="1"/>
  <c r="A661" i="1"/>
  <c r="B661" i="1"/>
  <c r="C661" i="1"/>
  <c r="A8068" i="1"/>
  <c r="B8068" i="1"/>
  <c r="C8068" i="1"/>
  <c r="A9210" i="1"/>
  <c r="B9210" i="1"/>
  <c r="C9210" i="1"/>
  <c r="A13941" i="1"/>
  <c r="B13941" i="1"/>
  <c r="C13941" i="1"/>
  <c r="A9572" i="1"/>
  <c r="B9572" i="1"/>
  <c r="C9572" i="1"/>
  <c r="A8146" i="1"/>
  <c r="B8146" i="1"/>
  <c r="C8146" i="1"/>
  <c r="A9884" i="1"/>
  <c r="B9884" i="1"/>
  <c r="C9884" i="1"/>
  <c r="A6766" i="1"/>
  <c r="B6766" i="1"/>
  <c r="C6766" i="1"/>
  <c r="A6767" i="1"/>
  <c r="B6767" i="1"/>
  <c r="C6767" i="1"/>
  <c r="A2335" i="1"/>
  <c r="B2335" i="1"/>
  <c r="C2335" i="1"/>
  <c r="A10772" i="1"/>
  <c r="B10772" i="1"/>
  <c r="C10772" i="1"/>
  <c r="A2130" i="1"/>
  <c r="B2130" i="1"/>
  <c r="C2130" i="1"/>
  <c r="A2764" i="1"/>
  <c r="B2764" i="1"/>
  <c r="C2764" i="1"/>
  <c r="A9435" i="1"/>
  <c r="B9435" i="1"/>
  <c r="C9435" i="1"/>
  <c r="A4664" i="1"/>
  <c r="B4664" i="1"/>
  <c r="C4664" i="1"/>
  <c r="A5558" i="1"/>
  <c r="B5558" i="1"/>
  <c r="C5558" i="1"/>
  <c r="A395" i="1"/>
  <c r="B395" i="1"/>
  <c r="C395" i="1"/>
  <c r="A12374" i="1"/>
  <c r="B12374" i="1"/>
  <c r="C12374" i="1"/>
  <c r="A6496" i="1"/>
  <c r="B6496" i="1"/>
  <c r="C6496" i="1"/>
  <c r="A12986" i="1"/>
  <c r="B12986" i="1"/>
  <c r="C12986" i="1"/>
  <c r="A12064" i="1"/>
  <c r="B12064" i="1"/>
  <c r="C12064" i="1"/>
  <c r="A4828" i="1"/>
  <c r="B4828" i="1"/>
  <c r="C4828" i="1"/>
  <c r="A13241" i="1"/>
  <c r="B13241" i="1"/>
  <c r="C13241" i="1"/>
  <c r="A6889" i="1"/>
  <c r="B6889" i="1"/>
  <c r="C6889" i="1"/>
  <c r="A6890" i="1"/>
  <c r="B6890" i="1"/>
  <c r="C6890" i="1"/>
  <c r="A4653" i="1"/>
  <c r="B4653" i="1"/>
  <c r="C4653" i="1"/>
  <c r="A4692" i="1"/>
  <c r="B4692" i="1"/>
  <c r="C4692" i="1"/>
  <c r="A8860" i="1"/>
  <c r="B8860" i="1"/>
  <c r="C8860" i="1"/>
  <c r="A4616" i="1"/>
  <c r="B4616" i="1"/>
  <c r="C4616" i="1"/>
  <c r="A9140" i="1"/>
  <c r="B9140" i="1"/>
  <c r="C9140" i="1"/>
  <c r="A9139" i="1"/>
  <c r="B9139" i="1"/>
  <c r="C9139" i="1"/>
  <c r="A6483" i="1"/>
  <c r="B6483" i="1"/>
  <c r="C6483" i="1"/>
  <c r="A6824" i="1"/>
  <c r="B6824" i="1"/>
  <c r="C6824" i="1"/>
  <c r="A421" i="1"/>
  <c r="B421" i="1"/>
  <c r="C421" i="1"/>
  <c r="A11776" i="1"/>
  <c r="B11776" i="1"/>
  <c r="C11776" i="1"/>
  <c r="A13895" i="1"/>
  <c r="B13895" i="1"/>
  <c r="C13895" i="1"/>
  <c r="A4400" i="1"/>
  <c r="B4400" i="1"/>
  <c r="C4400" i="1"/>
  <c r="A10847" i="1"/>
  <c r="B10847" i="1"/>
  <c r="C10847" i="1"/>
  <c r="A5352" i="1"/>
  <c r="B5352" i="1"/>
  <c r="C5352" i="1"/>
  <c r="A646" i="1"/>
  <c r="B646" i="1"/>
  <c r="C646" i="1"/>
  <c r="A9722" i="1"/>
  <c r="B9722" i="1"/>
  <c r="C9722" i="1"/>
  <c r="A10972" i="1"/>
  <c r="B10972" i="1"/>
  <c r="C10972" i="1"/>
  <c r="A8063" i="1"/>
  <c r="B8063" i="1"/>
  <c r="C8063" i="1"/>
  <c r="A3314" i="1"/>
  <c r="B3314" i="1"/>
  <c r="C3314" i="1"/>
  <c r="A9937" i="1"/>
  <c r="B9937" i="1"/>
  <c r="C9937" i="1"/>
  <c r="A11546" i="1"/>
  <c r="B11546" i="1"/>
  <c r="C11546" i="1"/>
  <c r="A11547" i="1"/>
  <c r="B11547" i="1"/>
  <c r="C11547" i="1"/>
  <c r="A9927" i="1"/>
  <c r="B9927" i="1"/>
  <c r="C9927" i="1"/>
  <c r="A4017" i="1"/>
  <c r="B4017" i="1"/>
  <c r="C4017" i="1"/>
  <c r="A4245" i="1"/>
  <c r="B4245" i="1"/>
  <c r="C4245" i="1"/>
  <c r="A4597" i="1"/>
  <c r="B4597" i="1"/>
  <c r="C4597" i="1"/>
  <c r="A2027" i="1"/>
  <c r="B2027" i="1"/>
  <c r="C2027" i="1"/>
  <c r="A13835" i="1"/>
  <c r="B13835" i="1"/>
  <c r="C13835" i="1"/>
  <c r="A13886" i="1"/>
  <c r="B13886" i="1"/>
  <c r="C13886" i="1"/>
  <c r="A5855" i="1"/>
  <c r="B5855" i="1"/>
  <c r="C5855" i="1"/>
  <c r="A6240" i="1"/>
  <c r="B6240" i="1"/>
  <c r="C6240" i="1"/>
  <c r="A6857" i="1"/>
  <c r="B6857" i="1"/>
  <c r="C6857" i="1"/>
  <c r="A1443" i="1"/>
  <c r="B1443" i="1"/>
  <c r="C1443" i="1"/>
  <c r="A8554" i="1"/>
  <c r="B8554" i="1"/>
  <c r="C8554" i="1"/>
  <c r="A8555" i="1"/>
  <c r="B8555" i="1"/>
  <c r="C8555" i="1"/>
  <c r="A8556" i="1"/>
  <c r="B8556" i="1"/>
  <c r="C8556" i="1"/>
  <c r="A8557" i="1"/>
  <c r="B8557" i="1"/>
  <c r="C8557" i="1"/>
  <c r="A9651" i="1"/>
  <c r="B9651" i="1"/>
  <c r="C9651" i="1"/>
  <c r="A11238" i="1"/>
  <c r="B11238" i="1"/>
  <c r="C11238" i="1"/>
  <c r="A7382" i="1"/>
  <c r="B7382" i="1"/>
  <c r="C7382" i="1"/>
  <c r="A5800" i="1"/>
  <c r="B5800" i="1"/>
  <c r="C5800" i="1"/>
  <c r="A1946" i="1"/>
  <c r="B1946" i="1"/>
  <c r="C1946" i="1"/>
  <c r="A6588" i="1"/>
  <c r="B6588" i="1"/>
  <c r="C6588" i="1"/>
  <c r="A10814" i="1"/>
  <c r="B10814" i="1"/>
  <c r="C10814" i="1"/>
  <c r="A12920" i="1"/>
  <c r="B12920" i="1"/>
  <c r="C12920" i="1"/>
  <c r="A12314" i="1"/>
  <c r="B12314" i="1"/>
  <c r="C12314" i="1"/>
  <c r="A12921" i="1"/>
  <c r="B12921" i="1"/>
  <c r="C12921" i="1"/>
  <c r="A12922" i="1"/>
  <c r="B12922" i="1"/>
  <c r="C12922" i="1"/>
  <c r="A12388" i="1"/>
  <c r="B12388" i="1"/>
  <c r="C12388" i="1"/>
  <c r="A4027" i="1"/>
  <c r="B4027" i="1"/>
  <c r="C4027" i="1"/>
  <c r="A3255" i="1"/>
  <c r="B3255" i="1"/>
  <c r="C3255" i="1"/>
  <c r="A8279" i="1"/>
  <c r="B8279" i="1"/>
  <c r="C8279" i="1"/>
  <c r="A8415" i="1"/>
  <c r="B8415" i="1"/>
  <c r="C8415" i="1"/>
  <c r="A6445" i="1"/>
  <c r="B6445" i="1"/>
  <c r="C6445" i="1"/>
  <c r="A4589" i="1"/>
  <c r="B4589" i="1"/>
  <c r="C4589" i="1"/>
  <c r="A11609" i="1"/>
  <c r="B11609" i="1"/>
  <c r="C11609" i="1"/>
  <c r="A10632" i="1"/>
  <c r="B10632" i="1"/>
  <c r="C10632" i="1"/>
  <c r="A10633" i="1"/>
  <c r="B10633" i="1"/>
  <c r="C10633" i="1"/>
  <c r="A3168" i="1"/>
  <c r="B3168" i="1"/>
  <c r="C3168" i="1"/>
  <c r="A3579" i="1"/>
  <c r="B3579" i="1"/>
  <c r="C3579" i="1"/>
  <c r="A12274" i="1"/>
  <c r="B12274" i="1"/>
  <c r="C12274" i="1"/>
  <c r="A13131" i="1"/>
  <c r="B13131" i="1"/>
  <c r="C13131" i="1"/>
  <c r="A7198" i="1"/>
  <c r="B7198" i="1"/>
  <c r="C7198" i="1"/>
  <c r="A10737" i="1"/>
  <c r="B10737" i="1"/>
  <c r="C10737" i="1"/>
  <c r="A4138" i="1"/>
  <c r="B4138" i="1"/>
  <c r="C4138" i="1"/>
  <c r="A12115" i="1"/>
  <c r="B12115" i="1"/>
  <c r="C12115" i="1"/>
  <c r="A2205" i="1"/>
  <c r="B2205" i="1"/>
  <c r="C2205" i="1"/>
  <c r="A4602" i="1"/>
  <c r="B4602" i="1"/>
  <c r="C4602" i="1"/>
  <c r="A7738" i="1"/>
  <c r="B7738" i="1"/>
  <c r="C7738" i="1"/>
  <c r="A11073" i="1"/>
  <c r="B11073" i="1"/>
  <c r="C11073" i="1"/>
  <c r="A3188" i="1"/>
  <c r="B3188" i="1"/>
  <c r="C3188" i="1"/>
  <c r="A7785" i="1"/>
  <c r="B7785" i="1"/>
  <c r="C7785" i="1"/>
  <c r="A11089" i="1"/>
  <c r="B11089" i="1"/>
  <c r="C11089" i="1"/>
  <c r="A1574" i="1"/>
  <c r="B1574" i="1"/>
  <c r="C1574" i="1"/>
  <c r="A12948" i="1"/>
  <c r="B12948" i="1"/>
  <c r="C12948" i="1"/>
  <c r="A9777" i="1"/>
  <c r="B9777" i="1"/>
  <c r="C9777" i="1"/>
  <c r="A13934" i="1"/>
  <c r="B13934" i="1"/>
  <c r="C13934" i="1"/>
  <c r="A11829" i="1"/>
  <c r="B11829" i="1"/>
  <c r="C11829" i="1"/>
  <c r="A12935" i="1"/>
  <c r="B12935" i="1"/>
  <c r="C12935" i="1"/>
  <c r="A6223" i="1"/>
  <c r="B6223" i="1"/>
  <c r="C6223" i="1"/>
  <c r="A10320" i="1"/>
  <c r="B10320" i="1"/>
  <c r="C10320" i="1"/>
  <c r="A3544" i="1"/>
  <c r="B3544" i="1"/>
  <c r="C3544" i="1"/>
  <c r="A10747" i="1"/>
  <c r="B10747" i="1"/>
  <c r="C10747" i="1"/>
  <c r="A5454" i="1"/>
  <c r="B5454" i="1"/>
  <c r="C5454" i="1"/>
  <c r="A10088" i="1"/>
  <c r="B10088" i="1"/>
  <c r="C10088" i="1"/>
  <c r="A8739" i="1"/>
  <c r="B8739" i="1"/>
  <c r="C8739" i="1"/>
  <c r="A8420" i="1"/>
  <c r="B8420" i="1"/>
  <c r="C8420" i="1"/>
  <c r="A1691" i="1"/>
  <c r="B1691" i="1"/>
  <c r="C1691" i="1"/>
  <c r="A4181" i="1"/>
  <c r="B4181" i="1"/>
  <c r="C4181" i="1"/>
  <c r="A1004" i="1"/>
  <c r="B1004" i="1"/>
  <c r="C1004" i="1"/>
  <c r="A1394" i="1"/>
  <c r="B1394" i="1"/>
  <c r="C1394" i="1"/>
  <c r="A1516" i="1"/>
  <c r="B1516" i="1"/>
  <c r="C1516" i="1"/>
  <c r="A10979" i="1"/>
  <c r="B10979" i="1"/>
  <c r="C10979" i="1"/>
  <c r="A13408" i="1"/>
  <c r="B13408" i="1"/>
  <c r="C13408" i="1"/>
  <c r="A12282" i="1"/>
  <c r="B12282" i="1"/>
  <c r="C12282" i="1"/>
  <c r="A943" i="1"/>
  <c r="B943" i="1"/>
  <c r="C943" i="1"/>
  <c r="A11196" i="1"/>
  <c r="B11196" i="1"/>
  <c r="C11196" i="1"/>
  <c r="A11197" i="1"/>
  <c r="B11197" i="1"/>
  <c r="C11197" i="1"/>
  <c r="A4607" i="1"/>
  <c r="B4607" i="1"/>
  <c r="C4607" i="1"/>
  <c r="A10371" i="1"/>
  <c r="B10371" i="1"/>
  <c r="C10371" i="1"/>
  <c r="A4394" i="1"/>
  <c r="B4394" i="1"/>
  <c r="C4394" i="1"/>
  <c r="A10786" i="1"/>
  <c r="B10786" i="1"/>
  <c r="C10786" i="1"/>
  <c r="A2287" i="1"/>
  <c r="B2287" i="1"/>
  <c r="C2287" i="1"/>
  <c r="A6499" i="1"/>
  <c r="B6499" i="1"/>
  <c r="C6499" i="1"/>
  <c r="A6585" i="1"/>
  <c r="B6585" i="1"/>
  <c r="C6585" i="1"/>
  <c r="A10051" i="1"/>
  <c r="B10051" i="1"/>
  <c r="C10051" i="1"/>
  <c r="A11134" i="1"/>
  <c r="B11134" i="1"/>
  <c r="C11134" i="1"/>
  <c r="A5105" i="1"/>
  <c r="B5105" i="1"/>
  <c r="C5105" i="1"/>
  <c r="A9568" i="1"/>
  <c r="B9568" i="1"/>
  <c r="C9568" i="1"/>
  <c r="A2088" i="1"/>
  <c r="B2088" i="1"/>
  <c r="C2088" i="1"/>
  <c r="A3899" i="1"/>
  <c r="B3899" i="1"/>
  <c r="C3899" i="1"/>
  <c r="A7719" i="1"/>
  <c r="B7719" i="1"/>
  <c r="C7719" i="1"/>
  <c r="A8379" i="1"/>
  <c r="B8379" i="1"/>
  <c r="C8379" i="1"/>
  <c r="A626" i="1"/>
  <c r="B626" i="1"/>
  <c r="C626" i="1"/>
  <c r="A11275" i="1"/>
  <c r="B11275" i="1"/>
  <c r="C11275" i="1"/>
  <c r="A13599" i="1"/>
  <c r="B13599" i="1"/>
  <c r="C13599" i="1"/>
  <c r="A3930" i="1"/>
  <c r="B3930" i="1"/>
  <c r="C3930" i="1"/>
  <c r="A9687" i="1"/>
  <c r="B9687" i="1"/>
  <c r="C9687" i="1"/>
  <c r="A1440" i="1"/>
  <c r="B1440" i="1"/>
  <c r="C1440" i="1"/>
  <c r="A654" i="1"/>
  <c r="B654" i="1"/>
  <c r="C654" i="1"/>
  <c r="A4026" i="1"/>
  <c r="B4026" i="1"/>
  <c r="C4026" i="1"/>
  <c r="A2077" i="1"/>
  <c r="B2077" i="1"/>
  <c r="C2077" i="1"/>
  <c r="A8958" i="1"/>
  <c r="B8958" i="1"/>
  <c r="C8958" i="1"/>
  <c r="A12869" i="1"/>
  <c r="B12869" i="1"/>
  <c r="C12869" i="1"/>
  <c r="A3981" i="1"/>
  <c r="B3981" i="1"/>
  <c r="C3981" i="1"/>
  <c r="A2026" i="1"/>
  <c r="B2026" i="1"/>
  <c r="C2026" i="1"/>
  <c r="A1711" i="1"/>
  <c r="B1711" i="1"/>
  <c r="C1711" i="1"/>
  <c r="A10344" i="1"/>
  <c r="B10344" i="1"/>
  <c r="C10344" i="1"/>
  <c r="A5674" i="1"/>
  <c r="B5674" i="1"/>
  <c r="C5674" i="1"/>
  <c r="A4815" i="1"/>
  <c r="B4815" i="1"/>
  <c r="C4815" i="1"/>
  <c r="A9496" i="1"/>
  <c r="B9496" i="1"/>
  <c r="C9496" i="1"/>
  <c r="A8298" i="1"/>
  <c r="B8298" i="1"/>
  <c r="C8298" i="1"/>
  <c r="A617" i="1"/>
  <c r="B617" i="1"/>
  <c r="C617" i="1"/>
  <c r="A153" i="1"/>
  <c r="B153" i="1"/>
  <c r="C153" i="1"/>
  <c r="A11245" i="1"/>
  <c r="B11245" i="1"/>
  <c r="C11245" i="1"/>
  <c r="A9077" i="1"/>
  <c r="B9077" i="1"/>
  <c r="C9077" i="1"/>
  <c r="A11117" i="1"/>
  <c r="B11117" i="1"/>
  <c r="C11117" i="1"/>
  <c r="A13394" i="1"/>
  <c r="B13394" i="1"/>
  <c r="C13394" i="1"/>
  <c r="A3848" i="1"/>
  <c r="B3848" i="1"/>
  <c r="C3848" i="1"/>
  <c r="A3849" i="1"/>
  <c r="B3849" i="1"/>
  <c r="C3849" i="1"/>
  <c r="A3850" i="1"/>
  <c r="B3850" i="1"/>
  <c r="C3850" i="1"/>
  <c r="A6778" i="1"/>
  <c r="B6778" i="1"/>
  <c r="C6778" i="1"/>
  <c r="A11119" i="1"/>
  <c r="B11119" i="1"/>
  <c r="C11119" i="1"/>
  <c r="A3431" i="1"/>
  <c r="B3431" i="1"/>
  <c r="C3431" i="1"/>
  <c r="A6765" i="1"/>
  <c r="B6765" i="1"/>
  <c r="C6765" i="1"/>
  <c r="A10096" i="1"/>
  <c r="B10096" i="1"/>
  <c r="C10096" i="1"/>
  <c r="A10097" i="1"/>
  <c r="B10097" i="1"/>
  <c r="C10097" i="1"/>
  <c r="A10447" i="1"/>
  <c r="B10447" i="1"/>
  <c r="C10447" i="1"/>
  <c r="A8814" i="1"/>
  <c r="B8814" i="1"/>
  <c r="C8814" i="1"/>
  <c r="A11807" i="1"/>
  <c r="B11807" i="1"/>
  <c r="C11807" i="1"/>
  <c r="A4564" i="1"/>
  <c r="B4564" i="1"/>
  <c r="C4564" i="1"/>
  <c r="A7755" i="1"/>
  <c r="B7755" i="1"/>
  <c r="C7755" i="1"/>
  <c r="A7254" i="1"/>
  <c r="B7254" i="1"/>
  <c r="C7254" i="1"/>
  <c r="A365" i="1"/>
  <c r="B365" i="1"/>
  <c r="C365" i="1"/>
  <c r="A9813" i="1"/>
  <c r="B9813" i="1"/>
  <c r="C9813" i="1"/>
  <c r="A2105" i="1"/>
  <c r="B2105" i="1"/>
  <c r="C2105" i="1"/>
  <c r="A8165" i="1"/>
  <c r="B8165" i="1"/>
  <c r="C8165" i="1"/>
  <c r="A9041" i="1"/>
  <c r="B9041" i="1"/>
  <c r="C9041" i="1"/>
  <c r="A3512" i="1"/>
  <c r="B3512" i="1"/>
  <c r="C3512" i="1"/>
  <c r="A11246" i="1"/>
  <c r="B11246" i="1"/>
  <c r="C11246" i="1"/>
  <c r="A1445" i="1"/>
  <c r="B1445" i="1"/>
  <c r="C1445" i="1"/>
  <c r="A7891" i="1"/>
  <c r="B7891" i="1"/>
  <c r="C7891" i="1"/>
  <c r="A368" i="1"/>
  <c r="B368" i="1"/>
  <c r="C368" i="1"/>
  <c r="A6282" i="1"/>
  <c r="B6282" i="1"/>
  <c r="C6282" i="1"/>
  <c r="A7689" i="1"/>
  <c r="B7689" i="1"/>
  <c r="A1925" i="1"/>
  <c r="B1925" i="1"/>
  <c r="C1925" i="1"/>
  <c r="A6998" i="1"/>
  <c r="B6998" i="1"/>
  <c r="C6998" i="1"/>
  <c r="A6433" i="1"/>
  <c r="B6433" i="1"/>
  <c r="C6433" i="1"/>
  <c r="A5846" i="1"/>
  <c r="B5846" i="1"/>
  <c r="C5846" i="1"/>
  <c r="A8794" i="1"/>
  <c r="B8794" i="1"/>
  <c r="C8794" i="1"/>
  <c r="A6760" i="1"/>
  <c r="B6760" i="1"/>
  <c r="C6760" i="1"/>
  <c r="A6453" i="1"/>
  <c r="B6453" i="1"/>
  <c r="C6453" i="1"/>
  <c r="A10828" i="1"/>
  <c r="B10828" i="1"/>
  <c r="C10828" i="1"/>
  <c r="A5095" i="1"/>
  <c r="B5095" i="1"/>
  <c r="C5095" i="1"/>
  <c r="A7518" i="1"/>
  <c r="B7518" i="1"/>
  <c r="C7518" i="1"/>
  <c r="A10996" i="1"/>
  <c r="B10996" i="1"/>
  <c r="C10996" i="1"/>
  <c r="A6697" i="1"/>
  <c r="B6697" i="1"/>
  <c r="C6697" i="1"/>
  <c r="A3276" i="1"/>
  <c r="B3276" i="1"/>
  <c r="C3276" i="1"/>
  <c r="A1364" i="1"/>
  <c r="B1364" i="1"/>
  <c r="C1364" i="1"/>
  <c r="A1365" i="1"/>
  <c r="B1365" i="1"/>
  <c r="C1365" i="1"/>
  <c r="A6398" i="1"/>
  <c r="B6398" i="1"/>
  <c r="C6398" i="1"/>
  <c r="A4295" i="1"/>
  <c r="B4295" i="1"/>
  <c r="C4295" i="1"/>
  <c r="A4782" i="1"/>
  <c r="B4782" i="1"/>
  <c r="C4782" i="1"/>
  <c r="A3556" i="1"/>
  <c r="B3556" i="1"/>
  <c r="C3556" i="1"/>
  <c r="A3436" i="1"/>
  <c r="B3436" i="1"/>
  <c r="C3436" i="1"/>
  <c r="A12211" i="1"/>
  <c r="B12211" i="1"/>
  <c r="C12211" i="1"/>
  <c r="A11294" i="1"/>
  <c r="B11294" i="1"/>
  <c r="C11294" i="1"/>
  <c r="A7756" i="1"/>
  <c r="B7756" i="1"/>
  <c r="C7756" i="1"/>
  <c r="A9353" i="1"/>
  <c r="B9353" i="1"/>
  <c r="C9353" i="1"/>
  <c r="A8618" i="1"/>
  <c r="B8618" i="1"/>
  <c r="C8618" i="1"/>
  <c r="A6606" i="1"/>
  <c r="B6606" i="1"/>
  <c r="C6606" i="1"/>
  <c r="A11726" i="1"/>
  <c r="B11726" i="1"/>
  <c r="C11726" i="1"/>
  <c r="A1839" i="1"/>
  <c r="B1839" i="1"/>
  <c r="C1839" i="1"/>
  <c r="A13479" i="1"/>
  <c r="B13479" i="1"/>
  <c r="C13479" i="1"/>
  <c r="A10095" i="1"/>
  <c r="B10095" i="1"/>
  <c r="C10095" i="1"/>
  <c r="A10986" i="1"/>
  <c r="B10986" i="1"/>
  <c r="C10986" i="1"/>
  <c r="A8270" i="1"/>
  <c r="B8270" i="1"/>
  <c r="C8270" i="1"/>
  <c r="A11781" i="1"/>
  <c r="B11781" i="1"/>
  <c r="C11781" i="1"/>
  <c r="A12042" i="1"/>
  <c r="B12042" i="1"/>
  <c r="C12042" i="1"/>
  <c r="A4676" i="1"/>
  <c r="B4676" i="1"/>
  <c r="C4676" i="1"/>
  <c r="A7671" i="1"/>
  <c r="B7671" i="1"/>
  <c r="C7671" i="1"/>
  <c r="A2162" i="1"/>
  <c r="B2162" i="1"/>
  <c r="C2162" i="1"/>
  <c r="A11240" i="1"/>
  <c r="B11240" i="1"/>
  <c r="C11240" i="1"/>
  <c r="A8872" i="1"/>
  <c r="B8872" i="1"/>
  <c r="C8872" i="1"/>
  <c r="A13632" i="1"/>
  <c r="B13632" i="1"/>
  <c r="C13632" i="1"/>
  <c r="A13132" i="1"/>
  <c r="B13132" i="1"/>
  <c r="C13132" i="1"/>
  <c r="A1352" i="1"/>
  <c r="B1352" i="1"/>
  <c r="C1352" i="1"/>
  <c r="A6415" i="1"/>
  <c r="B6415" i="1"/>
  <c r="C6415" i="1"/>
  <c r="A8099" i="1"/>
  <c r="B8099" i="1"/>
  <c r="C8099" i="1"/>
  <c r="A13238" i="1"/>
  <c r="B13238" i="1"/>
  <c r="C13238" i="1"/>
  <c r="A9374" i="1"/>
  <c r="B9374" i="1"/>
  <c r="C9374" i="1"/>
  <c r="A280" i="1"/>
  <c r="B280" i="1"/>
  <c r="C280" i="1"/>
  <c r="A9723" i="1"/>
  <c r="B9723" i="1"/>
  <c r="C9723" i="1"/>
  <c r="A5178" i="1"/>
  <c r="B5178" i="1"/>
  <c r="C5178" i="1"/>
  <c r="A10634" i="1"/>
  <c r="B10634" i="1"/>
  <c r="C10634" i="1"/>
  <c r="A8682" i="1"/>
  <c r="B8682" i="1"/>
  <c r="C8682" i="1"/>
  <c r="A11661" i="1"/>
  <c r="B11661" i="1"/>
  <c r="C11661" i="1"/>
  <c r="A8318" i="1"/>
  <c r="B8318" i="1"/>
  <c r="C8318" i="1"/>
  <c r="A584" i="1"/>
  <c r="B584" i="1"/>
  <c r="C584" i="1"/>
  <c r="A11555" i="1"/>
  <c r="B11555" i="1"/>
  <c r="C11555" i="1"/>
  <c r="A12236" i="1"/>
  <c r="B12236" i="1"/>
  <c r="C12236" i="1"/>
  <c r="A4287" i="1"/>
  <c r="B4287" i="1"/>
  <c r="C4287" i="1"/>
  <c r="A13212" i="1"/>
  <c r="B13212" i="1"/>
  <c r="C13212" i="1"/>
  <c r="A13652" i="1"/>
  <c r="B13652" i="1"/>
  <c r="C13652" i="1"/>
  <c r="A728" i="1"/>
  <c r="B728" i="1"/>
  <c r="C728" i="1"/>
  <c r="A13527" i="1"/>
  <c r="B13527" i="1"/>
  <c r="C13527" i="1"/>
  <c r="A11888" i="1"/>
  <c r="B11888" i="1"/>
  <c r="C11888" i="1"/>
  <c r="A1512" i="1"/>
  <c r="B1512" i="1"/>
  <c r="C1512" i="1"/>
  <c r="A6028" i="1"/>
  <c r="B6028" i="1"/>
  <c r="C6028" i="1"/>
  <c r="A3321" i="1"/>
  <c r="B3321" i="1"/>
  <c r="C3321" i="1"/>
  <c r="A11407" i="1"/>
  <c r="B11407" i="1"/>
  <c r="C11407" i="1"/>
  <c r="A5475" i="1"/>
  <c r="B5475" i="1"/>
  <c r="C5475" i="1"/>
  <c r="A11311" i="1"/>
  <c r="B11311" i="1"/>
  <c r="C11311" i="1"/>
  <c r="A12244" i="1"/>
  <c r="B12244" i="1"/>
  <c r="C12244" i="1"/>
  <c r="A11445" i="1"/>
  <c r="B11445" i="1"/>
  <c r="C11445" i="1"/>
  <c r="A8950" i="1"/>
  <c r="B8950" i="1"/>
  <c r="C8950" i="1"/>
  <c r="A113" i="1"/>
  <c r="B113" i="1"/>
  <c r="C113" i="1"/>
  <c r="A13905" i="1"/>
  <c r="B13905" i="1"/>
  <c r="C13905" i="1"/>
  <c r="A4040" i="1"/>
  <c r="B4040" i="1"/>
  <c r="C4040" i="1"/>
  <c r="A9164" i="1"/>
  <c r="B9164" i="1"/>
  <c r="C9164" i="1"/>
  <c r="A4549" i="1"/>
  <c r="B4549" i="1"/>
  <c r="C4549" i="1"/>
  <c r="A12309" i="1"/>
  <c r="B12309" i="1"/>
  <c r="C12309" i="1"/>
  <c r="A4218" i="1"/>
  <c r="B4218" i="1"/>
  <c r="C4218" i="1"/>
  <c r="A12386" i="1"/>
  <c r="B12386" i="1"/>
  <c r="C12386" i="1"/>
  <c r="A126" i="1"/>
  <c r="B126" i="1"/>
  <c r="C126" i="1"/>
  <c r="A11938" i="1"/>
  <c r="B11938" i="1"/>
  <c r="C11938" i="1"/>
  <c r="A6891" i="1"/>
  <c r="B6891" i="1"/>
  <c r="C6891" i="1"/>
  <c r="A10635" i="1"/>
  <c r="B10635" i="1"/>
  <c r="C10635" i="1"/>
  <c r="A10636" i="1"/>
  <c r="B10636" i="1"/>
  <c r="C10636" i="1"/>
  <c r="A4691" i="1"/>
  <c r="B4691" i="1"/>
  <c r="C4691" i="1"/>
  <c r="A7265" i="1"/>
  <c r="B7265" i="1"/>
  <c r="C7265" i="1"/>
  <c r="A4649" i="1"/>
  <c r="B4649" i="1"/>
  <c r="C4649" i="1"/>
  <c r="A4437" i="1"/>
  <c r="B4437" i="1"/>
  <c r="C4437" i="1"/>
  <c r="A9634" i="1"/>
  <c r="B9634" i="1"/>
  <c r="C9634" i="1"/>
  <c r="A12098" i="1"/>
  <c r="B12098" i="1"/>
  <c r="C12098" i="1"/>
  <c r="A13816" i="1"/>
  <c r="B13816" i="1"/>
  <c r="C13816" i="1"/>
  <c r="A5685" i="1"/>
  <c r="B5685" i="1"/>
  <c r="C5685" i="1"/>
  <c r="A2008" i="1"/>
  <c r="B2008" i="1"/>
  <c r="C2008" i="1"/>
  <c r="A9095" i="1"/>
  <c r="B9095" i="1"/>
  <c r="C9095" i="1"/>
  <c r="A1718" i="1"/>
  <c r="B1718" i="1"/>
  <c r="C1718" i="1"/>
  <c r="A7572" i="1"/>
  <c r="B7572" i="1"/>
  <c r="C7572" i="1"/>
  <c r="A2759" i="1"/>
  <c r="B2759" i="1"/>
  <c r="C2759" i="1"/>
  <c r="A5715" i="1"/>
  <c r="B5715" i="1"/>
  <c r="C5715" i="1"/>
  <c r="A5716" i="1"/>
  <c r="B5716" i="1"/>
  <c r="C5716" i="1"/>
  <c r="A5717" i="1"/>
  <c r="B5717" i="1"/>
  <c r="C5717" i="1"/>
  <c r="A5718" i="1"/>
  <c r="B5718" i="1"/>
  <c r="C5718" i="1"/>
  <c r="A5719" i="1"/>
  <c r="B5719" i="1"/>
  <c r="C5719" i="1"/>
  <c r="A10244" i="1"/>
  <c r="B10244" i="1"/>
  <c r="C10244" i="1"/>
  <c r="A13586" i="1"/>
  <c r="B13586" i="1"/>
  <c r="C13586" i="1"/>
  <c r="A12542" i="1"/>
  <c r="B12542" i="1"/>
  <c r="C12542" i="1"/>
  <c r="A13682" i="1"/>
  <c r="B13682" i="1"/>
  <c r="C13682" i="1"/>
  <c r="A1226" i="1"/>
  <c r="B1226" i="1"/>
  <c r="C1226" i="1"/>
  <c r="A4932" i="1"/>
  <c r="B4932" i="1"/>
  <c r="C4932" i="1"/>
  <c r="A10142" i="1"/>
  <c r="B10142" i="1"/>
  <c r="C10142" i="1"/>
  <c r="A13560" i="1"/>
  <c r="B13560" i="1"/>
  <c r="C13560" i="1"/>
  <c r="A8835" i="1"/>
  <c r="B8835" i="1"/>
  <c r="C8835" i="1"/>
  <c r="A4912" i="1"/>
  <c r="B4912" i="1"/>
  <c r="C4912" i="1"/>
  <c r="A4913" i="1"/>
  <c r="B4913" i="1"/>
  <c r="C4913" i="1"/>
  <c r="A100" i="1"/>
  <c r="B100" i="1"/>
  <c r="C100" i="1"/>
  <c r="A3783" i="1"/>
  <c r="B3783" i="1"/>
  <c r="C3783" i="1"/>
  <c r="A3287" i="1"/>
  <c r="B3287" i="1"/>
  <c r="C3287" i="1"/>
  <c r="A8985" i="1"/>
  <c r="B8985" i="1"/>
  <c r="C8985" i="1"/>
  <c r="A10954" i="1"/>
  <c r="B10954" i="1"/>
  <c r="C10954" i="1"/>
  <c r="A7665" i="1"/>
  <c r="B7665" i="1"/>
  <c r="C7665" i="1"/>
  <c r="A2175" i="1"/>
  <c r="B2175" i="1"/>
  <c r="C2175" i="1"/>
  <c r="A653" i="1"/>
  <c r="B653" i="1"/>
  <c r="C653" i="1"/>
  <c r="A1661" i="1"/>
  <c r="B1661" i="1"/>
  <c r="C1661" i="1"/>
  <c r="A3059" i="1"/>
  <c r="B3059" i="1"/>
  <c r="C3059" i="1"/>
  <c r="A12171" i="1"/>
  <c r="B12171" i="1"/>
  <c r="C12171" i="1"/>
  <c r="A9586" i="1"/>
  <c r="B9586" i="1"/>
  <c r="C9586" i="1"/>
  <c r="A1157" i="1"/>
  <c r="B1157" i="1"/>
  <c r="C1157" i="1"/>
  <c r="A13168" i="1"/>
  <c r="B13168" i="1"/>
  <c r="C13168" i="1"/>
  <c r="A935" i="1"/>
  <c r="B935" i="1"/>
  <c r="C935" i="1"/>
  <c r="A9160" i="1"/>
  <c r="B9160" i="1"/>
  <c r="C9160" i="1"/>
  <c r="A1562" i="1"/>
  <c r="B1562" i="1"/>
  <c r="C1562" i="1"/>
  <c r="A2065" i="1"/>
  <c r="B2065" i="1"/>
  <c r="C2065" i="1"/>
  <c r="A4771" i="1"/>
  <c r="B4771" i="1"/>
  <c r="C4771" i="1"/>
  <c r="A8961" i="1"/>
  <c r="B8961" i="1"/>
  <c r="C8961" i="1"/>
  <c r="A13600" i="1"/>
  <c r="B13600" i="1"/>
  <c r="C13600" i="1"/>
  <c r="A10469" i="1"/>
  <c r="B10469" i="1"/>
  <c r="C10469" i="1"/>
  <c r="A8048" i="1"/>
  <c r="B8048" i="1"/>
  <c r="C8048" i="1"/>
  <c r="A12428" i="1"/>
  <c r="B12428" i="1"/>
  <c r="C12428" i="1"/>
  <c r="A9543" i="1"/>
  <c r="B9543" i="1"/>
  <c r="C9543" i="1"/>
  <c r="A5021" i="1"/>
  <c r="B5021" i="1"/>
  <c r="C5021" i="1"/>
  <c r="A5022" i="1"/>
  <c r="B5022" i="1"/>
  <c r="C5022" i="1"/>
  <c r="A7172" i="1"/>
  <c r="B7172" i="1"/>
  <c r="C7172" i="1"/>
  <c r="A13147" i="1"/>
  <c r="B13147" i="1"/>
  <c r="C13147" i="1"/>
  <c r="A11200" i="1"/>
  <c r="B11200" i="1"/>
  <c r="C11200" i="1"/>
  <c r="A4364" i="1"/>
  <c r="B4364" i="1"/>
  <c r="C4364" i="1"/>
  <c r="A5474" i="1"/>
  <c r="B5474" i="1"/>
  <c r="C5474" i="1"/>
  <c r="A4385" i="1"/>
  <c r="B4385" i="1"/>
  <c r="C4385" i="1"/>
  <c r="A1476" i="1"/>
  <c r="B1476" i="1"/>
  <c r="C1476" i="1"/>
  <c r="A8638" i="1"/>
  <c r="B8638" i="1"/>
  <c r="C8638" i="1"/>
  <c r="A1143" i="1"/>
  <c r="B1143" i="1"/>
  <c r="C1143" i="1"/>
  <c r="A8173" i="1"/>
  <c r="B8173" i="1"/>
  <c r="A4199" i="1"/>
  <c r="B4199" i="1"/>
  <c r="C4199" i="1"/>
  <c r="A8143" i="1"/>
  <c r="B8143" i="1"/>
  <c r="C8143" i="1"/>
  <c r="A12835" i="1"/>
  <c r="B12835" i="1"/>
  <c r="C12835" i="1"/>
  <c r="A901" i="1"/>
  <c r="B901" i="1"/>
  <c r="C901" i="1"/>
  <c r="A8114" i="1"/>
  <c r="B8114" i="1"/>
  <c r="C8114" i="1"/>
  <c r="A7039" i="1"/>
  <c r="B7039" i="1"/>
  <c r="C7039" i="1"/>
  <c r="A2567" i="1"/>
  <c r="B2567" i="1"/>
  <c r="C2567" i="1"/>
  <c r="A10552" i="1"/>
  <c r="B10552" i="1"/>
  <c r="C10552" i="1"/>
  <c r="A6779" i="1"/>
  <c r="B6779" i="1"/>
  <c r="C6779" i="1"/>
  <c r="A8743" i="1"/>
  <c r="B8743" i="1"/>
  <c r="C8743" i="1"/>
  <c r="A3538" i="1"/>
  <c r="B3538" i="1"/>
  <c r="C3538" i="1"/>
  <c r="A4361" i="1"/>
  <c r="B4361" i="1"/>
  <c r="C4361" i="1"/>
  <c r="A13621" i="1"/>
  <c r="B13621" i="1"/>
  <c r="C13621" i="1"/>
  <c r="A2960" i="1"/>
  <c r="B2960" i="1"/>
  <c r="C2960" i="1"/>
  <c r="A2919" i="1"/>
  <c r="B2919" i="1"/>
  <c r="C2919" i="1"/>
  <c r="A13758" i="1"/>
  <c r="B13758" i="1"/>
  <c r="C13758" i="1"/>
  <c r="A13759" i="1"/>
  <c r="B13759" i="1"/>
  <c r="C13759" i="1"/>
  <c r="A13760" i="1"/>
  <c r="B13760" i="1"/>
  <c r="C13760" i="1"/>
  <c r="A4924" i="1"/>
  <c r="B4924" i="1"/>
  <c r="C4924" i="1"/>
  <c r="A3012" i="1"/>
  <c r="B3012" i="1"/>
  <c r="C3012" i="1"/>
  <c r="A4429" i="1"/>
  <c r="B4429" i="1"/>
  <c r="C4429" i="1"/>
  <c r="A3629" i="1"/>
  <c r="B3629" i="1"/>
  <c r="C3629" i="1"/>
  <c r="A6255" i="1"/>
  <c r="B6255" i="1"/>
  <c r="C6255" i="1"/>
  <c r="A11431" i="1"/>
  <c r="B11431" i="1"/>
  <c r="C11431" i="1"/>
  <c r="A12032" i="1"/>
  <c r="B12032" i="1"/>
  <c r="C12032" i="1"/>
  <c r="A3038" i="1"/>
  <c r="B3038" i="1"/>
  <c r="C3038" i="1"/>
  <c r="A1734" i="1"/>
  <c r="B1734" i="1"/>
  <c r="C1734" i="1"/>
  <c r="A2142" i="1"/>
  <c r="B2142" i="1"/>
  <c r="C2142" i="1"/>
  <c r="A9690" i="1"/>
  <c r="B9690" i="1"/>
  <c r="C9690" i="1"/>
  <c r="A7417" i="1"/>
  <c r="B7417" i="1"/>
  <c r="C7417" i="1"/>
  <c r="A10829" i="1"/>
  <c r="B10829" i="1"/>
  <c r="C10829" i="1"/>
  <c r="A3977" i="1"/>
  <c r="B3977" i="1"/>
  <c r="C3977" i="1"/>
  <c r="A2869" i="1"/>
  <c r="B2869" i="1"/>
  <c r="C2869" i="1"/>
  <c r="A13367" i="1"/>
  <c r="B13367" i="1"/>
  <c r="C13367" i="1"/>
  <c r="A2501" i="1"/>
  <c r="B2501" i="1"/>
  <c r="C2501" i="1"/>
  <c r="A7224" i="1"/>
  <c r="B7224" i="1"/>
  <c r="C7224" i="1"/>
  <c r="A7225" i="1"/>
  <c r="B7225" i="1"/>
  <c r="C7225" i="1"/>
  <c r="A7983" i="1"/>
  <c r="B7983" i="1"/>
  <c r="C7983" i="1"/>
  <c r="A2433" i="1"/>
  <c r="B2433" i="1"/>
  <c r="C2433" i="1"/>
  <c r="A7410" i="1"/>
  <c r="B7410" i="1"/>
  <c r="C7410" i="1"/>
  <c r="A3601" i="1"/>
  <c r="B3601" i="1"/>
  <c r="C3601" i="1"/>
  <c r="A2377" i="1"/>
  <c r="B2377" i="1"/>
  <c r="C2377" i="1"/>
  <c r="A916" i="1"/>
  <c r="B916" i="1"/>
  <c r="C916" i="1"/>
  <c r="A11318" i="1"/>
  <c r="B11318" i="1"/>
  <c r="C11318" i="1"/>
  <c r="A9703" i="1"/>
  <c r="B9703" i="1"/>
  <c r="C9703" i="1"/>
  <c r="A4685" i="1"/>
  <c r="B4685" i="1"/>
  <c r="C4685" i="1"/>
  <c r="A4686" i="1"/>
  <c r="B4686" i="1"/>
  <c r="C4686" i="1"/>
  <c r="A13859" i="1"/>
  <c r="B13859" i="1"/>
  <c r="C13859" i="1"/>
  <c r="A8336" i="1"/>
  <c r="B8336" i="1"/>
  <c r="C8336" i="1"/>
  <c r="A3143" i="1"/>
  <c r="B3143" i="1"/>
  <c r="C3143" i="1"/>
  <c r="A5075" i="1"/>
  <c r="B5075" i="1"/>
  <c r="C5075" i="1"/>
  <c r="A5076" i="1"/>
  <c r="B5076" i="1"/>
  <c r="C5076" i="1"/>
  <c r="A5077" i="1"/>
  <c r="B5077" i="1"/>
  <c r="C5077" i="1"/>
  <c r="A13929" i="1"/>
  <c r="B13929" i="1"/>
  <c r="C13929" i="1"/>
  <c r="A2741" i="1"/>
  <c r="B2741" i="1"/>
  <c r="C2741" i="1"/>
  <c r="A7609" i="1"/>
  <c r="B7609" i="1"/>
  <c r="C7609" i="1"/>
  <c r="A9769" i="1"/>
  <c r="B9769" i="1"/>
  <c r="C9769" i="1"/>
  <c r="A1510" i="1"/>
  <c r="B1510" i="1"/>
  <c r="C1510" i="1"/>
  <c r="A11588" i="1"/>
  <c r="B11588" i="1"/>
  <c r="C11588" i="1"/>
  <c r="A4020" i="1"/>
  <c r="B4020" i="1"/>
  <c r="C4020" i="1"/>
  <c r="A8353" i="1"/>
  <c r="B8353" i="1"/>
  <c r="C8353" i="1"/>
  <c r="A5185" i="1"/>
  <c r="B5185" i="1"/>
  <c r="C5185" i="1"/>
  <c r="A3575" i="1"/>
  <c r="B3575" i="1"/>
  <c r="C3575" i="1"/>
  <c r="A3576" i="1"/>
  <c r="B3576" i="1"/>
  <c r="C3576" i="1"/>
  <c r="A563" i="1"/>
  <c r="B563" i="1"/>
  <c r="C563" i="1"/>
  <c r="A12783" i="1"/>
  <c r="B12783" i="1"/>
  <c r="C12783" i="1"/>
  <c r="A1366" i="1"/>
  <c r="B1366" i="1"/>
  <c r="C1366" i="1"/>
  <c r="A10258" i="1"/>
  <c r="B10258" i="1"/>
  <c r="C10258" i="1"/>
  <c r="A12287" i="1"/>
  <c r="B12287" i="1"/>
  <c r="C12287" i="1"/>
  <c r="A12215" i="1"/>
  <c r="B12215" i="1"/>
  <c r="C12215" i="1"/>
  <c r="A13648" i="1"/>
  <c r="B13648" i="1"/>
  <c r="C13648" i="1"/>
  <c r="A11343" i="1"/>
  <c r="B11343" i="1"/>
  <c r="C11343" i="1"/>
  <c r="A12408" i="1"/>
  <c r="B12408" i="1"/>
  <c r="C12408" i="1"/>
  <c r="A6126" i="1"/>
  <c r="B6126" i="1"/>
  <c r="C6126" i="1"/>
  <c r="A9828" i="1"/>
  <c r="B9828" i="1"/>
  <c r="C9828" i="1"/>
  <c r="A5972" i="1"/>
  <c r="B5972" i="1"/>
  <c r="C5972" i="1"/>
  <c r="A2583" i="1"/>
  <c r="B2583" i="1"/>
  <c r="C2583" i="1"/>
  <c r="A1710" i="1"/>
  <c r="B1710" i="1"/>
  <c r="C1710" i="1"/>
  <c r="A11779" i="1"/>
  <c r="B11779" i="1"/>
  <c r="C11779" i="1"/>
  <c r="A6281" i="1"/>
  <c r="B6281" i="1"/>
  <c r="C6281" i="1"/>
  <c r="A3384" i="1"/>
  <c r="B3384" i="1"/>
  <c r="C3384" i="1"/>
  <c r="A1296" i="1"/>
  <c r="B1296" i="1"/>
  <c r="C1296" i="1"/>
  <c r="A7163" i="1"/>
  <c r="B7163" i="1"/>
  <c r="C7163" i="1"/>
  <c r="A11550" i="1"/>
  <c r="B11550" i="1"/>
  <c r="C11550" i="1"/>
  <c r="A1968" i="1"/>
  <c r="B1968" i="1"/>
  <c r="C1968" i="1"/>
  <c r="A3135" i="1"/>
  <c r="B3135" i="1"/>
  <c r="C3135" i="1"/>
  <c r="A7687" i="1"/>
  <c r="B7687" i="1"/>
  <c r="C7687" i="1"/>
  <c r="A12612" i="1"/>
  <c r="B12612" i="1"/>
  <c r="C12612" i="1"/>
  <c r="A10092" i="1"/>
  <c r="B10092" i="1"/>
  <c r="C10092" i="1"/>
  <c r="A10892" i="1"/>
  <c r="B10892" i="1"/>
  <c r="C10892" i="1"/>
  <c r="A7507" i="1"/>
  <c r="B7507" i="1"/>
  <c r="C7507" i="1"/>
  <c r="A7301" i="1"/>
  <c r="B7301" i="1"/>
  <c r="C7301" i="1"/>
  <c r="A4141" i="1"/>
  <c r="B4141" i="1"/>
  <c r="C4141" i="1"/>
  <c r="A4521" i="1"/>
  <c r="B4521" i="1"/>
  <c r="C4521" i="1"/>
  <c r="A4275" i="1"/>
  <c r="B4275" i="1"/>
  <c r="C4275" i="1"/>
  <c r="A3275" i="1"/>
  <c r="B3275" i="1"/>
  <c r="C3275" i="1"/>
  <c r="A11612" i="1"/>
  <c r="B11612" i="1"/>
  <c r="C11612" i="1"/>
  <c r="A8962" i="1"/>
  <c r="B8962" i="1"/>
  <c r="C8962" i="1"/>
  <c r="A6691" i="1"/>
  <c r="B6691" i="1"/>
  <c r="C6691" i="1"/>
  <c r="A13817" i="1"/>
  <c r="B13817" i="1"/>
  <c r="C13817" i="1"/>
  <c r="A7077" i="1"/>
  <c r="B7077" i="1"/>
  <c r="C7077" i="1"/>
  <c r="A10049" i="1"/>
  <c r="B10049" i="1"/>
  <c r="C10049" i="1"/>
  <c r="A10168" i="1"/>
  <c r="B10168" i="1"/>
  <c r="C10168" i="1"/>
  <c r="A8989" i="1"/>
  <c r="B8989" i="1"/>
  <c r="C8989" i="1"/>
  <c r="A5796" i="1"/>
  <c r="B5796" i="1"/>
  <c r="C5796" i="1"/>
  <c r="A3589" i="1"/>
  <c r="B3589" i="1"/>
  <c r="C3589" i="1"/>
  <c r="A2961" i="1"/>
  <c r="B2961" i="1"/>
  <c r="C2961" i="1"/>
  <c r="A1400" i="1"/>
  <c r="B1400" i="1"/>
  <c r="C1400" i="1"/>
  <c r="A1268" i="1"/>
  <c r="B1268" i="1"/>
  <c r="C1268" i="1"/>
  <c r="A1269" i="1"/>
  <c r="B1269" i="1"/>
  <c r="C1269" i="1"/>
  <c r="A680" i="1"/>
  <c r="B680" i="1"/>
  <c r="C680" i="1"/>
  <c r="A12387" i="1"/>
  <c r="B12387" i="1"/>
  <c r="C12387" i="1"/>
  <c r="A211" i="1"/>
  <c r="B211" i="1"/>
  <c r="C211" i="1"/>
  <c r="A3144" i="1"/>
  <c r="B3144" i="1"/>
  <c r="C3144" i="1"/>
  <c r="A10113" i="1"/>
  <c r="B10113" i="1"/>
  <c r="C10113" i="1"/>
  <c r="A7407" i="1"/>
  <c r="B7407" i="1"/>
  <c r="C7407" i="1"/>
  <c r="A2146" i="1"/>
  <c r="B2146" i="1"/>
  <c r="C2146" i="1"/>
  <c r="A7313" i="1"/>
  <c r="B7313" i="1"/>
  <c r="C7313" i="1"/>
  <c r="A11923" i="1"/>
  <c r="B11923" i="1"/>
  <c r="C11923" i="1"/>
  <c r="A8745" i="1"/>
  <c r="B8745" i="1"/>
  <c r="C8745" i="1"/>
  <c r="A11793" i="1"/>
  <c r="B11793" i="1"/>
  <c r="C11793" i="1"/>
  <c r="A3145" i="1"/>
  <c r="B3145" i="1"/>
  <c r="C3145" i="1"/>
  <c r="A10637" i="1"/>
  <c r="B10637" i="1"/>
  <c r="C10637" i="1"/>
  <c r="A10638" i="1"/>
  <c r="B10638" i="1"/>
  <c r="C10638" i="1"/>
  <c r="A11949" i="1"/>
  <c r="B11949" i="1"/>
  <c r="C11949" i="1"/>
  <c r="A2643" i="1"/>
  <c r="B2643" i="1"/>
  <c r="C2643" i="1"/>
  <c r="A9903" i="1"/>
  <c r="B9903" i="1"/>
  <c r="C9903" i="1"/>
  <c r="A3035" i="1"/>
  <c r="B3035" i="1"/>
  <c r="C3035" i="1"/>
  <c r="A10050" i="1"/>
  <c r="B10050" i="1"/>
  <c r="C10050" i="1"/>
  <c r="A11824" i="1"/>
  <c r="B11824" i="1"/>
  <c r="C11824" i="1"/>
  <c r="A11728" i="1"/>
  <c r="B11728" i="1"/>
  <c r="C11728" i="1"/>
  <c r="A1997" i="1"/>
  <c r="B1997" i="1"/>
  <c r="C1997" i="1"/>
  <c r="A9271" i="1"/>
  <c r="B9271" i="1"/>
  <c r="C9271" i="1"/>
  <c r="A12514" i="1"/>
  <c r="B12514" i="1"/>
  <c r="C12514" i="1"/>
  <c r="A5212" i="1"/>
  <c r="B5212" i="1"/>
  <c r="C5212" i="1"/>
  <c r="A10315" i="1"/>
  <c r="B10315" i="1"/>
  <c r="C10315" i="1"/>
  <c r="A4883" i="1"/>
  <c r="B4883" i="1"/>
  <c r="C4883" i="1"/>
  <c r="A9623" i="1"/>
  <c r="B9623" i="1"/>
  <c r="C9623" i="1"/>
  <c r="A6930" i="1"/>
  <c r="B6930" i="1"/>
  <c r="C6930" i="1"/>
  <c r="A6795" i="1"/>
  <c r="B6795" i="1"/>
  <c r="C6795" i="1"/>
  <c r="A11198" i="1"/>
  <c r="B11198" i="1"/>
  <c r="C11198" i="1"/>
  <c r="A8484" i="1"/>
  <c r="B8484" i="1"/>
  <c r="C8484" i="1"/>
  <c r="A2678" i="1"/>
  <c r="B2678" i="1"/>
  <c r="C2678" i="1"/>
  <c r="A7253" i="1"/>
  <c r="B7253" i="1"/>
  <c r="C7253" i="1"/>
  <c r="A13691" i="1"/>
  <c r="B13691" i="1"/>
  <c r="C13691" i="1"/>
  <c r="A8657" i="1"/>
  <c r="B8657" i="1"/>
  <c r="C8657" i="1"/>
  <c r="A7733" i="1"/>
  <c r="B7733" i="1"/>
  <c r="C7733" i="1"/>
  <c r="A5118" i="1"/>
  <c r="B5118" i="1"/>
  <c r="C5118" i="1"/>
  <c r="A8890" i="1"/>
  <c r="B8890" i="1"/>
  <c r="C8890" i="1"/>
  <c r="A5263" i="1"/>
  <c r="B5263" i="1"/>
  <c r="C5263" i="1"/>
  <c r="A7662" i="1"/>
  <c r="B7662" i="1"/>
  <c r="C7662" i="1"/>
  <c r="A13942" i="1"/>
  <c r="B13942" i="1"/>
  <c r="C13942" i="1"/>
  <c r="A3968" i="1"/>
  <c r="B3968" i="1"/>
  <c r="C3968" i="1"/>
  <c r="A5675" i="1"/>
  <c r="B5675" i="1"/>
  <c r="C5675" i="1"/>
  <c r="A7821" i="1"/>
  <c r="B7821" i="1"/>
  <c r="C7821" i="1"/>
  <c r="A11548" i="1"/>
  <c r="B11548" i="1"/>
  <c r="C11548" i="1"/>
  <c r="A1395" i="1"/>
  <c r="B1395" i="1"/>
  <c r="C1395" i="1"/>
  <c r="A12549" i="1"/>
  <c r="B12549" i="1"/>
  <c r="C12549" i="1"/>
  <c r="A11203" i="1"/>
  <c r="B11203" i="1"/>
  <c r="C11203" i="1"/>
  <c r="A10647" i="1"/>
  <c r="B10647" i="1"/>
  <c r="C10647" i="1"/>
  <c r="A1577" i="1"/>
  <c r="B1577" i="1"/>
  <c r="C1577" i="1"/>
  <c r="A1284" i="1"/>
  <c r="B1284" i="1"/>
  <c r="C1284" i="1"/>
  <c r="A11891" i="1"/>
  <c r="B11891" i="1"/>
  <c r="C11891" i="1"/>
  <c r="A12102" i="1"/>
  <c r="B12102" i="1"/>
  <c r="C12102" i="1"/>
  <c r="A8017" i="1"/>
  <c r="B8017" i="1"/>
  <c r="C8017" i="1"/>
  <c r="A2971" i="1"/>
  <c r="B2971" i="1"/>
  <c r="C2971" i="1"/>
  <c r="A9272" i="1"/>
  <c r="B9272" i="1"/>
  <c r="C9272" i="1"/>
  <c r="A9736" i="1"/>
  <c r="B9736" i="1"/>
  <c r="C9736" i="1"/>
  <c r="A3694" i="1"/>
  <c r="B3694" i="1"/>
  <c r="C3694" i="1"/>
  <c r="A11199" i="1"/>
  <c r="B11199" i="1"/>
  <c r="C11199" i="1"/>
  <c r="A9812" i="1"/>
  <c r="B9812" i="1"/>
  <c r="C9812" i="1"/>
  <c r="A1504" i="1"/>
  <c r="B1504" i="1"/>
  <c r="C1504" i="1"/>
  <c r="A8145" i="1"/>
  <c r="B8145" i="1"/>
  <c r="C8145" i="1"/>
  <c r="A4878" i="1"/>
  <c r="B4878" i="1"/>
  <c r="C4878" i="1"/>
  <c r="A3902" i="1"/>
  <c r="B3902" i="1"/>
  <c r="C3902" i="1"/>
  <c r="A3934" i="1"/>
  <c r="B3934" i="1"/>
  <c r="C3934" i="1"/>
  <c r="A8410" i="1"/>
  <c r="B8410" i="1"/>
  <c r="C8410" i="1"/>
  <c r="A12218" i="1"/>
  <c r="B12218" i="1"/>
  <c r="C12218" i="1"/>
  <c r="A172" i="1"/>
  <c r="B172" i="1"/>
  <c r="C172" i="1"/>
  <c r="A11590" i="1"/>
  <c r="B11590" i="1"/>
  <c r="C11590" i="1"/>
  <c r="A5155" i="1"/>
  <c r="B5155" i="1"/>
  <c r="C5155" i="1"/>
  <c r="A12528" i="1"/>
  <c r="B12528" i="1"/>
  <c r="C12528" i="1"/>
  <c r="A6726" i="1"/>
  <c r="B6726" i="1"/>
  <c r="C6726" i="1"/>
  <c r="A3429" i="1"/>
  <c r="B3429" i="1"/>
  <c r="C3429" i="1"/>
  <c r="A13710" i="1"/>
  <c r="B13710" i="1"/>
  <c r="C13710" i="1"/>
  <c r="A4818" i="1"/>
  <c r="B4818" i="1"/>
  <c r="C4818" i="1"/>
  <c r="A10639" i="1"/>
  <c r="B10639" i="1"/>
  <c r="C10639" i="1"/>
  <c r="A7508" i="1"/>
  <c r="B7508" i="1"/>
  <c r="C7508" i="1"/>
  <c r="A6275" i="1"/>
  <c r="B6275" i="1"/>
  <c r="C6275" i="1"/>
  <c r="A3510" i="1"/>
  <c r="B3510" i="1"/>
  <c r="C3510" i="1"/>
  <c r="A1834" i="1"/>
  <c r="B1834" i="1"/>
  <c r="C1834" i="1"/>
  <c r="A4872" i="1"/>
  <c r="B4872" i="1"/>
  <c r="C4872" i="1"/>
  <c r="A12213" i="1"/>
  <c r="B12213" i="1"/>
  <c r="C12213" i="1"/>
  <c r="A5968" i="1"/>
  <c r="B5968" i="1"/>
  <c r="C5968" i="1"/>
  <c r="A10868" i="1"/>
  <c r="B10868" i="1"/>
  <c r="C10868" i="1"/>
  <c r="A9954" i="1"/>
  <c r="B9954" i="1"/>
  <c r="C9954" i="1"/>
  <c r="A10511" i="1"/>
  <c r="B10511" i="1"/>
  <c r="C10511" i="1"/>
  <c r="A11587" i="1"/>
  <c r="B11587" i="1"/>
  <c r="C11587" i="1"/>
  <c r="A5285" i="1"/>
  <c r="B5285" i="1"/>
  <c r="C5285" i="1"/>
  <c r="A7610" i="1"/>
  <c r="B7610" i="1"/>
  <c r="C7610" i="1"/>
  <c r="A4322" i="1"/>
  <c r="B4322" i="1"/>
  <c r="C4322" i="1"/>
  <c r="A1063" i="1"/>
  <c r="B1063" i="1"/>
  <c r="C1063" i="1"/>
  <c r="A10155" i="1"/>
  <c r="B10155" i="1"/>
  <c r="C10155" i="1"/>
  <c r="A7125" i="1"/>
  <c r="B7125" i="1"/>
  <c r="C7125" i="1"/>
  <c r="A9024" i="1"/>
  <c r="B9024" i="1"/>
  <c r="C9024" i="1"/>
  <c r="A1784" i="1"/>
  <c r="B1784" i="1"/>
  <c r="C1784" i="1"/>
  <c r="A6999" i="1"/>
  <c r="B6999" i="1"/>
  <c r="C6999" i="1"/>
  <c r="A5531" i="1"/>
  <c r="B5531" i="1"/>
  <c r="C5531" i="1"/>
  <c r="A1308" i="1"/>
  <c r="B1308" i="1"/>
  <c r="C1308" i="1"/>
  <c r="A3052" i="1"/>
  <c r="B3052" i="1"/>
  <c r="C3052" i="1"/>
  <c r="A13773" i="1"/>
  <c r="B13773" i="1"/>
  <c r="C13773" i="1"/>
  <c r="A12056" i="1"/>
  <c r="B12056" i="1"/>
  <c r="C12056" i="1"/>
  <c r="A10434" i="1"/>
  <c r="B10434" i="1"/>
  <c r="C10434" i="1"/>
  <c r="A5078" i="1"/>
  <c r="B5078" i="1"/>
  <c r="C5078" i="1"/>
  <c r="A2761" i="1"/>
  <c r="B2761" i="1"/>
  <c r="C2761" i="1"/>
  <c r="A820" i="1"/>
  <c r="B820" i="1"/>
  <c r="C820" i="1"/>
  <c r="A10156" i="1"/>
  <c r="B10156" i="1"/>
  <c r="C10156" i="1"/>
  <c r="A5370" i="1"/>
  <c r="B5370" i="1"/>
  <c r="C5370" i="1"/>
  <c r="A5849" i="1"/>
  <c r="B5849" i="1"/>
  <c r="C5849" i="1"/>
  <c r="A4678" i="1"/>
  <c r="B4678" i="1"/>
  <c r="C4678" i="1"/>
  <c r="A9857" i="1"/>
  <c r="B9857" i="1"/>
  <c r="C9857" i="1"/>
  <c r="A13008" i="1"/>
  <c r="B13008" i="1"/>
  <c r="C13008" i="1"/>
  <c r="A4959" i="1"/>
  <c r="B4959" i="1"/>
  <c r="C4959" i="1"/>
  <c r="A2635" i="1"/>
  <c r="B2635" i="1"/>
  <c r="C2635" i="1"/>
  <c r="A13735" i="1"/>
  <c r="B13735" i="1"/>
  <c r="C13735" i="1"/>
  <c r="A3211" i="1"/>
  <c r="B3211" i="1"/>
  <c r="C3211" i="1"/>
  <c r="A435" i="1"/>
  <c r="B435" i="1"/>
  <c r="C435" i="1"/>
  <c r="A7097" i="1"/>
  <c r="B7097" i="1"/>
  <c r="C7097" i="1"/>
  <c r="A10177" i="1"/>
  <c r="B10177" i="1"/>
  <c r="C10177" i="1"/>
  <c r="A13275" i="1"/>
  <c r="B13275" i="1"/>
  <c r="C13275" i="1"/>
  <c r="A6195" i="1"/>
  <c r="B6195" i="1"/>
  <c r="C6195" i="1"/>
  <c r="A6704" i="1"/>
  <c r="B6704" i="1"/>
  <c r="C6704" i="1"/>
  <c r="A7578" i="1"/>
  <c r="B7578" i="1"/>
  <c r="C7578" i="1"/>
  <c r="A6867" i="1"/>
  <c r="B6867" i="1"/>
  <c r="C6867" i="1"/>
  <c r="A13177" i="1"/>
  <c r="B13177" i="1"/>
  <c r="C13177" i="1"/>
  <c r="A2813" i="1"/>
  <c r="B2813" i="1"/>
  <c r="C2813" i="1"/>
  <c r="A3740" i="1"/>
  <c r="B3740" i="1"/>
  <c r="C3740" i="1"/>
  <c r="A3055" i="1"/>
  <c r="B3055" i="1"/>
  <c r="C3055" i="1"/>
  <c r="A13499" i="1"/>
  <c r="B13499" i="1"/>
  <c r="C13499" i="1"/>
  <c r="A4349" i="1"/>
  <c r="B4349" i="1"/>
  <c r="C4349" i="1"/>
  <c r="A8827" i="1"/>
  <c r="B8827" i="1"/>
  <c r="C8827" i="1"/>
  <c r="A4712" i="1"/>
  <c r="B4712" i="1"/>
  <c r="C4712" i="1"/>
  <c r="A1244" i="1"/>
  <c r="B1244" i="1"/>
  <c r="C1244" i="1"/>
  <c r="A4671" i="1"/>
  <c r="B4671" i="1"/>
  <c r="C4671" i="1"/>
  <c r="A1088" i="1"/>
  <c r="B1088" i="1"/>
  <c r="C1088" i="1"/>
  <c r="A7525" i="1"/>
  <c r="B7525" i="1"/>
  <c r="C7525" i="1"/>
  <c r="A13528" i="1"/>
  <c r="B13528" i="1"/>
  <c r="C13528" i="1"/>
  <c r="A10045" i="1"/>
  <c r="B10045" i="1"/>
  <c r="C10045" i="1"/>
  <c r="A2075" i="1"/>
  <c r="B2075" i="1"/>
  <c r="C2075" i="1"/>
  <c r="A2762" i="1"/>
  <c r="B2762" i="1"/>
  <c r="C2762" i="1"/>
  <c r="A2023" i="1"/>
  <c r="B2023" i="1"/>
  <c r="C2023" i="1"/>
  <c r="A1091" i="1"/>
  <c r="B1091" i="1"/>
  <c r="C1091" i="1"/>
  <c r="A7310" i="1"/>
  <c r="B7310" i="1"/>
  <c r="C7310" i="1"/>
  <c r="A4874" i="1"/>
  <c r="B4874" i="1"/>
  <c r="C4874" i="1"/>
  <c r="A4814" i="1"/>
  <c r="B4814" i="1"/>
  <c r="C4814" i="1"/>
  <c r="A9080" i="1"/>
  <c r="B9080" i="1"/>
  <c r="C9080" i="1"/>
  <c r="A5442" i="1"/>
  <c r="B5442" i="1"/>
  <c r="C5442" i="1"/>
  <c r="A9045" i="1"/>
  <c r="B9045" i="1"/>
  <c r="C9045" i="1"/>
  <c r="A12058" i="1"/>
  <c r="B12058" i="1"/>
  <c r="C12058" i="1"/>
  <c r="A1272" i="1"/>
  <c r="B1272" i="1"/>
  <c r="C1272" i="1"/>
  <c r="A5214" i="1"/>
  <c r="B5214" i="1"/>
  <c r="C5214" i="1"/>
  <c r="A6584" i="1"/>
  <c r="B6584" i="1"/>
  <c r="C6584" i="1"/>
  <c r="A1168" i="1"/>
  <c r="B1168" i="1"/>
  <c r="C1168" i="1"/>
  <c r="A6108" i="1"/>
  <c r="B6108" i="1"/>
  <c r="C6108" i="1"/>
  <c r="A4414" i="1"/>
  <c r="B4414" i="1"/>
  <c r="C4414" i="1"/>
  <c r="A9976" i="1"/>
  <c r="B9976" i="1"/>
  <c r="C9976" i="1"/>
  <c r="A13172" i="1"/>
  <c r="B13172" i="1"/>
  <c r="C13172" i="1"/>
  <c r="A5963" i="1"/>
  <c r="B5963" i="1"/>
  <c r="C5963" i="1"/>
  <c r="A5906" i="1"/>
  <c r="B5906" i="1"/>
  <c r="C5906" i="1"/>
  <c r="A3506" i="1"/>
  <c r="B3506" i="1"/>
  <c r="C3506" i="1"/>
  <c r="A5328" i="1"/>
  <c r="B5328" i="1"/>
  <c r="C5328" i="1"/>
  <c r="A10705" i="1"/>
  <c r="B10705" i="1"/>
  <c r="C10705" i="1"/>
  <c r="A3437" i="1"/>
  <c r="B3437" i="1"/>
  <c r="C3437" i="1"/>
  <c r="A6057" i="1"/>
  <c r="B6057" i="1"/>
  <c r="C6057" i="1"/>
  <c r="A6065" i="1"/>
  <c r="B6065" i="1"/>
  <c r="C6065" i="1"/>
  <c r="A3329" i="1"/>
  <c r="B3329" i="1"/>
  <c r="C3329" i="1"/>
  <c r="A9523" i="1"/>
  <c r="B9523" i="1"/>
  <c r="C9523" i="1"/>
  <c r="A6237" i="1"/>
  <c r="B6237" i="1"/>
  <c r="C6237" i="1"/>
  <c r="A13808" i="1"/>
  <c r="B13808" i="1"/>
  <c r="C13808" i="1"/>
  <c r="A10870" i="1"/>
  <c r="B10870" i="1"/>
  <c r="C10870" i="1"/>
  <c r="A10871" i="1"/>
  <c r="B10871" i="1"/>
  <c r="C10871" i="1"/>
  <c r="A10872" i="1"/>
  <c r="B10872" i="1"/>
  <c r="C10872" i="1"/>
  <c r="A10873" i="1"/>
  <c r="B10873" i="1"/>
  <c r="C10873" i="1"/>
  <c r="A10874" i="1"/>
  <c r="B10874" i="1"/>
  <c r="C10874" i="1"/>
  <c r="A10875" i="1"/>
  <c r="B10875" i="1"/>
  <c r="C10875" i="1"/>
  <c r="A10876" i="1"/>
  <c r="B10876" i="1"/>
  <c r="C10876" i="1"/>
  <c r="A10877" i="1"/>
  <c r="B10877" i="1"/>
  <c r="C10877" i="1"/>
  <c r="A10878" i="1"/>
  <c r="B10878" i="1"/>
  <c r="C10878" i="1"/>
  <c r="A11572" i="1"/>
  <c r="B11572" i="1"/>
  <c r="C11572" i="1"/>
  <c r="A9388" i="1"/>
  <c r="B9388" i="1"/>
  <c r="C9388" i="1"/>
  <c r="A12590" i="1"/>
  <c r="B12590" i="1"/>
  <c r="C12590" i="1"/>
  <c r="A7148" i="1"/>
  <c r="B7148" i="1"/>
  <c r="C7148" i="1"/>
  <c r="A582" i="1"/>
  <c r="B582" i="1"/>
  <c r="C582" i="1"/>
  <c r="A1752" i="1"/>
  <c r="B1752" i="1"/>
  <c r="C1752" i="1"/>
  <c r="A257" i="1"/>
  <c r="B257" i="1"/>
  <c r="C257" i="1"/>
  <c r="A5046" i="1"/>
  <c r="B5046" i="1"/>
  <c r="C5046" i="1"/>
  <c r="A13948" i="1"/>
  <c r="B13948" i="1"/>
  <c r="C13948" i="1"/>
  <c r="A10640" i="1"/>
  <c r="B10640" i="1"/>
  <c r="C10640" i="1"/>
  <c r="A10460" i="1"/>
  <c r="B10460" i="1"/>
  <c r="C10460" i="1"/>
  <c r="A12571" i="1"/>
  <c r="B12571" i="1"/>
  <c r="C12571" i="1"/>
  <c r="A3482" i="1"/>
  <c r="B3482" i="1"/>
  <c r="C3482" i="1"/>
  <c r="A3102" i="1"/>
  <c r="B3102" i="1"/>
  <c r="C3102" i="1"/>
  <c r="A1166" i="1"/>
  <c r="B1166" i="1"/>
  <c r="C1166" i="1"/>
  <c r="A8480" i="1"/>
  <c r="B8480" i="1"/>
  <c r="C8480" i="1"/>
  <c r="A2400" i="1"/>
  <c r="B2400" i="1"/>
  <c r="C2400" i="1"/>
  <c r="A9349" i="1"/>
  <c r="B9349" i="1"/>
  <c r="C9349" i="1"/>
  <c r="A10162" i="1"/>
  <c r="B10162" i="1"/>
  <c r="C10162" i="1"/>
  <c r="A6018" i="1"/>
  <c r="B6018" i="1"/>
  <c r="C6018" i="1"/>
  <c r="A6449" i="1"/>
  <c r="B6449" i="1"/>
  <c r="C6449" i="1"/>
  <c r="A11537" i="1"/>
  <c r="B11537" i="1"/>
  <c r="C11537" i="1"/>
  <c r="A12684" i="1"/>
  <c r="B12684" i="1"/>
  <c r="C12684" i="1"/>
  <c r="A2968" i="1"/>
  <c r="B2968" i="1"/>
  <c r="C2968" i="1"/>
  <c r="A5617" i="1"/>
  <c r="B5617" i="1"/>
  <c r="C5617" i="1"/>
  <c r="A11243" i="1"/>
  <c r="B11243" i="1"/>
  <c r="C11243" i="1"/>
  <c r="A7961" i="1"/>
  <c r="B7961" i="1"/>
  <c r="C7961" i="1"/>
  <c r="A12434" i="1"/>
  <c r="B12434" i="1"/>
  <c r="C12434" i="1"/>
  <c r="A3975" i="1"/>
  <c r="B3975" i="1"/>
  <c r="C3975" i="1"/>
  <c r="A5124" i="1"/>
  <c r="B5124" i="1"/>
  <c r="C5124" i="1"/>
  <c r="A8676" i="1"/>
  <c r="B8676" i="1"/>
  <c r="C8676" i="1"/>
  <c r="A4886" i="1"/>
  <c r="B4886" i="1"/>
  <c r="C4886" i="1"/>
  <c r="A564" i="1"/>
  <c r="B564" i="1"/>
  <c r="C564" i="1"/>
  <c r="A11635" i="1"/>
  <c r="B11635" i="1"/>
  <c r="C11635" i="1"/>
  <c r="A10601" i="1"/>
  <c r="B10601" i="1"/>
  <c r="C10601" i="1"/>
  <c r="A6328" i="1"/>
  <c r="B6328" i="1"/>
  <c r="C6328" i="1"/>
  <c r="A3630" i="1"/>
  <c r="B3630" i="1"/>
  <c r="C3630" i="1"/>
  <c r="A7519" i="1"/>
  <c r="B7519" i="1"/>
  <c r="C7519" i="1"/>
  <c r="A7509" i="1"/>
  <c r="B7509" i="1"/>
  <c r="C7509" i="1"/>
  <c r="A7520" i="1"/>
  <c r="B7520" i="1"/>
  <c r="C7520" i="1"/>
  <c r="A7521" i="1"/>
  <c r="B7521" i="1"/>
  <c r="C7521" i="1"/>
  <c r="A7522" i="1"/>
  <c r="B7522" i="1"/>
  <c r="C7522" i="1"/>
  <c r="A7523" i="1"/>
  <c r="B7523" i="1"/>
  <c r="C7523" i="1"/>
  <c r="A7524" i="1"/>
  <c r="B7524" i="1"/>
  <c r="C7524" i="1"/>
  <c r="A6154" i="1"/>
  <c r="B6154" i="1"/>
  <c r="C6154" i="1"/>
  <c r="A2723" i="1"/>
  <c r="B2723" i="1"/>
  <c r="C2723" i="1"/>
  <c r="A7342" i="1"/>
  <c r="B7342" i="1"/>
  <c r="C7342" i="1"/>
  <c r="A12522" i="1"/>
  <c r="B12522" i="1"/>
  <c r="C12522" i="1"/>
  <c r="A8062" i="1"/>
  <c r="B8062" i="1"/>
  <c r="C8062" i="1"/>
  <c r="A7335" i="1"/>
  <c r="B7335" i="1"/>
  <c r="C7335" i="1"/>
  <c r="A2667" i="1"/>
  <c r="B2667" i="1"/>
  <c r="C2667" i="1"/>
  <c r="A13469" i="1"/>
  <c r="B13469" i="1"/>
  <c r="C13469" i="1"/>
  <c r="A4278" i="1"/>
  <c r="B4278" i="1"/>
  <c r="C4278" i="1"/>
  <c r="A7694" i="1"/>
  <c r="B7694" i="1"/>
  <c r="C7694" i="1"/>
  <c r="A4329" i="1"/>
  <c r="B4329" i="1"/>
  <c r="C4329" i="1"/>
  <c r="A5638" i="1"/>
  <c r="B5638" i="1"/>
  <c r="C5638" i="1"/>
  <c r="A2619" i="1"/>
  <c r="B2619" i="1"/>
  <c r="C2619" i="1"/>
  <c r="A2620" i="1"/>
  <c r="B2620" i="1"/>
  <c r="C2620" i="1"/>
  <c r="A6201" i="1"/>
  <c r="B6201" i="1"/>
  <c r="C6201" i="1"/>
  <c r="A5374" i="1"/>
  <c r="B5374" i="1"/>
  <c r="C5374" i="1"/>
  <c r="A9618" i="1"/>
  <c r="B9618" i="1"/>
  <c r="C9618" i="1"/>
  <c r="A10341" i="1"/>
  <c r="B10341" i="1"/>
  <c r="C10341" i="1"/>
  <c r="A705" i="1"/>
  <c r="B705" i="1"/>
  <c r="C705" i="1"/>
  <c r="A6085" i="1"/>
  <c r="B6085" i="1"/>
  <c r="C6085" i="1"/>
  <c r="A8663" i="1"/>
  <c r="B8663" i="1"/>
  <c r="C8663" i="1"/>
  <c r="A8320" i="1"/>
  <c r="B8320" i="1"/>
  <c r="C8320" i="1"/>
  <c r="A12923" i="1"/>
  <c r="B12923" i="1"/>
  <c r="C12923" i="1"/>
  <c r="A645" i="1"/>
  <c r="B645" i="1"/>
  <c r="C645" i="1"/>
  <c r="A3415" i="1"/>
  <c r="B3415" i="1"/>
  <c r="C3415" i="1"/>
  <c r="A10845" i="1"/>
  <c r="B10845" i="1"/>
  <c r="C10845" i="1"/>
  <c r="A3905" i="1"/>
  <c r="B3905" i="1"/>
  <c r="C3905" i="1"/>
  <c r="A2161" i="1"/>
  <c r="B2161" i="1"/>
  <c r="C2161" i="1"/>
  <c r="A8854" i="1"/>
  <c r="B8854" i="1"/>
  <c r="C8854" i="1"/>
  <c r="A9646" i="1"/>
  <c r="B9646" i="1"/>
  <c r="C9646" i="1"/>
  <c r="A2323" i="1"/>
  <c r="B2323" i="1"/>
  <c r="C2323" i="1"/>
  <c r="A5234" i="1"/>
  <c r="B5234" i="1"/>
  <c r="C5234" i="1"/>
  <c r="A980" i="1"/>
  <c r="B980" i="1"/>
  <c r="C980" i="1"/>
  <c r="A8505" i="1"/>
  <c r="B8505" i="1"/>
  <c r="C8505" i="1"/>
  <c r="A8506" i="1"/>
  <c r="B8506" i="1"/>
  <c r="C8506" i="1"/>
  <c r="A3020" i="1"/>
  <c r="B3020" i="1"/>
  <c r="C3020" i="1"/>
  <c r="A10641" i="1"/>
  <c r="B10641" i="1"/>
  <c r="C10641" i="1"/>
  <c r="A2351" i="1"/>
  <c r="B2351" i="1"/>
  <c r="C2351" i="1"/>
  <c r="A2347" i="1"/>
  <c r="B2347" i="1"/>
  <c r="C2347" i="1"/>
  <c r="A7661" i="1"/>
  <c r="B7661" i="1"/>
  <c r="C7661" i="1"/>
  <c r="A3484" i="1"/>
  <c r="B3484" i="1"/>
  <c r="C3484" i="1"/>
  <c r="A13436" i="1"/>
  <c r="B13436" i="1"/>
  <c r="C13436" i="1"/>
  <c r="A2340" i="1"/>
  <c r="B2340" i="1"/>
  <c r="C2340" i="1"/>
  <c r="A4459" i="1"/>
  <c r="B4459" i="1"/>
  <c r="C4459" i="1"/>
  <c r="A2995" i="1"/>
  <c r="B2995" i="1"/>
  <c r="C2995" i="1"/>
  <c r="A2839" i="1"/>
  <c r="B2839" i="1"/>
  <c r="C2839" i="1"/>
  <c r="A12219" i="1"/>
  <c r="B12219" i="1"/>
  <c r="C12219" i="1"/>
  <c r="A12220" i="1"/>
  <c r="B12220" i="1"/>
  <c r="C12220" i="1"/>
  <c r="A1054" i="1"/>
  <c r="B1054" i="1"/>
  <c r="C1054" i="1"/>
  <c r="A2485" i="1"/>
  <c r="B2485" i="1"/>
  <c r="C2485" i="1"/>
  <c r="A11367" i="1"/>
  <c r="B11367" i="1"/>
  <c r="C11367" i="1"/>
  <c r="A2277" i="1"/>
  <c r="B2277" i="1"/>
  <c r="C2277" i="1"/>
  <c r="A2763" i="1"/>
  <c r="B2763" i="1"/>
  <c r="C2763" i="1"/>
  <c r="A5806" i="1"/>
  <c r="B5806" i="1"/>
  <c r="C5806" i="1"/>
  <c r="A6351" i="1"/>
  <c r="B6351" i="1"/>
  <c r="C6351" i="1"/>
  <c r="A10201" i="1"/>
  <c r="B10201" i="1"/>
  <c r="C10201" i="1"/>
  <c r="A10952" i="1"/>
  <c r="B10952" i="1"/>
  <c r="C10952" i="1"/>
  <c r="A11115" i="1"/>
  <c r="B11115" i="1"/>
  <c r="C11115" i="1"/>
  <c r="A9094" i="1"/>
  <c r="B9094" i="1"/>
  <c r="C9094" i="1"/>
  <c r="A12725" i="1"/>
  <c r="B12725" i="1"/>
  <c r="C12725" i="1"/>
  <c r="A10969" i="1"/>
  <c r="B10969" i="1"/>
  <c r="C10969" i="1"/>
  <c r="A11045" i="1"/>
  <c r="B11045" i="1"/>
  <c r="C11045" i="1"/>
  <c r="A8295" i="1"/>
  <c r="B8295" i="1"/>
  <c r="C8295" i="1"/>
  <c r="A2630" i="1"/>
  <c r="B2630" i="1"/>
  <c r="C2630" i="1"/>
  <c r="A13738" i="1"/>
  <c r="B13738" i="1"/>
  <c r="C13738" i="1"/>
  <c r="A1409" i="1"/>
  <c r="B1409" i="1"/>
  <c r="C1409" i="1"/>
  <c r="A8812" i="1"/>
  <c r="B8812" i="1"/>
  <c r="C8812" i="1"/>
  <c r="A2459" i="1"/>
  <c r="B2459" i="1"/>
  <c r="C2459" i="1"/>
  <c r="A2460" i="1"/>
  <c r="B2460" i="1"/>
  <c r="C2460" i="1"/>
  <c r="A10470" i="1"/>
  <c r="B10470" i="1"/>
  <c r="C10470" i="1"/>
  <c r="A6194" i="1"/>
  <c r="B6194" i="1"/>
  <c r="C6194" i="1"/>
  <c r="A9176" i="1"/>
  <c r="B9176" i="1"/>
  <c r="C9176" i="1"/>
  <c r="A9177" i="1"/>
  <c r="B9177" i="1"/>
  <c r="C9177" i="1"/>
  <c r="A4369" i="1"/>
  <c r="B4369" i="1"/>
  <c r="C4369" i="1"/>
  <c r="A3368" i="1"/>
  <c r="B3368" i="1"/>
  <c r="C3368" i="1"/>
  <c r="A12241" i="1"/>
  <c r="B12241" i="1"/>
  <c r="C12241" i="1"/>
  <c r="A1028" i="1"/>
  <c r="B1028" i="1"/>
  <c r="C1028" i="1"/>
  <c r="A1029" i="1"/>
  <c r="B1029" i="1"/>
  <c r="C1029" i="1"/>
  <c r="A1030" i="1"/>
  <c r="B1030" i="1"/>
  <c r="C1030" i="1"/>
  <c r="A4043" i="1"/>
  <c r="B4043" i="1"/>
  <c r="C4043" i="1"/>
  <c r="A9232" i="1"/>
  <c r="B9232" i="1"/>
  <c r="C9232" i="1"/>
  <c r="A12061" i="1"/>
  <c r="B12061" i="1"/>
  <c r="C12061" i="1"/>
  <c r="A11071" i="1"/>
  <c r="B11071" i="1"/>
  <c r="C11071" i="1"/>
  <c r="A11072" i="1"/>
  <c r="B11072" i="1"/>
  <c r="C11072" i="1"/>
  <c r="A2002" i="1"/>
  <c r="B2002" i="1"/>
  <c r="C2002" i="1"/>
  <c r="A3900" i="1"/>
  <c r="B3900" i="1"/>
  <c r="C3900" i="1"/>
  <c r="A8981" i="1"/>
  <c r="B8981" i="1"/>
  <c r="C8981" i="1"/>
  <c r="A2939" i="1"/>
  <c r="B2939" i="1"/>
  <c r="C2939" i="1"/>
  <c r="A9794" i="1"/>
  <c r="B9794" i="1"/>
  <c r="C9794" i="1"/>
  <c r="A286" i="1"/>
  <c r="B286" i="1"/>
  <c r="C286" i="1"/>
  <c r="A3469" i="1"/>
  <c r="B3469" i="1"/>
  <c r="C3469" i="1"/>
  <c r="A10816" i="1"/>
  <c r="B10816" i="1"/>
  <c r="C10816" i="1"/>
  <c r="A2269" i="1"/>
  <c r="B2269" i="1"/>
  <c r="C2269" i="1"/>
  <c r="A12495" i="1"/>
  <c r="B12495" i="1"/>
  <c r="C12495" i="1"/>
  <c r="A12239" i="1"/>
  <c r="B12239" i="1"/>
  <c r="C12239" i="1"/>
  <c r="A531" i="1"/>
  <c r="B531" i="1"/>
  <c r="C531" i="1"/>
  <c r="A5283" i="1"/>
  <c r="B5283" i="1"/>
  <c r="C5283" i="1"/>
  <c r="A5851" i="1"/>
  <c r="B5851" i="1"/>
  <c r="C5851" i="1"/>
  <c r="A11262" i="1"/>
  <c r="B11262" i="1"/>
  <c r="C11262" i="1"/>
  <c r="A3931" i="1"/>
  <c r="B3931" i="1"/>
  <c r="C3931" i="1"/>
  <c r="A13061" i="1"/>
  <c r="B13061" i="1"/>
  <c r="C13061" i="1"/>
  <c r="A5830" i="1"/>
  <c r="B5830" i="1"/>
  <c r="C5830" i="1"/>
  <c r="A4184" i="1"/>
  <c r="B4184" i="1"/>
  <c r="C4184" i="1"/>
  <c r="A8517" i="1"/>
  <c r="B8517" i="1"/>
  <c r="C8517" i="1"/>
  <c r="A13655" i="1"/>
  <c r="B13655" i="1"/>
  <c r="C13655" i="1"/>
  <c r="A12611" i="1"/>
  <c r="B12611" i="1"/>
  <c r="C12611" i="1"/>
  <c r="A4971" i="1"/>
  <c r="B4971" i="1"/>
  <c r="C4971" i="1"/>
  <c r="A10890" i="1"/>
  <c r="B10890" i="1"/>
  <c r="C10890" i="1"/>
  <c r="A6066" i="1"/>
  <c r="B6066" i="1"/>
  <c r="C6066" i="1"/>
  <c r="A5020" i="1"/>
  <c r="B5020" i="1"/>
  <c r="C5020" i="1"/>
  <c r="A4837" i="1"/>
  <c r="B4837" i="1"/>
  <c r="C4837" i="1"/>
  <c r="A7412" i="1"/>
  <c r="B7412" i="1"/>
  <c r="C7412" i="1"/>
  <c r="A10822" i="1"/>
  <c r="B10822" i="1"/>
  <c r="C10822" i="1"/>
  <c r="A6796" i="1"/>
  <c r="B6796" i="1"/>
  <c r="C6796" i="1"/>
  <c r="A1164" i="1"/>
  <c r="B1164" i="1"/>
  <c r="C1164" i="1"/>
  <c r="A8656" i="1"/>
  <c r="B8656" i="1"/>
  <c r="C8656" i="1"/>
  <c r="A7363" i="1"/>
  <c r="B7363" i="1"/>
  <c r="C7363" i="1"/>
  <c r="A10879" i="1"/>
  <c r="B10879" i="1"/>
  <c r="C10879" i="1"/>
  <c r="A10880" i="1"/>
  <c r="B10880" i="1"/>
  <c r="C10880" i="1"/>
  <c r="A10881" i="1"/>
  <c r="B10881" i="1"/>
  <c r="C10881" i="1"/>
  <c r="A10882" i="1"/>
  <c r="B10882" i="1"/>
  <c r="C10882" i="1"/>
  <c r="A2866" i="1"/>
  <c r="B2866" i="1"/>
  <c r="C2866" i="1"/>
  <c r="A12714" i="1"/>
  <c r="B12714" i="1"/>
  <c r="C12714" i="1"/>
  <c r="A12384" i="1"/>
  <c r="B12384" i="1"/>
  <c r="C12384" i="1"/>
  <c r="A9274" i="1"/>
  <c r="B9274" i="1"/>
  <c r="C9274" i="1"/>
  <c r="A12625" i="1"/>
  <c r="B12625" i="1"/>
  <c r="C12625" i="1"/>
  <c r="A10474" i="1"/>
  <c r="B10474" i="1"/>
  <c r="C10474" i="1"/>
  <c r="A2713" i="1"/>
  <c r="B2713" i="1"/>
  <c r="C2713" i="1"/>
  <c r="A7838" i="1"/>
  <c r="B7838" i="1"/>
  <c r="C7838" i="1"/>
  <c r="A6780" i="1"/>
  <c r="B6780" i="1"/>
  <c r="C6780" i="1"/>
  <c r="A9598" i="1"/>
  <c r="B9598" i="1"/>
  <c r="C9598" i="1"/>
  <c r="A1924" i="1"/>
  <c r="B1924" i="1"/>
  <c r="C1924" i="1"/>
  <c r="A12450" i="1"/>
  <c r="B12450" i="1"/>
  <c r="C12450" i="1"/>
  <c r="A7287" i="1"/>
  <c r="B7287" i="1"/>
  <c r="C7287" i="1"/>
  <c r="A6079" i="1"/>
  <c r="B6079" i="1"/>
  <c r="C6079" i="1"/>
  <c r="A10317" i="1"/>
  <c r="B10317" i="1"/>
  <c r="C10317" i="1"/>
  <c r="A3330" i="1"/>
  <c r="B3330" i="1"/>
  <c r="C3330" i="1"/>
  <c r="A230" i="1"/>
  <c r="B230" i="1"/>
  <c r="C230" i="1"/>
  <c r="A12726" i="1"/>
  <c r="B12726" i="1"/>
  <c r="C12726" i="1"/>
  <c r="A8215" i="1"/>
  <c r="B8215" i="1"/>
  <c r="C8215" i="1"/>
  <c r="A12548" i="1"/>
  <c r="B12548" i="1"/>
  <c r="C12548" i="1"/>
  <c r="A11405" i="1"/>
  <c r="B11405" i="1"/>
  <c r="C11405" i="1"/>
  <c r="A12373" i="1"/>
  <c r="B12373" i="1"/>
  <c r="C12373" i="1"/>
  <c r="A6564" i="1"/>
  <c r="B6564" i="1"/>
  <c r="C6564" i="1"/>
  <c r="A11939" i="1"/>
  <c r="B11939" i="1"/>
  <c r="C11939" i="1"/>
  <c r="A6958" i="1"/>
  <c r="B6958" i="1"/>
  <c r="C6958" i="1"/>
  <c r="A3051" i="1"/>
  <c r="B3051" i="1"/>
  <c r="C3051" i="1"/>
  <c r="A186" i="1"/>
  <c r="B186" i="1"/>
  <c r="C186" i="1"/>
  <c r="A187" i="1"/>
  <c r="B187" i="1"/>
  <c r="C187" i="1"/>
  <c r="A188" i="1"/>
  <c r="B188" i="1"/>
  <c r="C188" i="1"/>
  <c r="A189" i="1"/>
  <c r="B189" i="1"/>
  <c r="C189" i="1"/>
  <c r="A190" i="1"/>
  <c r="B190" i="1"/>
  <c r="C190" i="1"/>
  <c r="A191" i="1"/>
  <c r="B191" i="1"/>
  <c r="C191" i="1"/>
  <c r="A192" i="1"/>
  <c r="B192" i="1"/>
  <c r="C192" i="1"/>
  <c r="A193" i="1"/>
  <c r="B193" i="1"/>
  <c r="C193" i="1"/>
  <c r="A194" i="1"/>
  <c r="B194" i="1"/>
  <c r="C194" i="1"/>
  <c r="A195" i="1"/>
  <c r="B195" i="1"/>
  <c r="C195" i="1"/>
  <c r="A196" i="1"/>
  <c r="B196" i="1"/>
  <c r="C196" i="1"/>
  <c r="A197" i="1"/>
  <c r="B197" i="1"/>
  <c r="C197" i="1"/>
  <c r="A198" i="1"/>
  <c r="B198" i="1"/>
  <c r="C198" i="1"/>
  <c r="A199" i="1"/>
  <c r="B199" i="1"/>
  <c r="C199" i="1"/>
  <c r="A204" i="1"/>
  <c r="B204" i="1"/>
  <c r="C204" i="1"/>
  <c r="A205" i="1"/>
  <c r="B205" i="1"/>
  <c r="C205" i="1"/>
  <c r="A206" i="1"/>
  <c r="B206" i="1"/>
  <c r="C206" i="1"/>
  <c r="A207" i="1"/>
  <c r="B207" i="1"/>
  <c r="C207" i="1"/>
  <c r="A209" i="1"/>
  <c r="B209" i="1"/>
  <c r="C209" i="1"/>
  <c r="A210" i="1"/>
  <c r="B210" i="1"/>
  <c r="C210" i="1"/>
  <c r="A8425" i="1"/>
  <c r="B8425" i="1"/>
  <c r="C8425" i="1"/>
  <c r="A10099" i="1"/>
  <c r="B10099" i="1"/>
  <c r="C10099" i="1"/>
  <c r="A10076" i="1"/>
  <c r="B10076" i="1"/>
  <c r="C10076" i="1"/>
  <c r="A11247" i="1"/>
  <c r="B11247" i="1"/>
  <c r="C11247" i="1"/>
  <c r="A13213" i="1"/>
  <c r="B13213" i="1"/>
  <c r="C13213" i="1"/>
  <c r="A6892" i="1"/>
  <c r="B6892" i="1"/>
  <c r="C6892" i="1"/>
  <c r="A9597" i="1"/>
  <c r="B9597" i="1"/>
  <c r="C9597" i="1"/>
  <c r="A13274" i="1"/>
  <c r="B13274" i="1"/>
  <c r="C13274" i="1"/>
  <c r="A838" i="1"/>
  <c r="B838" i="1"/>
  <c r="C838" i="1"/>
  <c r="A7474" i="1"/>
  <c r="B7474" i="1"/>
  <c r="C7474" i="1"/>
  <c r="A3611" i="1"/>
  <c r="B3611" i="1"/>
  <c r="C3611" i="1"/>
  <c r="A6131" i="1"/>
  <c r="B6131" i="1"/>
  <c r="C6131" i="1"/>
  <c r="A781" i="1"/>
  <c r="B781" i="1"/>
  <c r="C781" i="1"/>
  <c r="A12984" i="1"/>
  <c r="B12984" i="1"/>
  <c r="C12984" i="1"/>
  <c r="A3615" i="1"/>
  <c r="B3615" i="1"/>
  <c r="C3615" i="1"/>
  <c r="A8357" i="1"/>
  <c r="B8357" i="1"/>
  <c r="C8357" i="1"/>
  <c r="A2153" i="1"/>
  <c r="B2153" i="1"/>
  <c r="C2153" i="1"/>
  <c r="A5464" i="1"/>
  <c r="B5464" i="1"/>
  <c r="C5464" i="1"/>
  <c r="A5208" i="1"/>
  <c r="B5208" i="1"/>
  <c r="C5208" i="1"/>
  <c r="A10819" i="1"/>
  <c r="B10819" i="1"/>
  <c r="C10819" i="1"/>
  <c r="A12130" i="1"/>
  <c r="B12130" i="1"/>
  <c r="C12130" i="1"/>
  <c r="A13805" i="1"/>
  <c r="B13805" i="1"/>
  <c r="C13805" i="1"/>
  <c r="A10110" i="1"/>
  <c r="B10110" i="1"/>
  <c r="C10110" i="1"/>
  <c r="A11128" i="1"/>
  <c r="B11128" i="1"/>
  <c r="C11128" i="1"/>
  <c r="A868" i="1"/>
  <c r="B868" i="1"/>
  <c r="C868" i="1"/>
  <c r="A4259" i="1"/>
  <c r="B4259" i="1"/>
  <c r="C4259" i="1"/>
  <c r="A11909" i="1"/>
  <c r="B11909" i="1"/>
  <c r="C11909" i="1"/>
  <c r="A4694" i="1"/>
  <c r="B4694" i="1"/>
  <c r="C4694" i="1"/>
  <c r="A4695" i="1"/>
  <c r="B4695" i="1"/>
  <c r="C4695" i="1"/>
  <c r="A4696" i="1"/>
  <c r="B4696" i="1"/>
  <c r="C4696" i="1"/>
  <c r="A4697" i="1"/>
  <c r="B4697" i="1"/>
  <c r="C4697" i="1"/>
  <c r="A4698" i="1"/>
  <c r="B4698" i="1"/>
  <c r="C4698" i="1"/>
  <c r="A4699" i="1"/>
  <c r="B4699" i="1"/>
  <c r="C4699" i="1"/>
  <c r="A7202" i="1"/>
  <c r="B7202" i="1"/>
  <c r="C7202" i="1"/>
  <c r="A13811" i="1"/>
  <c r="B13811" i="1"/>
  <c r="C13811" i="1"/>
  <c r="A2621" i="1"/>
  <c r="B2621" i="1"/>
  <c r="C2621" i="1"/>
  <c r="A5256" i="1"/>
  <c r="B5256" i="1"/>
  <c r="A3219" i="1"/>
  <c r="B3219" i="1"/>
  <c r="C3219" i="1"/>
  <c r="A9333" i="1"/>
  <c r="B9333" i="1"/>
  <c r="C9333" i="1"/>
  <c r="A9032" i="1"/>
  <c r="B9032" i="1"/>
  <c r="C9032" i="1"/>
  <c r="A5444" i="1"/>
  <c r="B5444" i="1"/>
  <c r="C5444" i="1"/>
  <c r="A11059" i="1"/>
  <c r="B11059" i="1"/>
  <c r="C11059" i="1"/>
  <c r="A9370" i="1"/>
  <c r="B9370" i="1"/>
  <c r="C9370" i="1"/>
  <c r="A12718" i="1"/>
  <c r="B12718" i="1"/>
  <c r="C12718" i="1"/>
  <c r="A5079" i="1"/>
  <c r="B5079" i="1"/>
  <c r="C5079" i="1"/>
  <c r="A5080" i="1"/>
  <c r="B5080" i="1"/>
  <c r="C5080" i="1"/>
  <c r="A9237" i="1"/>
  <c r="B9237" i="1"/>
  <c r="C9237" i="1"/>
  <c r="A11730" i="1"/>
  <c r="B11730" i="1"/>
  <c r="C11730" i="1"/>
  <c r="A10902" i="1"/>
  <c r="B10902" i="1"/>
  <c r="C10902" i="1"/>
  <c r="A1701" i="1"/>
  <c r="B1701" i="1"/>
  <c r="C1701" i="1"/>
  <c r="A9676" i="1"/>
  <c r="B9676" i="1"/>
  <c r="C9676" i="1"/>
  <c r="A8285" i="1"/>
  <c r="B8285" i="1"/>
  <c r="C8285" i="1"/>
  <c r="A10825" i="1"/>
  <c r="B10825" i="1"/>
  <c r="C10825" i="1"/>
  <c r="A9256" i="1"/>
  <c r="B9256" i="1"/>
  <c r="C9256" i="1"/>
  <c r="A11048" i="1"/>
  <c r="B11048" i="1"/>
  <c r="C11048" i="1"/>
  <c r="A11305" i="1"/>
  <c r="B11305" i="1"/>
  <c r="C11305" i="1"/>
  <c r="A4294" i="1"/>
  <c r="B4294" i="1"/>
  <c r="C4294" i="1"/>
  <c r="A12457" i="1"/>
  <c r="B12457" i="1"/>
  <c r="C12457" i="1"/>
  <c r="A10560" i="1"/>
  <c r="B10560" i="1"/>
  <c r="C10560" i="1"/>
  <c r="A3438" i="1"/>
  <c r="B3438" i="1"/>
  <c r="C3438" i="1"/>
  <c r="A404" i="1"/>
  <c r="B404" i="1"/>
  <c r="C404" i="1"/>
  <c r="A13707" i="1"/>
  <c r="B13707" i="1"/>
  <c r="C13707" i="1"/>
  <c r="A5317" i="1"/>
  <c r="B5317" i="1"/>
  <c r="C5317" i="1"/>
  <c r="A3571" i="1"/>
  <c r="B3571" i="1"/>
  <c r="C3571" i="1"/>
  <c r="A3325" i="1"/>
  <c r="B3325" i="1"/>
  <c r="C3325" i="1"/>
  <c r="A8503" i="1"/>
  <c r="B8503" i="1"/>
  <c r="C8503" i="1"/>
  <c r="A4774" i="1"/>
  <c r="B4774" i="1"/>
  <c r="C4774" i="1"/>
  <c r="A5479" i="1"/>
  <c r="B5479" i="1"/>
  <c r="C5479" i="1"/>
  <c r="A10953" i="1"/>
  <c r="B10953" i="1"/>
  <c r="C10953" i="1"/>
  <c r="A7910" i="1"/>
  <c r="B7910" i="1"/>
  <c r="C7910" i="1"/>
  <c r="A10707" i="1"/>
  <c r="B10707" i="1"/>
  <c r="C10707" i="1"/>
  <c r="A7315" i="1"/>
  <c r="B7315" i="1"/>
  <c r="C7315" i="1"/>
  <c r="A5081" i="1"/>
  <c r="B5081" i="1"/>
  <c r="C5081" i="1"/>
  <c r="A5082" i="1"/>
  <c r="B5082" i="1"/>
  <c r="C5082" i="1"/>
  <c r="A5083" i="1"/>
  <c r="B5083" i="1"/>
  <c r="C5083" i="1"/>
  <c r="A3452" i="1"/>
  <c r="B3452" i="1"/>
  <c r="C3452" i="1"/>
  <c r="A1896" i="1"/>
  <c r="B1896" i="1"/>
  <c r="C1896" i="1"/>
  <c r="A12034" i="1"/>
  <c r="B12034" i="1"/>
  <c r="C12034" i="1"/>
  <c r="A11323" i="1"/>
  <c r="B11323" i="1"/>
  <c r="C11323" i="1"/>
  <c r="A8465" i="1"/>
  <c r="B8465" i="1"/>
  <c r="C8465" i="1"/>
  <c r="A8466" i="1"/>
  <c r="B8466" i="1"/>
  <c r="C8466" i="1"/>
  <c r="A5096" i="1"/>
  <c r="B5096" i="1"/>
  <c r="C5096" i="1"/>
  <c r="A12090" i="1"/>
  <c r="B12090" i="1"/>
  <c r="C12090" i="1"/>
  <c r="A13623" i="1"/>
  <c r="B13623" i="1"/>
  <c r="C13623" i="1"/>
  <c r="A6213" i="1"/>
  <c r="B6213" i="1"/>
  <c r="C6213" i="1"/>
  <c r="A11743" i="1"/>
  <c r="B11743" i="1"/>
  <c r="C11743" i="1"/>
  <c r="A2282" i="1"/>
  <c r="B2282" i="1"/>
  <c r="C2282" i="1"/>
  <c r="A4973" i="1"/>
  <c r="B4973" i="1"/>
  <c r="C4973" i="1"/>
  <c r="A6761" i="1"/>
  <c r="B6761" i="1"/>
  <c r="C6761" i="1"/>
  <c r="A11568" i="1"/>
  <c r="B11568" i="1"/>
  <c r="C11568" i="1"/>
  <c r="A8253" i="1"/>
  <c r="B8253" i="1"/>
  <c r="C8253" i="1"/>
  <c r="A12674" i="1"/>
  <c r="B12674" i="1"/>
  <c r="C12674" i="1"/>
  <c r="A11605" i="1"/>
  <c r="B11605" i="1"/>
  <c r="C11605" i="1"/>
  <c r="A9258" i="1"/>
  <c r="B9258" i="1"/>
  <c r="C9258" i="1"/>
  <c r="A2263" i="1"/>
  <c r="B2263" i="1"/>
  <c r="C2263" i="1"/>
  <c r="A4605" i="1"/>
  <c r="B4605" i="1"/>
  <c r="C4605" i="1"/>
  <c r="A3258" i="1"/>
  <c r="B3258" i="1"/>
  <c r="C3258" i="1"/>
  <c r="A3161" i="1"/>
  <c r="B3161" i="1"/>
  <c r="C3161" i="1"/>
  <c r="A12212" i="1"/>
  <c r="B12212" i="1"/>
  <c r="C12212" i="1"/>
  <c r="A2714" i="1"/>
  <c r="B2714" i="1"/>
  <c r="C2714" i="1"/>
  <c r="A2101" i="1"/>
  <c r="B2101" i="1"/>
  <c r="C2101" i="1"/>
  <c r="A1410" i="1"/>
  <c r="B1410" i="1"/>
  <c r="C1410" i="1"/>
  <c r="A1399" i="1"/>
  <c r="B1399" i="1"/>
  <c r="C1399" i="1"/>
  <c r="A2724" i="1"/>
  <c r="B2724" i="1"/>
  <c r="C2724" i="1"/>
  <c r="A13901" i="1"/>
  <c r="B13901" i="1"/>
  <c r="C13901" i="1"/>
  <c r="A11047" i="1"/>
  <c r="B11047" i="1"/>
  <c r="C11047" i="1"/>
  <c r="A519" i="1"/>
  <c r="B519" i="1"/>
  <c r="C519" i="1"/>
  <c r="A520" i="1"/>
  <c r="B520" i="1"/>
  <c r="C520" i="1"/>
  <c r="A11662" i="1"/>
  <c r="B11662" i="1"/>
  <c r="C11662" i="1"/>
  <c r="A5629" i="1"/>
  <c r="B5629" i="1"/>
  <c r="C5629" i="1"/>
  <c r="A11252" i="1"/>
  <c r="B11252" i="1"/>
  <c r="C11252" i="1"/>
  <c r="A10850" i="1"/>
  <c r="B10850" i="1"/>
  <c r="C10850" i="1"/>
  <c r="A9639" i="1"/>
  <c r="B9639" i="1"/>
  <c r="C9639" i="1"/>
  <c r="A5909" i="1"/>
  <c r="B5909" i="1"/>
  <c r="C5909" i="1"/>
  <c r="A4960" i="1"/>
  <c r="B4960" i="1"/>
  <c r="C4960" i="1"/>
  <c r="A8388" i="1"/>
  <c r="B8388" i="1"/>
  <c r="C8388" i="1"/>
  <c r="A12700" i="1"/>
  <c r="B12700" i="1"/>
  <c r="C12700" i="1"/>
  <c r="A3492" i="1"/>
  <c r="B3492" i="1"/>
  <c r="C3492" i="1"/>
  <c r="A6923" i="1"/>
  <c r="B6923" i="1"/>
  <c r="C6923" i="1"/>
  <c r="A11313" i="1"/>
  <c r="B11313" i="1"/>
  <c r="C11313" i="1"/>
  <c r="A12821" i="1"/>
  <c r="B12821" i="1"/>
  <c r="C12821" i="1"/>
  <c r="A6893" i="1"/>
  <c r="B6893" i="1"/>
  <c r="C6893" i="1"/>
  <c r="A6773" i="1"/>
  <c r="B6773" i="1"/>
  <c r="C6773" i="1"/>
  <c r="A13477" i="1"/>
  <c r="B13477" i="1"/>
  <c r="C13477" i="1"/>
  <c r="A6259" i="1"/>
  <c r="B6259" i="1"/>
  <c r="C6259" i="1"/>
  <c r="A10245" i="1"/>
  <c r="B10245" i="1"/>
  <c r="C10245" i="1"/>
  <c r="A6982" i="1"/>
  <c r="B6982" i="1"/>
  <c r="C6982" i="1"/>
  <c r="A13028" i="1"/>
  <c r="B13028" i="1"/>
  <c r="C13028" i="1"/>
  <c r="A11459" i="1"/>
  <c r="B11459" i="1"/>
  <c r="C11459" i="1"/>
  <c r="A11460" i="1"/>
  <c r="B11460" i="1"/>
  <c r="C11460" i="1"/>
  <c r="A11461" i="1"/>
  <c r="B11461" i="1"/>
  <c r="C11461" i="1"/>
  <c r="A11462" i="1"/>
  <c r="B11462" i="1"/>
  <c r="C11462" i="1"/>
  <c r="A11463" i="1"/>
  <c r="B11463" i="1"/>
  <c r="C11463" i="1"/>
  <c r="A11464" i="1"/>
  <c r="B11464" i="1"/>
  <c r="C11464" i="1"/>
  <c r="A13902" i="1"/>
  <c r="B13902" i="1"/>
  <c r="C13902" i="1"/>
  <c r="A1090" i="1"/>
  <c r="B1090" i="1"/>
  <c r="C1090" i="1"/>
  <c r="A5741" i="1"/>
  <c r="B5741" i="1"/>
  <c r="C5741" i="1"/>
  <c r="A6821" i="1"/>
  <c r="B6821" i="1"/>
  <c r="C6821" i="1"/>
  <c r="A1150" i="1"/>
  <c r="B1150" i="1"/>
  <c r="C1150" i="1"/>
  <c r="A10309" i="1"/>
  <c r="B10309" i="1"/>
  <c r="C10309" i="1"/>
  <c r="A9297" i="1"/>
  <c r="B9297" i="1"/>
  <c r="C9297" i="1"/>
  <c r="A10228" i="1"/>
  <c r="B10228" i="1"/>
  <c r="C10228" i="1"/>
  <c r="A10229" i="1"/>
  <c r="B10229" i="1"/>
  <c r="C10229" i="1"/>
  <c r="A1690" i="1"/>
  <c r="B1690" i="1"/>
  <c r="C1690" i="1"/>
  <c r="A1479" i="1"/>
  <c r="B1479" i="1"/>
  <c r="C1479" i="1"/>
  <c r="A2535" i="1"/>
  <c r="B2535" i="1"/>
  <c r="C2535" i="1"/>
  <c r="A1524" i="1"/>
  <c r="B1524" i="1"/>
  <c r="C1524" i="1"/>
  <c r="A11831" i="1"/>
  <c r="B11831" i="1"/>
  <c r="C11831" i="1"/>
  <c r="A761" i="1"/>
  <c r="B761" i="1"/>
  <c r="C761" i="1"/>
  <c r="A8987" i="1"/>
  <c r="B8987" i="1"/>
  <c r="C8987" i="1"/>
  <c r="A13249" i="1"/>
  <c r="B13249" i="1"/>
  <c r="C13249" i="1"/>
  <c r="A10990" i="1"/>
  <c r="B10990" i="1"/>
  <c r="C10990" i="1"/>
  <c r="A13736" i="1"/>
  <c r="B13736" i="1"/>
  <c r="C13736" i="1"/>
  <c r="A12732" i="1"/>
  <c r="B12732" i="1"/>
  <c r="C12732" i="1"/>
  <c r="A4894" i="1"/>
  <c r="B4894" i="1"/>
  <c r="C4894" i="1"/>
  <c r="A5044" i="1"/>
  <c r="B5044" i="1"/>
  <c r="C5044" i="1"/>
  <c r="A2157" i="1"/>
  <c r="B2157" i="1"/>
  <c r="C2157" i="1"/>
  <c r="A10241" i="1"/>
  <c r="B10241" i="1"/>
  <c r="C10241" i="1"/>
  <c r="A9610" i="1"/>
  <c r="B9610" i="1"/>
  <c r="C9610" i="1"/>
  <c r="A1355" i="1"/>
  <c r="B1355" i="1"/>
  <c r="C1355" i="1"/>
  <c r="A6396" i="1"/>
  <c r="B6396" i="1"/>
  <c r="C6396" i="1"/>
  <c r="A2697" i="1"/>
  <c r="B2697" i="1"/>
  <c r="C2697" i="1"/>
  <c r="A4024" i="1"/>
  <c r="B4024" i="1"/>
  <c r="C4024" i="1"/>
  <c r="A6698" i="1"/>
  <c r="B6698" i="1"/>
  <c r="C6698" i="1"/>
  <c r="A1013" i="1"/>
  <c r="B1013" i="1"/>
  <c r="C1013" i="1"/>
  <c r="A8730" i="1"/>
  <c r="B8730" i="1"/>
  <c r="C8730" i="1"/>
  <c r="A9539" i="1"/>
  <c r="B9539" i="1"/>
  <c r="C9539" i="1"/>
  <c r="A7358" i="1"/>
  <c r="B7358" i="1"/>
  <c r="C7358" i="1"/>
  <c r="A3695" i="1"/>
  <c r="B3695" i="1"/>
  <c r="C3695" i="1"/>
  <c r="A11014" i="1"/>
  <c r="B11014" i="1"/>
  <c r="C11014" i="1"/>
  <c r="A12816" i="1"/>
  <c r="B12816" i="1"/>
  <c r="C12816" i="1"/>
  <c r="A8351" i="1"/>
  <c r="B8351" i="1"/>
  <c r="C8351" i="1"/>
  <c r="A13951" i="1"/>
  <c r="B13951" i="1"/>
  <c r="C13951" i="1"/>
  <c r="A10591" i="1"/>
  <c r="B10591" i="1"/>
  <c r="C10591" i="1"/>
  <c r="A7844" i="1"/>
  <c r="B7844" i="1"/>
  <c r="C7844" i="1"/>
  <c r="A763" i="1"/>
  <c r="B763" i="1"/>
  <c r="C763" i="1"/>
  <c r="A13467" i="1"/>
  <c r="B13467" i="1"/>
  <c r="C13467" i="1"/>
  <c r="A8943" i="1"/>
  <c r="B8943" i="1"/>
  <c r="C8943" i="1"/>
  <c r="A12834" i="1"/>
  <c r="B12834" i="1"/>
  <c r="C12834" i="1"/>
  <c r="A11408" i="1"/>
  <c r="B11408" i="1"/>
  <c r="C11408" i="1"/>
  <c r="A9668" i="1"/>
  <c r="B9668" i="1"/>
  <c r="C9668" i="1"/>
  <c r="A4347" i="1"/>
  <c r="B4347" i="1"/>
  <c r="C4347" i="1"/>
  <c r="A6977" i="1"/>
  <c r="B6977" i="1"/>
  <c r="C6977" i="1"/>
  <c r="A10013" i="1"/>
  <c r="B10013" i="1"/>
  <c r="C10013" i="1"/>
  <c r="A8071" i="1"/>
  <c r="B8071" i="1"/>
  <c r="C8071" i="1"/>
  <c r="A4652" i="1"/>
  <c r="B4652" i="1"/>
  <c r="C4652" i="1"/>
  <c r="A3665" i="1"/>
  <c r="B3665" i="1"/>
  <c r="C3665" i="1"/>
  <c r="A1704" i="1"/>
  <c r="B1704" i="1"/>
  <c r="C1704" i="1"/>
  <c r="A1132" i="1"/>
  <c r="B1132" i="1"/>
  <c r="C1132" i="1"/>
  <c r="A5084" i="1"/>
  <c r="B5084" i="1"/>
  <c r="C5084" i="1"/>
  <c r="A5085" i="1"/>
  <c r="B5085" i="1"/>
  <c r="C5085" i="1"/>
  <c r="A13101" i="1"/>
  <c r="B13101" i="1"/>
  <c r="C13101" i="1"/>
  <c r="A5086" i="1"/>
  <c r="B5086" i="1"/>
  <c r="C5086" i="1"/>
  <c r="A5398" i="1"/>
  <c r="B5398" i="1"/>
  <c r="C5398" i="1"/>
  <c r="A2324" i="1"/>
  <c r="B2324" i="1"/>
  <c r="C2324" i="1"/>
  <c r="A10963" i="1"/>
  <c r="B10963" i="1"/>
  <c r="C10963" i="1"/>
  <c r="A6103" i="1"/>
  <c r="B6103" i="1"/>
  <c r="C6103" i="1"/>
  <c r="A5087" i="1"/>
  <c r="B5087" i="1"/>
  <c r="C5087" i="1"/>
  <c r="A11778" i="1"/>
  <c r="B11778" i="1"/>
  <c r="C11778" i="1"/>
  <c r="A10428" i="1"/>
  <c r="B10428" i="1"/>
  <c r="C10428" i="1"/>
  <c r="A12091" i="1"/>
  <c r="B12091" i="1"/>
  <c r="C12091" i="1"/>
  <c r="A3317" i="1"/>
  <c r="B3317" i="1"/>
  <c r="C3317" i="1"/>
  <c r="A12153" i="1"/>
  <c r="B12153" i="1"/>
  <c r="C12153" i="1"/>
  <c r="A5534" i="1"/>
  <c r="B5534" i="1"/>
  <c r="C5534" i="1"/>
  <c r="A979" i="1"/>
  <c r="B979" i="1"/>
  <c r="C979" i="1"/>
  <c r="A13860" i="1"/>
  <c r="B13860" i="1"/>
  <c r="C13860" i="1"/>
  <c r="A13861" i="1"/>
  <c r="B13861" i="1"/>
  <c r="C13861" i="1"/>
  <c r="A5472" i="1"/>
  <c r="B5472" i="1"/>
  <c r="C5472" i="1"/>
  <c r="A8221" i="1"/>
  <c r="B8221" i="1"/>
  <c r="C8221" i="1"/>
  <c r="A7806" i="1"/>
  <c r="B7806" i="1"/>
  <c r="C7806" i="1"/>
  <c r="A8134" i="1"/>
  <c r="B8134" i="1"/>
  <c r="C8134" i="1"/>
  <c r="A12294" i="1"/>
  <c r="B12294" i="1"/>
  <c r="C12294" i="1"/>
  <c r="A6267" i="1"/>
  <c r="B6267" i="1"/>
  <c r="C6267" i="1"/>
  <c r="A10033" i="1"/>
  <c r="B10033" i="1"/>
  <c r="C10033" i="1"/>
  <c r="A2693" i="1"/>
  <c r="B2693" i="1"/>
  <c r="C2693" i="1"/>
  <c r="A12603" i="1"/>
  <c r="B12603" i="1"/>
  <c r="C12603" i="1"/>
  <c r="A2352" i="1"/>
  <c r="B2352" i="1"/>
  <c r="C2352" i="1"/>
  <c r="A7033" i="1"/>
  <c r="B7033" i="1"/>
  <c r="C7033" i="1"/>
  <c r="A7304" i="1"/>
  <c r="B7304" i="1"/>
  <c r="C7304" i="1"/>
  <c r="A5271" i="1"/>
  <c r="B5271" i="1"/>
  <c r="C5271" i="1"/>
  <c r="A10709" i="1"/>
  <c r="B10709" i="1"/>
  <c r="C10709" i="1"/>
  <c r="A4217" i="1"/>
  <c r="B4217" i="1"/>
  <c r="C4217" i="1"/>
  <c r="A4743" i="1"/>
  <c r="B4743" i="1"/>
  <c r="C4743" i="1"/>
  <c r="A4555" i="1"/>
  <c r="B4555" i="1"/>
  <c r="C4555" i="1"/>
  <c r="A9254" i="1"/>
  <c r="B9254" i="1"/>
  <c r="C9254" i="1"/>
</calcChain>
</file>

<file path=xl/sharedStrings.xml><?xml version="1.0" encoding="utf-8"?>
<sst xmlns="http://schemas.openxmlformats.org/spreadsheetml/2006/main" count="36" uniqueCount="36">
  <si>
    <t>PARCEL</t>
  </si>
  <si>
    <t>="RESERVE "I"               LAKEWOOD SECTION 1        0.542 ACRE               "</t>
  </si>
  <si>
    <t>="RESERVE "E"               LAKEWOOD SECTION 3        2.288 ACRES              "</t>
  </si>
  <si>
    <t>="RESERVE "J"               LAKEWOOD SECTION 1        3.194 ACRES              "</t>
  </si>
  <si>
    <t>="RESERVE "G"               LAKEWOOD SECTION 3        4.173 ACRES              "</t>
  </si>
  <si>
    <t>="RESERVE "A"               HARRISON PARK             0.049 ACRE               "</t>
  </si>
  <si>
    <t>="SUNBURY RD                SUNBURY WOODS CENTER PH 1 RES."FF" 0.531 ACRE      "</t>
  </si>
  <si>
    <t>="RESERVE "A" 2.492AC       TAYLOR RIDGE ESTATES      SECTION 1                "</t>
  </si>
  <si>
    <t>="RESERVE "B" 0.445AC       TAYLOR RIDGE ESTATES      SECTION 1                "</t>
  </si>
  <si>
    <t>="RESERVE "B"               0.861 ACRE                TAYLOR FALLS             "</t>
  </si>
  <si>
    <t>="FOR TAXATION ONLY         CELLULAR TOWER            82-54'-19.35"  40-01'-59""</t>
  </si>
  <si>
    <t>="RESERVE "B"               REMINGTON RIDGE           SECTION 3 PART 2         "</t>
  </si>
  <si>
    <t>="RESERVE "F" 0.056 ACRE    VILLAGE AT ABBIE TRAILS   SECTION 3 PART 1         "</t>
  </si>
  <si>
    <t>="RESERVE "A" 0.483ACS      REMINGTON RIDGE           SECTION 3 PART 1         "</t>
  </si>
  <si>
    <t>="RESERVE "B" 0.413AC       CHERRY PARK               SECTION 2 PART 2         "</t>
  </si>
  <si>
    <t>="RESERVE "L"               LAKEWOOD SECTION 6        3.707 ACRES              "</t>
  </si>
  <si>
    <t>="HARRISON POND "VILLAGES   AT ROCKY FORK SECTION 9"  LOT 281                  "</t>
  </si>
  <si>
    <t>="RESERVE "C" 4.413ACS      MEADOWS AT                WINCHESTER SECTION 2     "</t>
  </si>
  <si>
    <t>="RESERVE "K"               LAKEWOOD SECTION 4        0.977 ACRE               "</t>
  </si>
  <si>
    <t>="RESERVE "D"               LAKEWOOD SECTION 3        0.520 ACRE               "</t>
  </si>
  <si>
    <t>="RESERVE "F"               LAKEWOOD SECTION 3        0.222 ACRE               "</t>
  </si>
  <si>
    <t>="RESERVE "B"               SUSSEX PLACE SECTION 1    4.066 ACRES              "</t>
  </si>
  <si>
    <t>="RESERVE "A"               SUSSEX PLACE SECTION 2    5.326 ACRE               "</t>
  </si>
  <si>
    <t>="RESERVE "C"               SUSSEX PLACE SECTION 2    0.344 ACRE               "</t>
  </si>
  <si>
    <t>="RESERVE "B" 1.051 ACRE    MEADOW GROVE ESTATES      NORTH SECTON 1           "</t>
  </si>
  <si>
    <t>="RESERVE "A" 0.683 ACRE    LEHMAN MEADOWS            SUBDIVISION              "</t>
  </si>
  <si>
    <t>="RESERVE "E" 0.161 ACRE    HARTMAN PONDS             SECTION 2                "</t>
  </si>
  <si>
    <t>="RESERVE "A"               GREAT OAK SUBDIVISION     1.572 ACRES              "</t>
  </si>
  <si>
    <t>="RESERVE "B"               GREAT OAK SUBDIVISION     3.095 ACRES              "</t>
  </si>
  <si>
    <t>="RESERVE AT HIDDEN         COVE (RESUB RES"A")       LOT 76                   "</t>
  </si>
  <si>
    <t>="RESERVE "A"               CHESAPEAKE SOUTH          SECTION 2 PART 2         "</t>
  </si>
  <si>
    <t>="RESERVE "A" 0.029 ACRE    MCCUTCHEON CROSSING       SECTION 5                "</t>
  </si>
  <si>
    <t>="BILLINGTON DR             SMYTHE FARMS SEC 4        RES "A"   2.062 ACRE     "</t>
  </si>
  <si>
    <t>OWNER NAME</t>
  </si>
  <si>
    <t>LOCATION</t>
  </si>
  <si>
    <t>TOTAL DELINQUENT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</si>
</sst>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Georgia"/>
      <family val="1"/>
    </font>
    <font>
      <sz val="11"/>
      <color indexed="8"/>
      <name val="Aptos Narrow"/>
      <family val="2"/>
      <scheme val="minor"/>
    </font>
    <font>
      <sz val="12"/>
      <color indexed="8"/>
      <name val="Georgia"/>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5">
    <xf numFmtId="0" fontId="0" fillId="0" borderId="0" xfId="0"/>
    <xf numFmtId="0" fontId="18" fillId="0" borderId="0" xfId="0" applyFont="1"/>
    <xf numFmtId="44" fontId="18" fillId="0" borderId="0" xfId="1" applyFont="1"/>
    <xf numFmtId="0" fontId="20" fillId="0" borderId="10" xfId="43" applyFont="1" applyBorder="1"/>
    <xf numFmtId="44" fontId="20" fillId="0" borderId="10" xfId="43" applyNumberFormat="1" applyFont="1" applyBorder="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43" xr:uid="{20CFE93D-2E2A-4DCF-983B-12C1CB977C01}"/>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C2817-9F76-41C2-9363-4DE98AA7B090}">
  <dimension ref="A1:D13962"/>
  <sheetViews>
    <sheetView tabSelected="1" workbookViewId="0">
      <selection activeCell="B3" sqref="B3"/>
    </sheetView>
  </sheetViews>
  <sheetFormatPr defaultRowHeight="15.6" x14ac:dyDescent="0.3"/>
  <cols>
    <col min="1" max="1" width="15.77734375" style="1" bestFit="1" customWidth="1"/>
    <col min="2" max="2" width="255.77734375" style="1" bestFit="1" customWidth="1"/>
    <col min="3" max="3" width="141.5546875" style="1" bestFit="1" customWidth="1"/>
    <col min="4" max="4" width="25.6640625" style="1" bestFit="1" customWidth="1"/>
    <col min="5" max="16384" width="8.88671875" style="1"/>
  </cols>
  <sheetData>
    <row r="1" spans="1:4" x14ac:dyDescent="0.3">
      <c r="A1" s="3" t="s">
        <v>0</v>
      </c>
      <c r="B1" s="3" t="s">
        <v>33</v>
      </c>
      <c r="C1" s="3" t="s">
        <v>34</v>
      </c>
      <c r="D1" s="4" t="s">
        <v>35</v>
      </c>
    </row>
    <row r="2" spans="1:4" x14ac:dyDescent="0.3">
      <c r="A2" s="1" t="str">
        <f>"01008314500"</f>
        <v>01008314500</v>
      </c>
      <c r="B2" s="1" t="str">
        <f>"1 CSC ENTERPRISE"</f>
        <v>1 CSC ENTERPRISE</v>
      </c>
      <c r="C2" s="1" t="str">
        <f>"COMO AVE CHELSEA ADD LOTS 85-86-87-88"</f>
        <v>COMO AVE CHELSEA ADD LOTS 85-86-87-88</v>
      </c>
      <c r="D2" s="1">
        <v>981.2</v>
      </c>
    </row>
    <row r="3" spans="1:4" x14ac:dyDescent="0.3">
      <c r="A3" s="1" t="str">
        <f>"01008564100"</f>
        <v>01008564100</v>
      </c>
      <c r="B3" s="1" t="str">
        <f>"1 NAK LLC"</f>
        <v>1 NAK LLC</v>
      </c>
      <c r="C3" s="1" t="str">
        <f>"HIGH ST ZOOLAND LOT 13"</f>
        <v>HIGH ST ZOOLAND LOT 13</v>
      </c>
      <c r="D3" s="1">
        <v>518.57000000000005</v>
      </c>
    </row>
    <row r="4" spans="1:4" x14ac:dyDescent="0.3">
      <c r="A4" s="1" t="str">
        <f>"01019651900"</f>
        <v>01019651900</v>
      </c>
      <c r="B4" s="1" t="str">
        <f>"1 SPRING LLC"</f>
        <v>1 SPRING LLC</v>
      </c>
      <c r="C4" s="1" t="str">
        <f>"185 N HIGH ST IN LOT PT LOT 291"</f>
        <v>185 N HIGH ST IN LOT PT LOT 291</v>
      </c>
      <c r="D4" s="1">
        <v>1206.03</v>
      </c>
    </row>
    <row r="5" spans="1:4" x14ac:dyDescent="0.3">
      <c r="A5" s="1" t="str">
        <f>"14000339200"</f>
        <v>14000339200</v>
      </c>
      <c r="B5" s="1" t="str">
        <f>"1000 FRANK PROPERTY LLC"</f>
        <v>1000 FRANK PROPERTY LLC</v>
      </c>
      <c r="C5" s="1" t="str">
        <f>"1000 FRANK RD 4.541 ACRES ENTRY 420"</f>
        <v>1000 FRANK RD 4.541 ACRES ENTRY 420</v>
      </c>
      <c r="D5" s="1">
        <v>21000</v>
      </c>
    </row>
    <row r="6" spans="1:4" x14ac:dyDescent="0.3">
      <c r="A6" s="1" t="str">
        <f>"01008065500"</f>
        <v>01008065500</v>
      </c>
      <c r="B6" s="1" t="str">
        <f>"1001 LILLEY AVE LLC"</f>
        <v>1001 LILLEY AVE LLC</v>
      </c>
      <c r="C6" s="1" t="str">
        <f>"DRIVING PARK LOT 156  "</f>
        <v xml:space="preserve">DRIVING PARK LOT 156  </v>
      </c>
      <c r="D6" s="1">
        <v>7080.7</v>
      </c>
    </row>
    <row r="7" spans="1:4" x14ac:dyDescent="0.3">
      <c r="A7" s="1" t="str">
        <f>"01013236800"</f>
        <v>01013236800</v>
      </c>
      <c r="B7" s="1" t="str">
        <f>"1001 PARKVIEW ROAD LLC"</f>
        <v>1001 PARKVIEW ROAD LLC</v>
      </c>
      <c r="C7" s="1" t="str">
        <f>"PARKVIEW BLVD 1.221 ACRES LOT 4-20"</f>
        <v>PARKVIEW BLVD 1.221 ACRES LOT 4-20</v>
      </c>
      <c r="D7" s="1">
        <v>5814.55</v>
      </c>
    </row>
    <row r="8" spans="1:4" x14ac:dyDescent="0.3">
      <c r="A8" s="1" t="str">
        <f>"01012671100"</f>
        <v>01012671100</v>
      </c>
      <c r="B8" s="1" t="str">
        <f>"1001 PARKVIEW ROAD LLC"</f>
        <v>1001 PARKVIEW ROAD LLC</v>
      </c>
      <c r="C8" s="1" t="str">
        <f>"JOHNSTOWN PIKE 2.647 ACRES LOT 4-20"</f>
        <v>JOHNSTOWN PIKE 2.647 ACRES LOT 4-20</v>
      </c>
      <c r="D8" s="1">
        <v>9399.94</v>
      </c>
    </row>
    <row r="9" spans="1:4" x14ac:dyDescent="0.3">
      <c r="A9" s="1" t="str">
        <f>"01012671500"</f>
        <v>01012671500</v>
      </c>
      <c r="B9" s="1" t="str">
        <f>"1001 PARKVIEW ROAD LLC"</f>
        <v>1001 PARKVIEW ROAD LLC</v>
      </c>
      <c r="C9" s="1" t="str">
        <f>"3359 PARK VIEW BLVD KENSINGTON EAST PART LOT 2"</f>
        <v>3359 PARK VIEW BLVD KENSINGTON EAST PART LOT 2</v>
      </c>
      <c r="D9" s="1">
        <v>307007.38</v>
      </c>
    </row>
    <row r="10" spans="1:4" x14ac:dyDescent="0.3">
      <c r="A10" s="1" t="str">
        <f>"01012671600"</f>
        <v>01012671600</v>
      </c>
      <c r="B10" s="1" t="str">
        <f>"1001 PARKVIEW ROAD LLC"</f>
        <v>1001 PARKVIEW ROAD LLC</v>
      </c>
      <c r="C10" s="1" t="str">
        <f>"PARK VIEW BLVD KENSINGTON PART LOT 1"</f>
        <v>PARK VIEW BLVD KENSINGTON PART LOT 1</v>
      </c>
      <c r="D10" s="1">
        <v>13255.52</v>
      </c>
    </row>
    <row r="11" spans="1:4" x14ac:dyDescent="0.3">
      <c r="A11" s="1" t="str">
        <f>"01012671900"</f>
        <v>01012671900</v>
      </c>
      <c r="B11" s="1" t="str">
        <f>"1001 PARKVIEW ROAD LLC"</f>
        <v>1001 PARKVIEW ROAD LLC</v>
      </c>
      <c r="C11" s="1" t="str">
        <f>"PARK VIEW BLVD KENSINGTON LOT 3 EX IRR PC SE"</f>
        <v>PARK VIEW BLVD KENSINGTON LOT 3 EX IRR PC SE</v>
      </c>
      <c r="D11" s="1">
        <v>4465.2700000000004</v>
      </c>
    </row>
    <row r="12" spans="1:4" x14ac:dyDescent="0.3">
      <c r="A12" s="1" t="str">
        <f>"01012677900"</f>
        <v>01012677900</v>
      </c>
      <c r="B12" s="1" t="str">
        <f>"1001 PARKVIEW ROAD LLC"</f>
        <v>1001 PARKVIEW ROAD LLC</v>
      </c>
      <c r="C12" s="1" t="str">
        <f>"JOHNSTOWN PK KENSINGTON LOT 4 EX IRR TRI SE &amp; MID SEC"</f>
        <v>JOHNSTOWN PK KENSINGTON LOT 4 EX IRR TRI SE &amp; MID SEC</v>
      </c>
      <c r="D12" s="1">
        <v>3198.26</v>
      </c>
    </row>
    <row r="13" spans="1:4" x14ac:dyDescent="0.3">
      <c r="A13" s="1" t="str">
        <f>"03000258300"</f>
        <v>03000258300</v>
      </c>
      <c r="B13" s="1" t="str">
        <f>"1013 INVESTMENTS LTD"</f>
        <v>1013 INVESTMENTS LTD</v>
      </c>
      <c r="C13" s="1" t="str">
        <f>"1013 DUBLIN RD WATERMANS DUBLIN AVE LOT 2 EX 58.08'WL IRR SS"</f>
        <v>1013 DUBLIN RD WATERMANS DUBLIN AVE LOT 2 EX 58.08'WL IRR SS</v>
      </c>
      <c r="D13" s="1">
        <v>13288.04</v>
      </c>
    </row>
    <row r="14" spans="1:4" x14ac:dyDescent="0.3">
      <c r="A14" s="1" t="str">
        <f>"01009729900"</f>
        <v>01009729900</v>
      </c>
      <c r="B14" s="1" t="str">
        <f>"1036 E HUDSON ST LLC"</f>
        <v>1036 E HUDSON ST LLC</v>
      </c>
      <c r="C14" s="1" t="str">
        <f>"1000 LORETTA AVE LORETTA LOT 26"</f>
        <v>1000 LORETTA AVE LORETTA LOT 26</v>
      </c>
      <c r="D14" s="1">
        <v>1113.56</v>
      </c>
    </row>
    <row r="15" spans="1:4" x14ac:dyDescent="0.3">
      <c r="A15" s="1" t="str">
        <f>"01020959500"</f>
        <v>01020959500</v>
      </c>
      <c r="B15" s="1" t="str">
        <f>"104 INVESTMENT HOLDINGS INC"</f>
        <v>104 INVESTMENT HOLDINGS INC</v>
      </c>
      <c r="C15" s="1" t="str">
        <f>"MASON RUN COURT MASON VILLAGE CONDO UNIT 2435"</f>
        <v>MASON RUN COURT MASON VILLAGE CONDO UNIT 2435</v>
      </c>
      <c r="D15" s="1">
        <v>1659.76</v>
      </c>
    </row>
    <row r="16" spans="1:4" x14ac:dyDescent="0.3">
      <c r="A16" s="1" t="str">
        <f>"01003855200"</f>
        <v>01003855200</v>
      </c>
      <c r="B16" s="1" t="str">
        <f>"1046 BELLOWS AVE LLC"</f>
        <v>1046 BELLOWS AVE LLC</v>
      </c>
      <c r="C16" s="1" t="str">
        <f>"1046 BELLOWS AVE AVONDALE LOT 47"</f>
        <v>1046 BELLOWS AVE AVONDALE LOT 47</v>
      </c>
      <c r="D16" s="1">
        <v>1071.76</v>
      </c>
    </row>
    <row r="17" spans="1:4" x14ac:dyDescent="0.3">
      <c r="A17" s="1" t="str">
        <f>"61019978400"</f>
        <v>61019978400</v>
      </c>
      <c r="B17" s="1" t="str">
        <f>"1064 WORTHINGTONWOODS LLC"</f>
        <v>1064 WORTHINGTONWOODS LLC</v>
      </c>
      <c r="C17" s="1" t="str">
        <f>"WORTHINGTON WOODS WEST CONDO 2 UNIT 17 BLDG H"</f>
        <v>WORTHINGTON WOODS WEST CONDO 2 UNIT 17 BLDG H</v>
      </c>
      <c r="D17" s="1">
        <v>2049.31</v>
      </c>
    </row>
    <row r="18" spans="1:4" x14ac:dyDescent="0.3">
      <c r="A18" s="1" t="str">
        <f>"01003988300"</f>
        <v>01003988300</v>
      </c>
      <c r="B18" s="1" t="str">
        <f>"107 W DODRIDGE LLC"</f>
        <v>107 W DODRIDGE LLC</v>
      </c>
      <c r="C18" s="1" t="str">
        <f>"107 W DODRIDGE 36X167.25 FT J WALSH LOT SUB 6-7"</f>
        <v>107 W DODRIDGE 36X167.25 FT J WALSH LOT SUB 6-7</v>
      </c>
      <c r="D18" s="1">
        <v>11196.97</v>
      </c>
    </row>
    <row r="19" spans="1:4" x14ac:dyDescent="0.3">
      <c r="A19" s="1" t="str">
        <f>"01003744100"</f>
        <v>01003744100</v>
      </c>
      <c r="B19" s="1" t="str">
        <f>"1082 BELLOWS LLC"</f>
        <v>1082 BELLOWS LLC</v>
      </c>
      <c r="C19" s="1" t="str">
        <f>"1082 BELLOWS AVE AVONDALE LOT 40"</f>
        <v>1082 BELLOWS AVE AVONDALE LOT 40</v>
      </c>
      <c r="D19" s="1">
        <v>94.22</v>
      </c>
    </row>
    <row r="20" spans="1:4" x14ac:dyDescent="0.3">
      <c r="A20" s="1" t="str">
        <f>"01006123100"</f>
        <v>01006123100</v>
      </c>
      <c r="B20" s="1" t="str">
        <f>"11 ONE PROPERTIES LLC"</f>
        <v>11 ONE PROPERTIES LLC</v>
      </c>
      <c r="C20" s="1" t="str">
        <f>"1961 25TH AVE WALDEMERE LOT 47"</f>
        <v>1961 25TH AVE WALDEMERE LOT 47</v>
      </c>
      <c r="D20" s="1">
        <v>214.31</v>
      </c>
    </row>
    <row r="21" spans="1:4" x14ac:dyDescent="0.3">
      <c r="A21" s="1" t="str">
        <f>"01012962000"</f>
        <v>01012962000</v>
      </c>
      <c r="B21" s="1" t="str">
        <f>"1103 DUBLIN RD LLC"</f>
        <v>1103 DUBLIN RD LLC</v>
      </c>
      <c r="C21" s="1" t="str">
        <f>"1003 DUBLIN RD GRANDVIEW 2 LOT 10"</f>
        <v>1003 DUBLIN RD GRANDVIEW 2 LOT 10</v>
      </c>
      <c r="D21" s="1">
        <v>5573.14</v>
      </c>
    </row>
    <row r="22" spans="1:4" x14ac:dyDescent="0.3">
      <c r="A22" s="1" t="str">
        <f>"01002677700"</f>
        <v>01002677700</v>
      </c>
      <c r="B22" s="1" t="str">
        <f>"1111 INVESTMENT GROUP LLC"</f>
        <v>1111 INVESTMENT GROUP LLC</v>
      </c>
      <c r="C22" s="1" t="str">
        <f>"738 DESHLER AVE MILLERS DESHLER AVE LOT 43"</f>
        <v>738 DESHLER AVE MILLERS DESHLER AVE LOT 43</v>
      </c>
      <c r="D22" s="1">
        <v>7817.15</v>
      </c>
    </row>
    <row r="23" spans="1:4" x14ac:dyDescent="0.3">
      <c r="A23" s="1" t="str">
        <f>"01012960800"</f>
        <v>01012960800</v>
      </c>
      <c r="B23" s="1" t="str">
        <f>"1114 DUBLIN ROAD LLC"</f>
        <v>1114 DUBLIN ROAD LLC</v>
      </c>
      <c r="C23" s="1" t="str">
        <f>"1112 DUBLIN AVE CROUGHTON &amp; DENMEAD SUB 187-188"</f>
        <v>1112 DUBLIN AVE CROUGHTON &amp; DENMEAD SUB 187-188</v>
      </c>
      <c r="D23" s="1">
        <v>374.23</v>
      </c>
    </row>
    <row r="24" spans="1:4" x14ac:dyDescent="0.3">
      <c r="A24" s="1" t="str">
        <f>"01012961000"</f>
        <v>01012961000</v>
      </c>
      <c r="B24" s="1" t="str">
        <f>"1114 DUBLIN ROAD LLC"</f>
        <v>1114 DUBLIN ROAD LLC</v>
      </c>
      <c r="C24" s="1" t="str">
        <f>"DUBLIN RD CROUGHTON &amp; DENMEAD SUB 201-2"</f>
        <v>DUBLIN RD CROUGHTON &amp; DENMEAD SUB 201-2</v>
      </c>
      <c r="D24" s="1">
        <v>182.92</v>
      </c>
    </row>
    <row r="25" spans="1:4" x14ac:dyDescent="0.3">
      <c r="A25" s="1" t="str">
        <f>"01012961100"</f>
        <v>01012961100</v>
      </c>
      <c r="B25" s="1" t="str">
        <f>"1114 DUBLIN ROAD LLC"</f>
        <v>1114 DUBLIN ROAD LLC</v>
      </c>
      <c r="C25" s="1" t="str">
        <f>"DUBLIN RD CROUGHTON &amp; DENMEAD LOT 187"</f>
        <v>DUBLIN RD CROUGHTON &amp; DENMEAD LOT 187</v>
      </c>
      <c r="D25" s="1">
        <v>1417.82</v>
      </c>
    </row>
    <row r="26" spans="1:4" x14ac:dyDescent="0.3">
      <c r="A26" s="1" t="str">
        <f>"01012961200"</f>
        <v>01012961200</v>
      </c>
      <c r="B26" s="1" t="str">
        <f>"1114 DUBLIN ROAD LLC"</f>
        <v>1114 DUBLIN ROAD LLC</v>
      </c>
      <c r="C26" s="1" t="str">
        <f>"RICHWOOD ST SEE DUP FOR DESC CROUGHTON &amp; DENMEAD LOT 188"</f>
        <v>RICHWOOD ST SEE DUP FOR DESC CROUGHTON &amp; DENMEAD LOT 188</v>
      </c>
      <c r="D26" s="1">
        <v>366.51</v>
      </c>
    </row>
    <row r="27" spans="1:4" x14ac:dyDescent="0.3">
      <c r="A27" s="1" t="str">
        <f>"01012964500"</f>
        <v>01012964500</v>
      </c>
      <c r="B27" s="1" t="str">
        <f>"1114 DUBLIN ROAD LLC"</f>
        <v>1114 DUBLIN ROAD LLC</v>
      </c>
      <c r="C27" s="1" t="str">
        <f>"RICHWOOD ST CROUGHTON &amp; DENMEAD GRANDVIEW 2 L83TO95"</f>
        <v>RICHWOOD ST CROUGHTON &amp; DENMEAD GRANDVIEW 2 L83TO95</v>
      </c>
      <c r="D27" s="1">
        <v>2.62</v>
      </c>
    </row>
    <row r="28" spans="1:4" x14ac:dyDescent="0.3">
      <c r="A28" s="1" t="str">
        <f>"03000254800"</f>
        <v>03000254800</v>
      </c>
      <c r="B28" s="1" t="str">
        <f>"1114 DUBLIN ROAD LLC"</f>
        <v>1114 DUBLIN ROAD LLC</v>
      </c>
      <c r="C28" s="1" t="str">
        <f>"1124 DUBLIN RD CROUGHTON &amp; DENMEAD LOT 201-202"</f>
        <v>1124 DUBLIN RD CROUGHTON &amp; DENMEAD LOT 201-202</v>
      </c>
      <c r="D28" s="1">
        <v>268.48</v>
      </c>
    </row>
    <row r="29" spans="1:4" x14ac:dyDescent="0.3">
      <c r="A29" s="1" t="str">
        <f>"03000255600"</f>
        <v>03000255600</v>
      </c>
      <c r="B29" s="1" t="str">
        <f>"1114 DUBLIN ROAD LLC"</f>
        <v>1114 DUBLIN ROAD LLC</v>
      </c>
      <c r="C29" s="1" t="str">
        <f>"1114 DUBLIN AVE CROUGHTON &amp; DENMEAD LOT 201-202"</f>
        <v>1114 DUBLIN AVE CROUGHTON &amp; DENMEAD LOT 201-202</v>
      </c>
      <c r="D29" s="1">
        <v>2259.73</v>
      </c>
    </row>
    <row r="30" spans="1:4" x14ac:dyDescent="0.3">
      <c r="A30" s="1" t="str">
        <f>"03000256600"</f>
        <v>03000256600</v>
      </c>
      <c r="B30" s="1" t="str">
        <f>"1114 DUBLIN ROAD LLC"</f>
        <v>1114 DUBLIN ROAD LLC</v>
      </c>
      <c r="C30" s="1" t="str">
        <f>"DUBLIN AVE CROUGHTON &amp; DENMEAD LOT 201-202"</f>
        <v>DUBLIN AVE CROUGHTON &amp; DENMEAD LOT 201-202</v>
      </c>
      <c r="D30" s="1">
        <v>237.23</v>
      </c>
    </row>
    <row r="31" spans="1:4" x14ac:dyDescent="0.3">
      <c r="A31" s="1" t="str">
        <f>"01012956400"</f>
        <v>01012956400</v>
      </c>
      <c r="B31" s="1" t="str">
        <f>"1130 DUBLIN ROAD LLC"</f>
        <v>1130 DUBLIN ROAD LLC</v>
      </c>
      <c r="C31" s="1" t="str">
        <f>"DUBLIN RD ACRES 1.109 R23 T1 S12"</f>
        <v>DUBLIN RD ACRES 1.109 R23 T1 S12</v>
      </c>
      <c r="D31" s="1">
        <v>2128.61</v>
      </c>
    </row>
    <row r="32" spans="1:4" x14ac:dyDescent="0.3">
      <c r="A32" s="1" t="str">
        <f>"03000258100"</f>
        <v>03000258100</v>
      </c>
      <c r="B32" s="1" t="str">
        <f>"1130 DUBLIN ROAD LLC"</f>
        <v>1130 DUBLIN ROAD LLC</v>
      </c>
      <c r="C32" s="1" t="str">
        <f>"FAIRVIEW AVE L83TO95 CROUGHTON &amp; DENMEAD SUB 199 GRANDVIEW"</f>
        <v>FAIRVIEW AVE L83TO95 CROUGHTON &amp; DENMEAD SUB 199 GRANDVIEW</v>
      </c>
      <c r="D32" s="1">
        <v>218.43</v>
      </c>
    </row>
    <row r="33" spans="1:4" x14ac:dyDescent="0.3">
      <c r="A33" s="1" t="str">
        <f>"03000258200"</f>
        <v>03000258200</v>
      </c>
      <c r="B33" s="1" t="str">
        <f>"1130 DUBLIN ROAD LLC"</f>
        <v>1130 DUBLIN ROAD LLC</v>
      </c>
      <c r="C33" s="1" t="str">
        <f>"FAIRVIEW AVE L83TO95 CROUGHTON &amp; DENMEAD SUB 200 GRANDVIEW"</f>
        <v>FAIRVIEW AVE L83TO95 CROUGHTON &amp; DENMEAD SUB 200 GRANDVIEW</v>
      </c>
      <c r="D33" s="1">
        <v>218.43</v>
      </c>
    </row>
    <row r="34" spans="1:4" x14ac:dyDescent="0.3">
      <c r="A34" s="1" t="str">
        <f>"01001377700"</f>
        <v>01001377700</v>
      </c>
      <c r="B34" s="1" t="str">
        <f>"1140 OAK LLC"</f>
        <v>1140 OAK LLC</v>
      </c>
      <c r="C34" s="1" t="str">
        <f>"1134-36 OAK STREET HOFFMAN &amp; MCGREW LOT 239"</f>
        <v>1134-36 OAK STREET HOFFMAN &amp; MCGREW LOT 239</v>
      </c>
      <c r="D34" s="1">
        <v>1066.8900000000001</v>
      </c>
    </row>
    <row r="35" spans="1:4" x14ac:dyDescent="0.3">
      <c r="A35" s="1" t="str">
        <f>"01003288700"</f>
        <v>01003288700</v>
      </c>
      <c r="B35" s="1" t="str">
        <f>"1140 OAK ST LLC"</f>
        <v>1140 OAK ST LLC</v>
      </c>
      <c r="C35" s="1" t="str">
        <f>"REAR 1144 OAK ST HOFFMAN &amp; MC GREW LOT 241"</f>
        <v>REAR 1144 OAK ST HOFFMAN &amp; MC GREW LOT 241</v>
      </c>
      <c r="D35" s="1">
        <v>994.48</v>
      </c>
    </row>
    <row r="36" spans="1:4" x14ac:dyDescent="0.3">
      <c r="A36" s="1" t="str">
        <f>"01007022600"</f>
        <v>01007022600</v>
      </c>
      <c r="B36" s="1" t="str">
        <f>"1140 OAK ST LLC"</f>
        <v>1140 OAK ST LLC</v>
      </c>
      <c r="C36" s="1" t="str">
        <f>"1140 OAK ST HOFFMAN &amp; MCGREW LOT 240"</f>
        <v>1140 OAK ST HOFFMAN &amp; MCGREW LOT 240</v>
      </c>
      <c r="D36" s="1">
        <v>1520.19</v>
      </c>
    </row>
    <row r="37" spans="1:4" x14ac:dyDescent="0.3">
      <c r="A37" s="1" t="str">
        <f>"01010071400"</f>
        <v>01010071400</v>
      </c>
      <c r="B37" s="1" t="str">
        <f>"1150 ALUM CREEK LLC"</f>
        <v>1150 ALUM CREEK LLC</v>
      </c>
      <c r="C37" s="1" t="str">
        <f>"ALUM CREEK DR R22 T5 S23 1/2S33 1.640 ACRES"</f>
        <v>ALUM CREEK DR R22 T5 S23 1/2S33 1.640 ACRES</v>
      </c>
      <c r="D37" s="1">
        <v>8465.69</v>
      </c>
    </row>
    <row r="38" spans="1:4" x14ac:dyDescent="0.3">
      <c r="A38" s="1" t="str">
        <f>"01008038300"</f>
        <v>01008038300</v>
      </c>
      <c r="B38" s="1" t="str">
        <f>"1164-1166 MILLER AVE LLC"</f>
        <v>1164-1166 MILLER AVE LLC</v>
      </c>
      <c r="C38" s="1" t="str">
        <f>"1166-8 MILLER AVE SPENCERS LOT PT 43"</f>
        <v>1166-8 MILLER AVE SPENCERS LOT PT 43</v>
      </c>
      <c r="D38" s="1">
        <v>232.55</v>
      </c>
    </row>
    <row r="39" spans="1:4" x14ac:dyDescent="0.3">
      <c r="A39" s="1" t="str">
        <f>"13000548900"</f>
        <v>13000548900</v>
      </c>
      <c r="B39" s="1" t="str">
        <f>"1177 CHESAPEAKE AVENUE LLC"</f>
        <v>1177 CHESAPEAKE AVENUE LLC</v>
      </c>
      <c r="C39" s="1" t="str">
        <f>"CHESAPEAKE AVE PUGH 1.0259 ACRES LOT 9"</f>
        <v>CHESAPEAKE AVE PUGH 1.0259 ACRES LOT 9</v>
      </c>
      <c r="D39" s="1">
        <v>1311.48</v>
      </c>
    </row>
    <row r="40" spans="1:4" x14ac:dyDescent="0.3">
      <c r="A40" s="1" t="str">
        <f>"01004531900"</f>
        <v>01004531900</v>
      </c>
      <c r="B40" s="1" t="str">
        <f>"1190 MT VERNON AVE LLC"</f>
        <v>1190 MT VERNON AVE LLC</v>
      </c>
      <c r="C40" s="1" t="str">
        <f>"1190 E MT VERNON AVE BENNETT LOT 1 &amp; ARMSTRONG SE PT LOT 12"</f>
        <v>1190 E MT VERNON AVE BENNETT LOT 1 &amp; ARMSTRONG SE PT LOT 12</v>
      </c>
      <c r="D40" s="1">
        <v>2855.33</v>
      </c>
    </row>
    <row r="41" spans="1:4" x14ac:dyDescent="0.3">
      <c r="A41" s="1" t="str">
        <f>"01006261500"</f>
        <v>01006261500</v>
      </c>
      <c r="B41" s="1" t="str">
        <f>"1210 THIRD AVENUE LLC"</f>
        <v>1210 THIRD AVENUE LLC</v>
      </c>
      <c r="C41" s="1" t="str">
        <f>"W 3RD AVE                 REAL VIEW                 LOT 34-35                "</f>
        <v xml:space="preserve">W 3RD AVE                 REAL VIEW                 LOT 34-35                </v>
      </c>
      <c r="D41" s="1">
        <v>30.43</v>
      </c>
    </row>
    <row r="42" spans="1:4" x14ac:dyDescent="0.3">
      <c r="A42" s="1" t="str">
        <f>"01008041500"</f>
        <v>01008041500</v>
      </c>
      <c r="B42" s="1" t="str">
        <f>"1215 SEYMOUR AVENUE LLC"</f>
        <v>1215 SEYMOUR AVENUE LLC</v>
      </c>
      <c r="C42" s="1" t="str">
        <f>"SEYMOUR AVE LENOX LOT 216"</f>
        <v>SEYMOUR AVE LENOX LOT 216</v>
      </c>
      <c r="D42" s="1">
        <v>1017.67</v>
      </c>
    </row>
    <row r="43" spans="1:4" x14ac:dyDescent="0.3">
      <c r="A43" s="1" t="str">
        <f>"01008836800"</f>
        <v>01008836800</v>
      </c>
      <c r="B43" s="1" t="str">
        <f>"1225 SOUTH FRONT LLC"</f>
        <v>1225 SOUTH FRONT LLC</v>
      </c>
      <c r="C43" s="1" t="str">
        <f>"W GATES ST AMBOS HRS 1ST LOT 32-33-34-35"</f>
        <v>W GATES ST AMBOS HRS 1ST LOT 32-33-34-35</v>
      </c>
      <c r="D43" s="1">
        <v>660.78</v>
      </c>
    </row>
    <row r="44" spans="1:4" x14ac:dyDescent="0.3">
      <c r="A44" s="1" t="str">
        <f>"01006502200"</f>
        <v>01006502200</v>
      </c>
      <c r="B44" s="1" t="str">
        <f>"1225 SOUTH FRONT LLC"</f>
        <v>1225 SOUTH FRONT LLC</v>
      </c>
      <c r="C44" s="1" t="str">
        <f>"38.07X219FT NS WEST OF FRONT 1/2 SEC OF 29"</f>
        <v>38.07X219FT NS WEST OF FRONT 1/2 SEC OF 29</v>
      </c>
      <c r="D44" s="1">
        <v>1267.01</v>
      </c>
    </row>
    <row r="45" spans="1:4" x14ac:dyDescent="0.3">
      <c r="A45" s="1" t="str">
        <f>"01006502300"</f>
        <v>01006502300</v>
      </c>
      <c r="B45" s="1" t="str">
        <f>"1225 SOUTH FRONT LLC"</f>
        <v>1225 SOUTH FRONT LLC</v>
      </c>
      <c r="C45" s="1" t="str">
        <f>"40.07X222FT N MID PT WEST OF FRONT 1/2 SEC OF 29"</f>
        <v>40.07X222FT N MID PT WEST OF FRONT 1/2 SEC OF 29</v>
      </c>
      <c r="D45" s="1">
        <v>1355.34</v>
      </c>
    </row>
    <row r="46" spans="1:4" x14ac:dyDescent="0.3">
      <c r="A46" s="1" t="str">
        <f>"01006502400"</f>
        <v>01006502400</v>
      </c>
      <c r="B46" s="1" t="str">
        <f>"1225 SOUTH FRONT LLC"</f>
        <v>1225 SOUTH FRONT LLC</v>
      </c>
      <c r="C46" s="1" t="str">
        <f>"FACING RR FRONT ST 1/2 SEC OF 29"</f>
        <v>FACING RR FRONT ST 1/2 SEC OF 29</v>
      </c>
      <c r="D46" s="1">
        <v>1370.06</v>
      </c>
    </row>
    <row r="47" spans="1:4" x14ac:dyDescent="0.3">
      <c r="A47" s="1" t="str">
        <f>"01006502500"</f>
        <v>01006502500</v>
      </c>
      <c r="B47" s="1" t="str">
        <f>"1225 SOUTH FRONT LLC"</f>
        <v>1225 SOUTH FRONT LLC</v>
      </c>
      <c r="C47" s="1" t="str">
        <f>"FACING RR FRONT ST 1/2 SEC OF 29"</f>
        <v>FACING RR FRONT ST 1/2 SEC OF 29</v>
      </c>
      <c r="D47" s="1">
        <v>1379.6</v>
      </c>
    </row>
    <row r="48" spans="1:4" x14ac:dyDescent="0.3">
      <c r="A48" s="1" t="str">
        <f>"01000719000"</f>
        <v>01000719000</v>
      </c>
      <c r="B48" s="1" t="str">
        <f>"1225 SOUTH FRONT LLC"</f>
        <v>1225 SOUTH FRONT LLC</v>
      </c>
      <c r="C48" s="1" t="str">
        <f>"47 W GATES ST AMBOS HRS 1ST LOT 15 TO 18"</f>
        <v>47 W GATES ST AMBOS HRS 1ST LOT 15 TO 18</v>
      </c>
      <c r="D48" s="1">
        <v>14700.93</v>
      </c>
    </row>
    <row r="49" spans="1:4" x14ac:dyDescent="0.3">
      <c r="A49" s="1" t="str">
        <f>"01010078600"</f>
        <v>01010078600</v>
      </c>
      <c r="B49" s="1" t="str">
        <f>"1248 E DUBLIN GRANVILLE RD LLC"</f>
        <v>1248 E DUBLIN GRANVILLE RD LLC</v>
      </c>
      <c r="C49" s="1" t="str">
        <f>"WORTHINGTON GRANVILL R18T2 1/4T4 1.052 AC LOT 5"</f>
        <v>WORTHINGTON GRANVILL R18T2 1/4T4 1.052 AC LOT 5</v>
      </c>
      <c r="D49" s="1">
        <v>13672.33</v>
      </c>
    </row>
    <row r="50" spans="1:4" x14ac:dyDescent="0.3">
      <c r="A50" s="1" t="str">
        <f>"01002708800"</f>
        <v>01002708800</v>
      </c>
      <c r="B50" s="1" t="str">
        <f>"1252 E MAIN LLC"</f>
        <v>1252 E MAIN LLC</v>
      </c>
      <c r="C50" s="1" t="str">
        <f>"E MAIN ST SHARPS PARCELS 37.83' NL, 39.55' SL (0.040 ACRE)"</f>
        <v>E MAIN ST SHARPS PARCELS 37.83' NL, 39.55' SL (0.040 ACRE)</v>
      </c>
      <c r="D50" s="1">
        <v>6750.74</v>
      </c>
    </row>
    <row r="51" spans="1:4" x14ac:dyDescent="0.3">
      <c r="A51" s="1" t="str">
        <f>"01006985200"</f>
        <v>01006985200</v>
      </c>
      <c r="B51" s="1" t="str">
        <f>"1263 THORNWOOD LLC"</f>
        <v>1263 THORNWOOD LLC</v>
      </c>
      <c r="C51" s="1" t="str">
        <f>"THORNWOOD PL BOULEVARDS HEIGHTS LOT 54"</f>
        <v>THORNWOOD PL BOULEVARDS HEIGHTS LOT 54</v>
      </c>
      <c r="D51" s="1">
        <v>2221.4899999999998</v>
      </c>
    </row>
    <row r="52" spans="1:4" x14ac:dyDescent="0.3">
      <c r="A52" s="1" t="str">
        <f>"01002629600"</f>
        <v>01002629600</v>
      </c>
      <c r="B52" s="1" t="str">
        <f>"1268 SULLIVANT AVE LLC"</f>
        <v>1268 SULLIVANT AVE LLC</v>
      </c>
      <c r="C52" s="1" t="str">
        <f>"334 S PRINCETON AVE W PARK LOT 837"</f>
        <v>334 S PRINCETON AVE W PARK LOT 837</v>
      </c>
      <c r="D52" s="1">
        <v>360.53</v>
      </c>
    </row>
    <row r="53" spans="1:4" x14ac:dyDescent="0.3">
      <c r="A53" s="1" t="str">
        <f>"01000141400"</f>
        <v>01000141400</v>
      </c>
      <c r="B53" s="1" t="str">
        <f>"1268 SULLIVANT AVE LLC"</f>
        <v>1268 SULLIVANT AVE LLC</v>
      </c>
      <c r="C53" s="1" t="str">
        <f>"1268 SULLIVANT AVE WEST PARK LOT 838"</f>
        <v>1268 SULLIVANT AVE WEST PARK LOT 838</v>
      </c>
      <c r="D53" s="1">
        <v>412.54</v>
      </c>
    </row>
    <row r="54" spans="1:4" x14ac:dyDescent="0.3">
      <c r="A54" s="1" t="str">
        <f>"01012060500"</f>
        <v>01012060500</v>
      </c>
      <c r="B54" s="1" t="str">
        <f>"1280JHK LLC"</f>
        <v>1280JHK LLC</v>
      </c>
      <c r="C54" s="1" t="str">
        <f>"EVALINE DR CLINTON ESTATES 3 LOT 88"</f>
        <v>EVALINE DR CLINTON ESTATES 3 LOT 88</v>
      </c>
      <c r="D54" s="1">
        <v>3698.52</v>
      </c>
    </row>
    <row r="55" spans="1:4" x14ac:dyDescent="0.3">
      <c r="A55" s="1" t="str">
        <f>"01002465000"</f>
        <v>01002465000</v>
      </c>
      <c r="B55" s="1" t="str">
        <f>"1285 WEST BROAD STREET LLC"</f>
        <v>1285 WEST BROAD STREET LLC</v>
      </c>
      <c r="C55" s="1" t="str">
        <f>"30 PRINCETON AVE WEST PARK 92'WS LOT 771"</f>
        <v>30 PRINCETON AVE WEST PARK 92'WS LOT 771</v>
      </c>
      <c r="D55" s="1">
        <v>555.14</v>
      </c>
    </row>
    <row r="56" spans="1:4" x14ac:dyDescent="0.3">
      <c r="A56" s="1" t="str">
        <f>"01000627200"</f>
        <v>01000627200</v>
      </c>
      <c r="B56" s="1" t="str">
        <f>"1298 ATCHESON 1/2 LLC"</f>
        <v>1298 ATCHESON 1/2 LLC</v>
      </c>
      <c r="C56" s="1" t="str">
        <f>"980 MILLER AVE TEUTONIA LOT 14"</f>
        <v>980 MILLER AVE TEUTONIA LOT 14</v>
      </c>
      <c r="D56" s="1">
        <v>2722.03</v>
      </c>
    </row>
    <row r="57" spans="1:4" x14ac:dyDescent="0.3">
      <c r="A57" s="1" t="str">
        <f>"01005427600"</f>
        <v>01005427600</v>
      </c>
      <c r="B57" s="1" t="str">
        <f>"12WM7315 LLC"</f>
        <v>12WM7315 LLC</v>
      </c>
      <c r="C57" s="1" t="str">
        <f>"1810-1/2-1812-16 N 4TH INDIANOLA SUMMIT LOT 1 LKB 4"</f>
        <v>1810-1/2-1812-16 N 4TH INDIANOLA SUMMIT LOT 1 LKB 4</v>
      </c>
      <c r="D57" s="1">
        <v>63356.1</v>
      </c>
    </row>
    <row r="58" spans="1:4" x14ac:dyDescent="0.3">
      <c r="A58" s="1" t="str">
        <f>"01002845200"</f>
        <v>01002845200</v>
      </c>
      <c r="B58" s="1" t="str">
        <f>"1337 BRYDEN HOLDING LLC"</f>
        <v>1337 BRYDEN HOLDING LLC</v>
      </c>
      <c r="C58" s="1" t="str">
        <f>"1337 BRYDEN RD PARCELS LOT 8-9"</f>
        <v>1337 BRYDEN RD PARCELS LOT 8-9</v>
      </c>
      <c r="D58" s="1">
        <v>7344.14</v>
      </c>
    </row>
    <row r="59" spans="1:4" x14ac:dyDescent="0.3">
      <c r="A59" s="1" t="str">
        <f>"01012126400"</f>
        <v>01012126400</v>
      </c>
      <c r="B59" s="1" t="str">
        <f>"1339 S YEARLING RD LLC"</f>
        <v>1339 S YEARLING RD LLC</v>
      </c>
      <c r="C59" s="1" t="str">
        <f>"1339 S YEARLING RD PINECREST 2 LOT 222"</f>
        <v>1339 S YEARLING RD PINECREST 2 LOT 222</v>
      </c>
      <c r="D59" s="1">
        <v>2980.76</v>
      </c>
    </row>
    <row r="60" spans="1:4" x14ac:dyDescent="0.3">
      <c r="A60" s="1" t="str">
        <f>"01010527800"</f>
        <v>01010527800</v>
      </c>
      <c r="B60" s="1" t="str">
        <f>"1350 JAMES"</f>
        <v>1350 JAMES</v>
      </c>
      <c r="C60" s="1" t="str">
        <f>"KINGSGATE LOT 25 "</f>
        <v xml:space="preserve">KINGSGATE LOT 25 </v>
      </c>
      <c r="D60" s="1">
        <v>3107.12</v>
      </c>
    </row>
    <row r="61" spans="1:4" x14ac:dyDescent="0.3">
      <c r="A61" s="1" t="str">
        <f>"01010461700"</f>
        <v>01010461700</v>
      </c>
      <c r="B61" s="1" t="str">
        <f>"1380 DUBLIN ROAD HOLDINGS LLC"</f>
        <v>1380 DUBLIN ROAD HOLDINGS LLC</v>
      </c>
      <c r="C61" s="1" t="str">
        <f>"1380 DUBLIN RD 1.373 ACRES R23 T1 S11 1/2S2"</f>
        <v>1380 DUBLIN RD 1.373 ACRES R23 T1 S11 1/2S2</v>
      </c>
      <c r="D61" s="1">
        <v>28083.46</v>
      </c>
    </row>
    <row r="62" spans="1:4" x14ac:dyDescent="0.3">
      <c r="A62" s="1" t="str">
        <f>"01002798500"</f>
        <v>01002798500</v>
      </c>
      <c r="B62" s="1" t="str">
        <f>"1392 SOUTH HIGH STREET HOLDINGS LLC"</f>
        <v>1392 SOUTH HIGH STREET HOLDINGS LLC</v>
      </c>
      <c r="C62" s="1" t="str">
        <f>"1392 S HIGH ST SCHWARTZ-DAVIS LOT 1 2-4&amp;SW COR SCHWARTZ4"</f>
        <v>1392 S HIGH ST SCHWARTZ-DAVIS LOT 1 2-4&amp;SW COR SCHWARTZ4</v>
      </c>
      <c r="D62" s="1">
        <v>8190.2</v>
      </c>
    </row>
    <row r="63" spans="1:4" x14ac:dyDescent="0.3">
      <c r="A63" s="1" t="str">
        <f>"01010371800"</f>
        <v>01010371800</v>
      </c>
      <c r="B63" s="1" t="str">
        <f>"1395 MORSE CENTER LLC"</f>
        <v>1395 MORSE CENTER LLC</v>
      </c>
      <c r="C63" s="1" t="str">
        <f>"1395 MORSE RD 1.369 ACRES R1 T1 1/4T12"</f>
        <v>1395 MORSE RD 1.369 ACRES R1 T1 1/4T12</v>
      </c>
      <c r="D63" s="1">
        <v>16125.64</v>
      </c>
    </row>
    <row r="64" spans="1:4" x14ac:dyDescent="0.3">
      <c r="A64" s="1" t="str">
        <f>"01001791700"</f>
        <v>01001791700</v>
      </c>
      <c r="B64" s="1" t="str">
        <f>"1395 MORSE CENTER LLC"</f>
        <v>1395 MORSE CENTER LLC</v>
      </c>
      <c r="C64" s="1" t="str">
        <f>"MORSE RD .636 ACRE R18 T1 1/4T1"</f>
        <v>MORSE RD .636 ACRE R18 T1 1/4T1</v>
      </c>
      <c r="D64" s="1">
        <v>2519.94</v>
      </c>
    </row>
    <row r="65" spans="1:4" x14ac:dyDescent="0.3">
      <c r="A65" s="1" t="str">
        <f>"01001552400"</f>
        <v>01001552400</v>
      </c>
      <c r="B65" s="1" t="str">
        <f>"1415 SOUTHSIDE PROPERTIES LLC"</f>
        <v>1415 SOUTHSIDE PROPERTIES LLC</v>
      </c>
      <c r="C65" s="1" t="str">
        <f>"1415 UNIVERSAL RD R22 T5 S26 1/2S38 1.052 ACRES"</f>
        <v>1415 UNIVERSAL RD R22 T5 S26 1/2S38 1.052 ACRES</v>
      </c>
      <c r="D65" s="1">
        <v>444.83</v>
      </c>
    </row>
    <row r="66" spans="1:4" x14ac:dyDescent="0.3">
      <c r="A66" s="1" t="str">
        <f>"06000013300"</f>
        <v>06000013300</v>
      </c>
      <c r="B66" s="1" t="str">
        <f>"1428 LANCASTER AVENUE LLC"</f>
        <v>1428 LANCASTER AVENUE LLC</v>
      </c>
      <c r="C66" s="1" t="str">
        <f>"LANCASTER ST LOT 23 "</f>
        <v xml:space="preserve">LANCASTER ST LOT 23 </v>
      </c>
      <c r="D66" s="1">
        <v>2524.96</v>
      </c>
    </row>
    <row r="67" spans="1:4" x14ac:dyDescent="0.3">
      <c r="A67" s="1" t="str">
        <f>"01001951400"</f>
        <v>01001951400</v>
      </c>
      <c r="B67" s="1" t="str">
        <f>"1444 N HIGH LLC"</f>
        <v>1444 N HIGH LLC</v>
      </c>
      <c r="C67" s="1" t="str">
        <f>"30-32 E EUCLID AVE FISHER &amp; MILLER LOT 12"</f>
        <v>30-32 E EUCLID AVE FISHER &amp; MILLER LOT 12</v>
      </c>
      <c r="D67" s="1">
        <v>107.26</v>
      </c>
    </row>
    <row r="68" spans="1:4" x14ac:dyDescent="0.3">
      <c r="A68" s="1" t="str">
        <f>"01003362900"</f>
        <v>01003362900</v>
      </c>
      <c r="B68" s="1" t="str">
        <f>"1444 N HIGH LLC"</f>
        <v>1444 N HIGH LLC</v>
      </c>
      <c r="C68" s="1" t="str">
        <f>"24 E EUCLID AVE FISHER &amp; MILLER LOT 13"</f>
        <v>24 E EUCLID AVE FISHER &amp; MILLER LOT 13</v>
      </c>
      <c r="D68" s="1">
        <v>149.63</v>
      </c>
    </row>
    <row r="69" spans="1:4" x14ac:dyDescent="0.3">
      <c r="A69" s="1" t="str">
        <f>"01004996500"</f>
        <v>01004996500</v>
      </c>
      <c r="B69" s="1" t="str">
        <f>"1464 PARSONS AVE LLC"</f>
        <v>1464 PARSONS AVE LLC</v>
      </c>
      <c r="C69" s="1" t="str">
        <f>"W MERION EXRS LOT 13-14 "</f>
        <v xml:space="preserve">W MERION EXRS LOT 13-14 </v>
      </c>
      <c r="D69" s="1">
        <v>3791.82</v>
      </c>
    </row>
    <row r="70" spans="1:4" x14ac:dyDescent="0.3">
      <c r="A70" s="1" t="str">
        <f>"01003814400"</f>
        <v>01003814400</v>
      </c>
      <c r="B70" s="1" t="str">
        <f>"1467 MOUND LLC"</f>
        <v>1467 MOUND LLC</v>
      </c>
      <c r="C70" s="1" t="str">
        <f>"1467 E MOUND ST KENTS 2ND LOT 30-31-32"</f>
        <v>1467 E MOUND ST KENTS 2ND LOT 30-31-32</v>
      </c>
      <c r="D70" s="1">
        <v>13058.06</v>
      </c>
    </row>
    <row r="71" spans="1:4" x14ac:dyDescent="0.3">
      <c r="A71" s="1" t="str">
        <f>"06000012400"</f>
        <v>06000012400</v>
      </c>
      <c r="B71" s="1" t="str">
        <f>"1468 GRAHAM ROAD LLC"</f>
        <v>1468 GRAHAM ROAD LLC</v>
      </c>
      <c r="C71" s="1" t="str">
        <f>"1468 GRAHAM RD OLD REYNOLDSBURG PLT 0.292 ACRE"</f>
        <v>1468 GRAHAM RD OLD REYNOLDSBURG PLT 0.292 ACRE</v>
      </c>
      <c r="D71" s="1">
        <v>1734.13</v>
      </c>
    </row>
    <row r="72" spans="1:4" x14ac:dyDescent="0.3">
      <c r="A72" s="1" t="str">
        <f>"01006256800"</f>
        <v>01006256800</v>
      </c>
      <c r="B72" s="1" t="str">
        <f>"1470 N GRANDVIEW LLC"</f>
        <v>1470 N GRANDVIEW LLC</v>
      </c>
      <c r="C72" s="1" t="str">
        <f>"1470 2 4 GRANDVIEW A GEASE AMD SUB 40"</f>
        <v>1470 2 4 GRANDVIEW A GEASE AMD SUB 40</v>
      </c>
      <c r="D72" s="1">
        <v>35052.720000000001</v>
      </c>
    </row>
    <row r="73" spans="1:4" x14ac:dyDescent="0.3">
      <c r="A73" s="1" t="str">
        <f>"01001248800"</f>
        <v>01001248800</v>
      </c>
      <c r="B73" s="1" t="str">
        <f>"1473 CLEVELAND AVE LLC"</f>
        <v>1473 CLEVELAND AVE LLC</v>
      </c>
      <c r="C73" s="1" t="str">
        <f>"1469 N OF CLEVELAND LOT 37 EX 93FT WE= 77FT EE DOW HRS"</f>
        <v>1469 N OF CLEVELAND LOT 37 EX 93FT WE= 77FT EE DOW HRS</v>
      </c>
      <c r="D73" s="1">
        <v>853.23</v>
      </c>
    </row>
    <row r="74" spans="1:4" x14ac:dyDescent="0.3">
      <c r="A74" s="1" t="str">
        <f>"01004948200"</f>
        <v>01004948200</v>
      </c>
      <c r="B74" s="1" t="str">
        <f>"1474 CLEVELAND AVE LLC"</f>
        <v>1474 CLEVELAND AVE LLC</v>
      </c>
      <c r="C74" s="1" t="str">
        <f>"CLEVE AVE STS TERR ALL1&amp;PTFRT4.15FTRR SS2 STS TERR LOT 1-2"</f>
        <v>CLEVE AVE STS TERR ALL1&amp;PTFRT4.15FTRR SS2 STS TERR LOT 1-2</v>
      </c>
      <c r="D74" s="1">
        <v>1677.23</v>
      </c>
    </row>
    <row r="75" spans="1:4" x14ac:dyDescent="0.3">
      <c r="A75" s="1" t="str">
        <f>"01003814600"</f>
        <v>01003814600</v>
      </c>
      <c r="B75" s="1" t="str">
        <f>"1475 MOUND LLC"</f>
        <v>1475 MOUND LLC</v>
      </c>
      <c r="C75" s="1" t="str">
        <f>"1475 E MOUND ST KENTS 2ND LOT 31-32"</f>
        <v>1475 E MOUND ST KENTS 2ND LOT 31-32</v>
      </c>
      <c r="D75" s="1">
        <v>8078.37</v>
      </c>
    </row>
    <row r="76" spans="1:4" x14ac:dyDescent="0.3">
      <c r="A76" s="1" t="str">
        <f>"01019393300"</f>
        <v>01019393300</v>
      </c>
      <c r="B76" s="1" t="str">
        <f>"1476 CLIFF COURT LLC"</f>
        <v>1476 CLIFF COURT LLC</v>
      </c>
      <c r="C76" s="1" t="str">
        <f>"1476B CLIFF CT HIDDEN LAKE CONDO 1 UNIT 14 BLDG 1"</f>
        <v>1476B CLIFF CT HIDDEN LAKE CONDO 1 UNIT 14 BLDG 1</v>
      </c>
      <c r="D76" s="1">
        <v>3126.4</v>
      </c>
    </row>
    <row r="77" spans="1:4" x14ac:dyDescent="0.3">
      <c r="A77" s="1" t="str">
        <f>"01004948500"</f>
        <v>01004948500</v>
      </c>
      <c r="B77" s="1" t="str">
        <f>"1486 CLEVELAND AVENUE LLC"</f>
        <v>1486 CLEVELAND AVENUE LLC</v>
      </c>
      <c r="C77" s="1" t="str">
        <f>"1486 CLEVELAND AVE STREETS TERRACE LOT 4"</f>
        <v>1486 CLEVELAND AVE STREETS TERRACE LOT 4</v>
      </c>
      <c r="D77" s="1">
        <v>2416.5100000000002</v>
      </c>
    </row>
    <row r="78" spans="1:4" x14ac:dyDescent="0.3">
      <c r="A78" s="1" t="str">
        <f>"01028870700"</f>
        <v>01028870700</v>
      </c>
      <c r="B78" s="1" t="str">
        <f>"150 EAST MAIN LTD"</f>
        <v>150 EAST MAIN LTD</v>
      </c>
      <c r="C78" s="1" t="str">
        <f>"THE HARTMAN               CONDOMINIUM               UNIT 1C                  "</f>
        <v xml:space="preserve">THE HARTMAN               CONDOMINIUM               UNIT 1C                  </v>
      </c>
      <c r="D78" s="1">
        <v>5871.72</v>
      </c>
    </row>
    <row r="79" spans="1:4" x14ac:dyDescent="0.3">
      <c r="A79" s="1" t="str">
        <f>"01028870800"</f>
        <v>01028870800</v>
      </c>
      <c r="B79" s="1" t="str">
        <f>"150 EAST MAIN LTD"</f>
        <v>150 EAST MAIN LTD</v>
      </c>
      <c r="C79" s="1" t="str">
        <f>"THE HARTMAN               CONDOMINIUM               UNIT 1D                  "</f>
        <v xml:space="preserve">THE HARTMAN               CONDOMINIUM               UNIT 1D                  </v>
      </c>
      <c r="D79" s="1">
        <v>2454.17</v>
      </c>
    </row>
    <row r="80" spans="1:4" x14ac:dyDescent="0.3">
      <c r="A80" s="1" t="str">
        <f>"07000345300"</f>
        <v>07000345300</v>
      </c>
      <c r="B80" s="1" t="str">
        <f>"1532-1538 WALTHAM ROAD LLC"</f>
        <v>1532-1538 WALTHAM ROAD LLC</v>
      </c>
      <c r="C80" s="1" t="str">
        <f>"WALTHAM RD WALNUT HILLS AMD 50 "</f>
        <v xml:space="preserve">WALTHAM RD WALNUT HILLS AMD 50 </v>
      </c>
      <c r="D80" s="1">
        <v>934.8</v>
      </c>
    </row>
    <row r="81" spans="1:4" x14ac:dyDescent="0.3">
      <c r="A81" s="1" t="str">
        <f>"07001345200"</f>
        <v>07001345200</v>
      </c>
      <c r="B81" s="1" t="str">
        <f>"1537 LONGEATON DRIVE LLC"</f>
        <v>1537 LONGEATON DRIVE LLC</v>
      </c>
      <c r="C81" s="1" t="str">
        <f>"THE KINNABECK COND UNIT 1537 "</f>
        <v xml:space="preserve">THE KINNABECK COND UNIT 1537 </v>
      </c>
      <c r="D81" s="1">
        <v>5006.7</v>
      </c>
    </row>
    <row r="82" spans="1:4" x14ac:dyDescent="0.3">
      <c r="A82" s="1" t="str">
        <f>"01000540600"</f>
        <v>01000540600</v>
      </c>
      <c r="B82" s="1" t="str">
        <f>"1586 E RICH STREET LLC"</f>
        <v>1586 E RICH STREET LLC</v>
      </c>
      <c r="C82" s="1" t="str">
        <f>"1586 RICH ST THOMAS MILLERS HEIRS PART LOT 8"</f>
        <v>1586 RICH ST THOMAS MILLERS HEIRS PART LOT 8</v>
      </c>
      <c r="D82" s="1">
        <v>3159.18</v>
      </c>
    </row>
    <row r="83" spans="1:4" x14ac:dyDescent="0.3">
      <c r="A83" s="1" t="str">
        <f>"01002735000"</f>
        <v>01002735000</v>
      </c>
      <c r="B83" s="1" t="str">
        <f>"1606 NORTH FOURTH LLC"</f>
        <v>1606 NORTH FOURTH LLC</v>
      </c>
      <c r="C83" s="1" t="str">
        <f>"1606 N 4TH ST DENNISON SUMMIT LOT 104"</f>
        <v>1606 N 4TH ST DENNISON SUMMIT LOT 104</v>
      </c>
      <c r="D83" s="1">
        <v>2840.6</v>
      </c>
    </row>
    <row r="84" spans="1:4" x14ac:dyDescent="0.3">
      <c r="A84" s="1" t="str">
        <f>"01008716700"</f>
        <v>01008716700</v>
      </c>
      <c r="B84" s="1" t="str">
        <f>"1616-1620 KING LLC"</f>
        <v>1616-1620 KING LLC</v>
      </c>
      <c r="C84" s="1" t="str">
        <f>"KING AVE LOT 15 "</f>
        <v xml:space="preserve">KING AVE LOT 15 </v>
      </c>
      <c r="D84" s="1">
        <v>4741.41</v>
      </c>
    </row>
    <row r="85" spans="1:4" x14ac:dyDescent="0.3">
      <c r="A85" s="1" t="str">
        <f>"01002613200"</f>
        <v>01002613200</v>
      </c>
      <c r="B85" s="1" t="str">
        <f>"162 EAST NORTHWOOD LLC"</f>
        <v>162 EAST NORTHWOOD LLC</v>
      </c>
      <c r="C85" s="1" t="str">
        <f>"162 E NORTHWOOD NORTHWOOD PARK LOT 122"</f>
        <v>162 E NORTHWOOD NORTHWOOD PARK LOT 122</v>
      </c>
      <c r="D85" s="1">
        <v>3029.96</v>
      </c>
    </row>
    <row r="86" spans="1:4" x14ac:dyDescent="0.3">
      <c r="A86" s="1" t="str">
        <f>"01000567100"</f>
        <v>01000567100</v>
      </c>
      <c r="B86" s="1" t="str">
        <f>"1623 FRANKLIN PARK LLC"</f>
        <v>1623 FRANKLIN PARK LLC</v>
      </c>
      <c r="C86" s="1" t="str">
        <f>"1623 FRANKLIN PK S MAYNARDS FAIR AVE LOT 9-10"</f>
        <v>1623 FRANKLIN PK S MAYNARDS FAIR AVE LOT 9-10</v>
      </c>
      <c r="D86" s="1">
        <v>2091.69</v>
      </c>
    </row>
    <row r="87" spans="1:4" x14ac:dyDescent="0.3">
      <c r="A87" s="1" t="str">
        <f>"01002495300"</f>
        <v>01002495300</v>
      </c>
      <c r="B87" s="1" t="str">
        <f>"164 E 13TH AVENUE LLC"</f>
        <v>164 E 13TH AVENUE LLC</v>
      </c>
      <c r="C87" s="1" t="str">
        <f>"164 13TH AVE DENNISON SUMMIT LOT 288"</f>
        <v>164 13TH AVE DENNISON SUMMIT LOT 288</v>
      </c>
      <c r="D87" s="1">
        <v>3491.14</v>
      </c>
    </row>
    <row r="88" spans="1:4" x14ac:dyDescent="0.3">
      <c r="A88" s="1" t="str">
        <f>"01011225100"</f>
        <v>01011225100</v>
      </c>
      <c r="B88" s="1" t="str">
        <f>"1651 REFUGEE LLC"</f>
        <v>1651 REFUGEE LLC</v>
      </c>
      <c r="C88" s="1" t="str">
        <f>"ENGLISH RD J A CLICKENGER HRS PT LOT K=2.425 ACRES"</f>
        <v>ENGLISH RD J A CLICKENGER HRS PT LOT K=2.425 ACRES</v>
      </c>
      <c r="D88" s="1">
        <v>6600</v>
      </c>
    </row>
    <row r="89" spans="1:4" x14ac:dyDescent="0.3">
      <c r="A89" s="1" t="str">
        <f>"01000636900"</f>
        <v>01000636900</v>
      </c>
      <c r="B89" s="1" t="str">
        <f>"1677 1679 EAST WHITTIER LLC"</f>
        <v>1677 1679 EAST WHITTIER LLC</v>
      </c>
      <c r="C89" s="1" t="str">
        <f>"1677-79E WHITTIER ST LIVINGSTN WHITR GDN PART LOT 243-244"</f>
        <v>1677-79E WHITTIER ST LIVINGSTN WHITR GDN PART LOT 243-244</v>
      </c>
      <c r="D89" s="1">
        <v>136.4</v>
      </c>
    </row>
    <row r="90" spans="1:4" x14ac:dyDescent="0.3">
      <c r="A90" s="1" t="str">
        <f>"01002537800"</f>
        <v>01002537800</v>
      </c>
      <c r="B90" s="1" t="str">
        <f>"1680 KARL COURT LLC"</f>
        <v>1680 KARL COURT LLC</v>
      </c>
      <c r="C90" s="1" t="str">
        <f>"KARL COURT SIMKINS SUBDIV .989 ACRE LOT 2"</f>
        <v>KARL COURT SIMKINS SUBDIV .989 ACRE LOT 2</v>
      </c>
      <c r="D90" s="1">
        <v>4645.74</v>
      </c>
    </row>
    <row r="91" spans="1:4" x14ac:dyDescent="0.3">
      <c r="A91" s="1" t="str">
        <f>"60027720400"</f>
        <v>60027720400</v>
      </c>
      <c r="B91" s="1" t="str">
        <f>"1680 PROPERTYS LLC"</f>
        <v>1680 PROPERTYS LLC</v>
      </c>
      <c r="C91" s="1" t="str">
        <f>"NORTHSTONE OFFICE CONDOMINIUM UNIT 1684"</f>
        <v>NORTHSTONE OFFICE CONDOMINIUM UNIT 1684</v>
      </c>
      <c r="D91" s="1">
        <v>1996.64</v>
      </c>
    </row>
    <row r="92" spans="1:4" x14ac:dyDescent="0.3">
      <c r="A92" s="1" t="str">
        <f>"61017512900"</f>
        <v>61017512900</v>
      </c>
      <c r="B92" s="1" t="str">
        <f>"1681 1683 WATERTOWER LLC"</f>
        <v>1681 1683 WATERTOWER LLC</v>
      </c>
      <c r="C92" s="1" t="str">
        <f>"WATERTOWER DR TOWER ESTATES SUBDIV LOT 56"</f>
        <v>WATERTOWER DR TOWER ESTATES SUBDIV LOT 56</v>
      </c>
      <c r="D92" s="1">
        <v>42.59</v>
      </c>
    </row>
    <row r="93" spans="1:4" x14ac:dyDescent="0.3">
      <c r="A93" s="1" t="str">
        <f>"01002245600"</f>
        <v>01002245600</v>
      </c>
      <c r="B93" s="1" t="str">
        <f>"1699 PARSONS LLC"</f>
        <v>1699 PARSONS LLC</v>
      </c>
      <c r="C93" s="1" t="str">
        <f>"1699-1701  PARSONS AVE S SIDE TERR LOT 199"</f>
        <v>1699-1701  PARSONS AVE S SIDE TERR LOT 199</v>
      </c>
      <c r="D93" s="1">
        <v>1510.01</v>
      </c>
    </row>
    <row r="94" spans="1:4" x14ac:dyDescent="0.3">
      <c r="A94" s="1" t="str">
        <f>"01008384800"</f>
        <v>01008384800</v>
      </c>
      <c r="B94" s="1" t="str">
        <f>"170 E BEECHWOLD BLVD LLC"</f>
        <v>170 E BEECHWOLD BLVD LLC</v>
      </c>
      <c r="C94" s="1" t="str">
        <f>"BEECHWOLD BLVD EAST ZOOLAND LOT 170"</f>
        <v>BEECHWOLD BLVD EAST ZOOLAND LOT 170</v>
      </c>
      <c r="D94" s="1">
        <v>1143.95</v>
      </c>
    </row>
    <row r="95" spans="1:4" x14ac:dyDescent="0.3">
      <c r="A95" s="1" t="str">
        <f>"08000111900"</f>
        <v>08000111900</v>
      </c>
      <c r="B95" s="1" t="str">
        <f>"171 N VINE LLC"</f>
        <v>171 N VINE LLC</v>
      </c>
      <c r="C95" s="1" t="str">
        <f>"171 N VINE ST NAOMI PARK PLACE ADD PT LOTS 41 &amp; 42"</f>
        <v>171 N VINE ST NAOMI PARK PLACE ADD PT LOTS 41 &amp; 42</v>
      </c>
      <c r="D95" s="1">
        <v>2920.09</v>
      </c>
    </row>
    <row r="96" spans="1:4" x14ac:dyDescent="0.3">
      <c r="A96" s="1" t="str">
        <f>"01003919100"</f>
        <v>01003919100</v>
      </c>
      <c r="B96" s="1" t="str">
        <f>"1717 PARSONS LLC"</f>
        <v>1717 PARSONS LLC</v>
      </c>
      <c r="C96" s="1" t="str">
        <f>"1715 PARSONS AVE SOUTH SIDE TERRACE LOT 196"</f>
        <v>1715 PARSONS AVE SOUTH SIDE TERRACE LOT 196</v>
      </c>
      <c r="D96" s="1">
        <v>403.65</v>
      </c>
    </row>
    <row r="97" spans="1:4" x14ac:dyDescent="0.3">
      <c r="A97" s="1" t="str">
        <f>"01004946000"</f>
        <v>01004946000</v>
      </c>
      <c r="B97" s="1" t="str">
        <f>"1717 PARSONS LLC"</f>
        <v>1717 PARSONS LLC</v>
      </c>
      <c r="C97" s="1" t="str">
        <f>"1717-1719 PARSONS AV SOUTH SIDE TERRACE LOT 195"</f>
        <v>1717-1719 PARSONS AV SOUTH SIDE TERRACE LOT 195</v>
      </c>
      <c r="D97" s="1">
        <v>435.4</v>
      </c>
    </row>
    <row r="98" spans="1:4" x14ac:dyDescent="0.3">
      <c r="A98" s="1" t="str">
        <f>"01006108300"</f>
        <v>01006108300</v>
      </c>
      <c r="B98" s="1" t="str">
        <f>"1728 MYRTLE AVE"</f>
        <v>1728 MYRTLE AVE</v>
      </c>
      <c r="C98" s="1" t="str">
        <f>"1738 MYRTLE AVE NEW LINDEN LOT 36 37"</f>
        <v>1738 MYRTLE AVE NEW LINDEN LOT 36 37</v>
      </c>
      <c r="D98" s="1">
        <v>79.56</v>
      </c>
    </row>
    <row r="99" spans="1:4" x14ac:dyDescent="0.3">
      <c r="A99" s="1" t="str">
        <f>"01005561400"</f>
        <v>01005561400</v>
      </c>
      <c r="B99" s="1" t="str">
        <f>"1739-41 N 4TH LLC"</f>
        <v>1739-41 N 4TH LLC</v>
      </c>
      <c r="C99" s="1" t="str">
        <f>"1739-41 N 4TH STREET INDIANOLA SUMMIT ADD LOT 29 BLK 1"</f>
        <v>1739-41 N 4TH STREET INDIANOLA SUMMIT ADD LOT 29 BLK 1</v>
      </c>
      <c r="D99" s="1">
        <v>383.76</v>
      </c>
    </row>
    <row r="100" spans="1:4" x14ac:dyDescent="0.3">
      <c r="A100" s="1" t="str">
        <f>"06000186600"</f>
        <v>06000186600</v>
      </c>
      <c r="B100" s="1" t="str">
        <f>"1750 IDLEWILD DRIVE LLC"</f>
        <v>1750 IDLEWILD DRIVE LLC</v>
      </c>
      <c r="C100" s="1" t="str">
        <f>"RADEKIN RD IDLEWILD MANOR LOTS 143 &amp; 144"</f>
        <v>RADEKIN RD IDLEWILD MANOR LOTS 143 &amp; 144</v>
      </c>
      <c r="D100" s="1">
        <v>8361.6200000000008</v>
      </c>
    </row>
    <row r="101" spans="1:4" x14ac:dyDescent="0.3">
      <c r="A101" s="1" t="str">
        <f>"01001503100"</f>
        <v>01001503100</v>
      </c>
      <c r="B101" s="1" t="str">
        <f>"177-179 E WHITTIER ST LLC"</f>
        <v>177-179 E WHITTIER ST LLC</v>
      </c>
      <c r="C101" s="1" t="str">
        <f>"179 WHITTIER ST D AMBOS PT LOT 1-3"</f>
        <v>179 WHITTIER ST D AMBOS PT LOT 1-3</v>
      </c>
      <c r="D101" s="1">
        <v>173.25</v>
      </c>
    </row>
    <row r="102" spans="1:4" x14ac:dyDescent="0.3">
      <c r="A102" s="1" t="str">
        <f>"01005998600"</f>
        <v>01005998600</v>
      </c>
      <c r="B102" s="1" t="str">
        <f>"1801BROOKFIELD LLP"</f>
        <v>1801BROOKFIELD LLP</v>
      </c>
      <c r="C102" s="1" t="str">
        <f>"1417 MINNESOTA AVE LINDEN LOT 648"</f>
        <v>1417 MINNESOTA AVE LINDEN LOT 648</v>
      </c>
      <c r="D102" s="1">
        <v>3131.34</v>
      </c>
    </row>
    <row r="103" spans="1:4" x14ac:dyDescent="0.3">
      <c r="A103" s="1" t="str">
        <f>"01007682900"</f>
        <v>01007682900</v>
      </c>
      <c r="B103" s="1" t="str">
        <f>"1805 KENT ST LLC"</f>
        <v>1805 KENT ST LLC</v>
      </c>
      <c r="C103" s="1" t="str">
        <f>"KENT ST BULENS EXT TO FAIRWOOD PK LOT 27"</f>
        <v>KENT ST BULENS EXT TO FAIRWOOD PK LOT 27</v>
      </c>
      <c r="D103" s="1">
        <v>332.92</v>
      </c>
    </row>
    <row r="104" spans="1:4" x14ac:dyDescent="0.3">
      <c r="A104" s="1" t="str">
        <f>"01007681700"</f>
        <v>01007681700</v>
      </c>
      <c r="B104" s="1" t="str">
        <f>"1814 BIDE A WEE PARK AVENUE LLC"</f>
        <v>1814 BIDE A WEE PARK AVENUE LLC</v>
      </c>
      <c r="C104" s="1" t="str">
        <f>"BID-A-WEE PARK BULENS EXT TO FAIRWO OD PARK LOT 15"</f>
        <v>BID-A-WEE PARK BULENS EXT TO FAIRWO OD PARK LOT 15</v>
      </c>
      <c r="D104" s="1">
        <v>1323.14</v>
      </c>
    </row>
    <row r="105" spans="1:4" x14ac:dyDescent="0.3">
      <c r="A105" s="1" t="str">
        <f>"01011218200"</f>
        <v>01011218200</v>
      </c>
      <c r="B105" s="1" t="str">
        <f>"1819 CHAMPION AVENUE LLC"</f>
        <v>1819 CHAMPION AVENUE LLC</v>
      </c>
      <c r="C105" s="1" t="str">
        <f>"CHAMPION AVE W I LAWRENCES CHAMPION AVE SUB 20"</f>
        <v>CHAMPION AVE W I LAWRENCES CHAMPION AVE SUB 20</v>
      </c>
      <c r="D105" s="1">
        <v>2886.26</v>
      </c>
    </row>
    <row r="106" spans="1:4" x14ac:dyDescent="0.3">
      <c r="A106" s="1" t="str">
        <f>"01004974400"</f>
        <v>01004974400</v>
      </c>
      <c r="B106" s="1" t="str">
        <f>"182 HOLDINGS LLC"</f>
        <v>182 HOLDINGS LLC</v>
      </c>
      <c r="C106" s="1" t="str">
        <f>"SULLIVANT WESTERN LOT 259 &amp; LOT 260 EX 6.12'SW PT"</f>
        <v>SULLIVANT WESTERN LOT 259 &amp; LOT 260 EX 6.12'SW PT</v>
      </c>
      <c r="D106" s="1">
        <v>8956.93</v>
      </c>
    </row>
    <row r="107" spans="1:4" x14ac:dyDescent="0.3">
      <c r="A107" s="1" t="str">
        <f>"01006144800"</f>
        <v>01006144800</v>
      </c>
      <c r="B107" s="1" t="str">
        <f>"1837 LAKEVIEW LLC"</f>
        <v>1837 LAKEVIEW LLC</v>
      </c>
      <c r="C107" s="1" t="str">
        <f>"LINDEN TERRACE LOT 64 "</f>
        <v xml:space="preserve">LINDEN TERRACE LOT 64 </v>
      </c>
      <c r="D107" s="1">
        <v>2230.6999999999998</v>
      </c>
    </row>
    <row r="108" spans="1:4" x14ac:dyDescent="0.3">
      <c r="A108" s="1" t="str">
        <f>"01002265900"</f>
        <v>01002265900</v>
      </c>
      <c r="B108" s="1" t="str">
        <f>"185 E 2ND AVENUE LLC"</f>
        <v>185 E 2ND AVENUE LLC</v>
      </c>
      <c r="C108" s="1" t="str">
        <f>"185 E 2ND AVE 37FT        EE HYDES                  SUB 1-2                  "</f>
        <v xml:space="preserve">185 E 2ND AVE 37FT        EE HYDES                  SUB 1-2                  </v>
      </c>
      <c r="D108" s="1">
        <v>8273.98</v>
      </c>
    </row>
    <row r="109" spans="1:4" x14ac:dyDescent="0.3">
      <c r="A109" s="1" t="str">
        <f>"01001985000"</f>
        <v>01001985000</v>
      </c>
      <c r="B109" s="1" t="str">
        <f>"1851-1853 BRUCK STREET TRUST"</f>
        <v>1851-1853 BRUCK STREET TRUST</v>
      </c>
      <c r="C109" s="1" t="str">
        <f>"1851-53 BRUCK ST LINTON &amp; MCLARREN'S PARCEL PT OF LOT 105"</f>
        <v>1851-53 BRUCK ST LINTON &amp; MCLARREN'S PARCEL PT OF LOT 105</v>
      </c>
      <c r="D109" s="1">
        <v>1406.39</v>
      </c>
    </row>
    <row r="110" spans="1:4" x14ac:dyDescent="0.3">
      <c r="A110" s="1" t="str">
        <f>"01013720600"</f>
        <v>01013720600</v>
      </c>
      <c r="B110" s="1" t="str">
        <f>"1858 SOMERSET COURT WEST LLC"</f>
        <v>1858 SOMERSET COURT WEST LLC</v>
      </c>
      <c r="C110" s="1" t="str">
        <f>"SOMERSET COURT W HAVILAND 1 LOT 53"</f>
        <v>SOMERSET COURT W HAVILAND 1 LOT 53</v>
      </c>
      <c r="D110" s="1">
        <v>114.26</v>
      </c>
    </row>
    <row r="111" spans="1:4" x14ac:dyDescent="0.3">
      <c r="A111" s="1" t="str">
        <f>"01022626600"</f>
        <v>01022626600</v>
      </c>
      <c r="B111" s="1" t="str">
        <f>"1880 SCHROCK ROAD LLC"</f>
        <v>1880 SCHROCK ROAD LLC</v>
      </c>
      <c r="C111" s="1" t="str">
        <f>"SCHROCK RD 928 ACRES 1.003 R18 T2 1/2 SEC 1  LOT 4"</f>
        <v>SCHROCK RD 928 ACRES 1.003 R18 T2 1/2 SEC 1  LOT 4</v>
      </c>
      <c r="D111" s="1">
        <v>1803</v>
      </c>
    </row>
    <row r="112" spans="1:4" x14ac:dyDescent="0.3">
      <c r="A112" s="1" t="str">
        <f>"01025526800"</f>
        <v>01025526800</v>
      </c>
      <c r="B112" s="1" t="str">
        <f>"1880 SCHROCK ROAD LLC"</f>
        <v>1880 SCHROCK ROAD LLC</v>
      </c>
      <c r="C112" s="1" t="str">
        <f>"SCHROCK RD R18 T2 1-4 T1 LOT 4"</f>
        <v>SCHROCK RD R18 T2 1-4 T1 LOT 4</v>
      </c>
      <c r="D112" s="1">
        <v>830.16</v>
      </c>
    </row>
    <row r="113" spans="1:4" x14ac:dyDescent="0.3">
      <c r="A113" s="1" t="str">
        <f>"01020403800"</f>
        <v>01020403800</v>
      </c>
      <c r="B113" s="1" t="str">
        <f>"1880 SCHROCK ROAD LLC"</f>
        <v>1880 SCHROCK ROAD LLC</v>
      </c>
      <c r="C113" s="1" t="str">
        <f>"1880 SCHROCK RD R18 T2 SE S1/2 1 1.388 ACRES"</f>
        <v>1880 SCHROCK RD R18 T2 SE S1/2 1 1.388 ACRES</v>
      </c>
      <c r="D113" s="1">
        <v>4643.6000000000004</v>
      </c>
    </row>
    <row r="114" spans="1:4" x14ac:dyDescent="0.3">
      <c r="A114" s="1" t="str">
        <f>"02500028100"</f>
        <v>02500028100</v>
      </c>
      <c r="B114" s="1" t="str">
        <f>"191 GRANVILLE STREET LLC"</f>
        <v>191 GRANVILLE STREET LLC</v>
      </c>
      <c r="C114" s="1" t="str">
        <f>"191 GRANVILLE ST          R17 T1 1/4T4 SUB 1        0.968 ACRE               "</f>
        <v xml:space="preserve">191 GRANVILLE ST          R17 T1 1/4T4 SUB 1        0.968 ACRE               </v>
      </c>
      <c r="D114" s="1">
        <v>25982.74</v>
      </c>
    </row>
    <row r="115" spans="1:4" x14ac:dyDescent="0.3">
      <c r="A115" s="1" t="str">
        <f>"24000176700"</f>
        <v>24000176700</v>
      </c>
      <c r="B115" s="1" t="str">
        <f>"1924 FLORAL LLC"</f>
        <v>1924 FLORAL LLC</v>
      </c>
      <c r="C115" s="1" t="str">
        <f>"OHARRA ST ALL OF 10 &amp; E 1/2 OF 11 PETERS 10-11"</f>
        <v>OHARRA ST ALL OF 10 &amp; E 1/2 OF 11 PETERS 10-11</v>
      </c>
      <c r="D115" s="1">
        <v>426.57</v>
      </c>
    </row>
    <row r="116" spans="1:4" x14ac:dyDescent="0.3">
      <c r="A116" s="1" t="str">
        <f>"24000171800"</f>
        <v>24000171800</v>
      </c>
      <c r="B116" s="1" t="str">
        <f>"1924 FLORAL LLC"</f>
        <v>1924 FLORAL LLC</v>
      </c>
      <c r="C116" s="1" t="str">
        <f>"OHARRA RD W 1/2 OF 11 &amp; ALL 12 PETERS 11-12"</f>
        <v>OHARRA RD W 1/2 OF 11 &amp; ALL 12 PETERS 11-12</v>
      </c>
      <c r="D116" s="1">
        <v>1265.76</v>
      </c>
    </row>
    <row r="117" spans="1:4" x14ac:dyDescent="0.3">
      <c r="A117" s="1" t="str">
        <f>"01002308000"</f>
        <v>01002308000</v>
      </c>
      <c r="B117" s="1" t="str">
        <f>"194 E 14TH AVENUE LLC"</f>
        <v>194 E 14TH AVENUE LLC</v>
      </c>
      <c r="C117" s="1" t="str">
        <f>"194 E 14TH AVE INDIANOLAFARM PARCEL SUB 20"</f>
        <v>194 E 14TH AVE INDIANOLAFARM PARCEL SUB 20</v>
      </c>
      <c r="D117" s="1">
        <v>5761.84</v>
      </c>
    </row>
    <row r="118" spans="1:4" x14ac:dyDescent="0.3">
      <c r="A118" s="1" t="str">
        <f>"01003925300"</f>
        <v>01003925300</v>
      </c>
      <c r="B118" s="1" t="str">
        <f>"1940 S HIGH STREET CORPORATION"</f>
        <v>1940 S HIGH STREET CORPORATION</v>
      </c>
      <c r="C118" s="1" t="str">
        <f>"36 HOSACK ST WOLF &amp; KARCH LOT 7"</f>
        <v>36 HOSACK ST WOLF &amp; KARCH LOT 7</v>
      </c>
      <c r="D118" s="1">
        <v>40.409999999999997</v>
      </c>
    </row>
    <row r="119" spans="1:4" x14ac:dyDescent="0.3">
      <c r="A119" s="1" t="str">
        <f>"14000636300"</f>
        <v>14000636300</v>
      </c>
      <c r="B119" s="1" t="str">
        <f>"195 PHILLIPI ROAD LLC"</f>
        <v>195 PHILLIPI ROAD LLC</v>
      </c>
      <c r="C119" s="1" t="str">
        <f>"195 PHILLIPI RD ENTRY 1842-1425 4.128 ACRES"</f>
        <v>195 PHILLIPI RD ENTRY 1842-1425 4.128 ACRES</v>
      </c>
      <c r="D119" s="1">
        <v>25402.86</v>
      </c>
    </row>
    <row r="120" spans="1:4" x14ac:dyDescent="0.3">
      <c r="A120" s="1" t="str">
        <f>"02000188100"</f>
        <v>02000188100</v>
      </c>
      <c r="B120" s="1" t="str">
        <f>"195 S PARKVIEW LLC"</f>
        <v>195 S PARKVIEW LLC</v>
      </c>
      <c r="C120" s="1" t="str">
        <f>"195 PARKVIEW AVE BULLITT PARK AMD LOT 4-5 BLK 26"</f>
        <v>195 PARKVIEW AVE BULLITT PARK AMD LOT 4-5 BLK 26</v>
      </c>
      <c r="D120" s="1">
        <v>20092.759999999998</v>
      </c>
    </row>
    <row r="121" spans="1:4" x14ac:dyDescent="0.3">
      <c r="A121" s="1" t="str">
        <f>"14000052700"</f>
        <v>14000052700</v>
      </c>
      <c r="B121" s="1" t="str">
        <f>"1963 HARRISBURG PIKE LLC"</f>
        <v>1963 HARRISBURG PIKE LLC</v>
      </c>
      <c r="C121" s="1" t="str">
        <f>"1963 HARRISBURG PI OQ 1000 LOT 10 ENTRY 1454 .922 AC"</f>
        <v>1963 HARRISBURG PI OQ 1000 LOT 10 ENTRY 1454 .922 AC</v>
      </c>
      <c r="D121" s="1">
        <v>254.64</v>
      </c>
    </row>
    <row r="122" spans="1:4" x14ac:dyDescent="0.3">
      <c r="A122" s="1" t="str">
        <f>"01002309100"</f>
        <v>01002309100</v>
      </c>
      <c r="B122" s="1" t="str">
        <f>"1ST NATIONAL CASH REFUND INC, MILLER KEITH R"</f>
        <v>1ST NATIONAL CASH REFUND INC, MILLER KEITH R</v>
      </c>
      <c r="C122" s="1" t="str">
        <f>"1133-35 PENNA AVE         COLLINS ATKINSON &amp;        GUITNER LOT 565          "</f>
        <v xml:space="preserve">1133-35 PENNA AVE         COLLINS ATKINSON &amp;        GUITNER LOT 565          </v>
      </c>
      <c r="D122" s="1">
        <v>7032.11</v>
      </c>
    </row>
    <row r="123" spans="1:4" x14ac:dyDescent="0.3">
      <c r="A123" s="1" t="str">
        <f>"02500300200"</f>
        <v>02500300200</v>
      </c>
      <c r="B123" s="1" t="str">
        <f>"2 W ENTERPRISES LLC"</f>
        <v>2 W ENTERPRISES LLC</v>
      </c>
      <c r="C123" s="1" t="str">
        <f>"509 MCCUTCHEON ROAD BRENTWOOD ESTATES SEC 2 LOT 119"</f>
        <v>509 MCCUTCHEON ROAD BRENTWOOD ESTATES SEC 2 LOT 119</v>
      </c>
      <c r="D123" s="1">
        <v>5692.35</v>
      </c>
    </row>
    <row r="124" spans="1:4" x14ac:dyDescent="0.3">
      <c r="A124" s="1" t="str">
        <f>"01003611600"</f>
        <v>01003611600</v>
      </c>
      <c r="B124" s="1" t="str">
        <f>"2003 BROAD LLC"</f>
        <v>2003 BROAD LLC</v>
      </c>
      <c r="C124" s="1" t="str">
        <f>"2003 W BROAD ST ENTRY 2668 GLENWOOD HTS LOT 8"</f>
        <v>2003 W BROAD ST ENTRY 2668 GLENWOOD HTS LOT 8</v>
      </c>
      <c r="D124" s="1">
        <v>8399.67</v>
      </c>
    </row>
    <row r="125" spans="1:4" x14ac:dyDescent="0.3">
      <c r="A125" s="1" t="str">
        <f>"57028548700"</f>
        <v>57028548700</v>
      </c>
      <c r="B125" s="1" t="str">
        <f>"2020 LONGWOOD LLC"</f>
        <v>2020 LONGWOOD LLC</v>
      </c>
      <c r="C125" s="1" t="str">
        <f>"2020 LONGWOOD AVE FRANK RD INDUSTRL PK 2 PT RES B=0.658 ACRE"</f>
        <v>2020 LONGWOOD AVE FRANK RD INDUSTRL PK 2 PT RES B=0.658 ACRE</v>
      </c>
      <c r="D125" s="1">
        <v>2690.8</v>
      </c>
    </row>
    <row r="126" spans="1:4" x14ac:dyDescent="0.3">
      <c r="A126" s="1" t="str">
        <f>"56023616500"</f>
        <v>56023616500</v>
      </c>
      <c r="B126" s="1" t="str">
        <f>"2026 INC"</f>
        <v>2026 INC</v>
      </c>
      <c r="C126" s="1" t="str">
        <f>"ROBERTS COURT COLUMBUS ONE SUB SE LOT 1=0.828 ACRE"</f>
        <v>ROBERTS COURT COLUMBUS ONE SUB SE LOT 1=0.828 ACRE</v>
      </c>
      <c r="D126" s="1">
        <v>451.38</v>
      </c>
    </row>
    <row r="127" spans="1:4" x14ac:dyDescent="0.3">
      <c r="A127" s="1" t="str">
        <f>"01005448100"</f>
        <v>01005448100</v>
      </c>
      <c r="B127" s="1" t="str">
        <f>"203 STEVENS AVE LLC"</f>
        <v>203 STEVENS AVE LLC</v>
      </c>
      <c r="C127" s="1" t="str">
        <f>"203 STEVENS AVE BELMONT LOT 67"</f>
        <v>203 STEVENS AVE BELMONT LOT 67</v>
      </c>
      <c r="D127" s="1">
        <v>89.01</v>
      </c>
    </row>
    <row r="128" spans="1:4" x14ac:dyDescent="0.3">
      <c r="A128" s="1" t="str">
        <f>"01001553600"</f>
        <v>01001553600</v>
      </c>
      <c r="B128" s="1" t="str">
        <f>"2031 BROAD LLC"</f>
        <v>2031 BROAD LLC</v>
      </c>
      <c r="C128" s="1" t="str">
        <f>"2025 W BROAD ST GLENWOOD HTS LOT 5"</f>
        <v>2025 W BROAD ST GLENWOOD HTS LOT 5</v>
      </c>
      <c r="D128" s="1">
        <v>13097.73</v>
      </c>
    </row>
    <row r="129" spans="1:4" x14ac:dyDescent="0.3">
      <c r="A129" s="1" t="str">
        <f>"01001419400"</f>
        <v>01001419400</v>
      </c>
      <c r="B129" s="1" t="str">
        <f>"2031 BROAD LLC"</f>
        <v>2031 BROAD LLC</v>
      </c>
      <c r="C129" s="1" t="str">
        <f>"2009-2011 W BROAD ST GLENWOOD HTS LOT 7"</f>
        <v>2009-2011 W BROAD ST GLENWOOD HTS LOT 7</v>
      </c>
      <c r="D129" s="1">
        <v>830.16</v>
      </c>
    </row>
    <row r="130" spans="1:4" x14ac:dyDescent="0.3">
      <c r="A130" s="1" t="str">
        <f>"01001542100"</f>
        <v>01001542100</v>
      </c>
      <c r="B130" s="1" t="str">
        <f>"2031 BROAD LLC"</f>
        <v>2031 BROAD LLC</v>
      </c>
      <c r="C130" s="1" t="str">
        <f>"2021 W BROAD ST GLENWOOD HTS LOT 6"</f>
        <v>2021 W BROAD ST GLENWOOD HTS LOT 6</v>
      </c>
      <c r="D130" s="1">
        <v>4843.21</v>
      </c>
    </row>
    <row r="131" spans="1:4" x14ac:dyDescent="0.3">
      <c r="A131" s="1" t="str">
        <f>"01000693800"</f>
        <v>01000693800</v>
      </c>
      <c r="B131" s="1" t="str">
        <f>"2031 BROAD LLC"</f>
        <v>2031 BROAD LLC</v>
      </c>
      <c r="C131" s="1" t="str">
        <f>"2031-2033 W BROAD ST GLENWOOD HTS LOT 4"</f>
        <v>2031-2033 W BROAD ST GLENWOOD HTS LOT 4</v>
      </c>
      <c r="D131" s="1">
        <v>10014.68</v>
      </c>
    </row>
    <row r="132" spans="1:4" x14ac:dyDescent="0.3">
      <c r="A132" s="1" t="str">
        <f>"07000054100"</f>
        <v>07000054100</v>
      </c>
      <c r="B132" s="1" t="str">
        <f>"2035 TREMONT LLC"</f>
        <v>2035 TREMONT LLC</v>
      </c>
      <c r="C132" s="1" t="str">
        <f>"2035 TREMONT RD UPPER ARLINGTON LOT 7 BLK 31"</f>
        <v>2035 TREMONT RD UPPER ARLINGTON LOT 7 BLK 31</v>
      </c>
      <c r="D132" s="1">
        <v>1145.27</v>
      </c>
    </row>
    <row r="133" spans="1:4" x14ac:dyDescent="0.3">
      <c r="A133" s="1" t="str">
        <f>"01010245600"</f>
        <v>01010245600</v>
      </c>
      <c r="B133" s="1" t="str">
        <f>"2087 COLFAX AVENUE LLC"</f>
        <v>2087 COLFAX AVENUE LLC</v>
      </c>
      <c r="C133" s="1" t="str">
        <f>"2087 COLFAX AVE BEAUMONT  12.5' ES LOT 215 &amp; ALL 216"</f>
        <v>2087 COLFAX AVE BEAUMONT  12.5' ES LOT 215 &amp; ALL 216</v>
      </c>
      <c r="D133" s="1">
        <v>2937.81</v>
      </c>
    </row>
    <row r="134" spans="1:4" x14ac:dyDescent="0.3">
      <c r="A134" s="1" t="str">
        <f>"01011312900"</f>
        <v>01011312900</v>
      </c>
      <c r="B134" s="1" t="str">
        <f>"2101 SOUTH HIGH LLC"</f>
        <v>2101 SOUTH HIGH LLC</v>
      </c>
      <c r="C134" s="1" t="str">
        <f>"S HIGH ST 4.318 AC "</f>
        <v xml:space="preserve">S HIGH ST 4.318 AC </v>
      </c>
      <c r="D134" s="1">
        <v>118875.36</v>
      </c>
    </row>
    <row r="135" spans="1:4" x14ac:dyDescent="0.3">
      <c r="A135" s="1" t="str">
        <f>"01001775200"</f>
        <v>01001775200</v>
      </c>
      <c r="B135" s="1" t="str">
        <f>"2128 SULLIVANT LLC"</f>
        <v>2128 SULLIVANT LLC</v>
      </c>
      <c r="C135" s="1" t="str">
        <f>"2128-30-281/2 SULLIVANT 99.10 FT END OF 1"</f>
        <v>2128-30-281/2 SULLIVANT 99.10 FT END OF 1</v>
      </c>
      <c r="D135" s="1">
        <v>71.989999999999995</v>
      </c>
    </row>
    <row r="136" spans="1:4" x14ac:dyDescent="0.3">
      <c r="A136" s="1" t="str">
        <f>"07000109400"</f>
        <v>07000109400</v>
      </c>
      <c r="B136" s="1" t="str">
        <f>"2164-2170 RIVERSIDE DRIVE LLC"</f>
        <v>2164-2170 RIVERSIDE DRIVE LLC</v>
      </c>
      <c r="C136" s="1" t="str">
        <f>"2164 RIVERSIDE DR R19 T1 1/4 T 4 .610 ACRE"</f>
        <v>2164 RIVERSIDE DR R19 T1 1/4 T 4 .610 ACRE</v>
      </c>
      <c r="D136" s="1">
        <v>866.69</v>
      </c>
    </row>
    <row r="137" spans="1:4" x14ac:dyDescent="0.3">
      <c r="A137" s="1" t="str">
        <f>"01003731600"</f>
        <v>01003731600</v>
      </c>
      <c r="B137" s="1" t="str">
        <f>"2171 SULLIVANT AVENUE LLC"</f>
        <v>2171 SULLIVANT AVENUE LLC</v>
      </c>
      <c r="C137" s="1" t="str">
        <f>"2171 SULLIVANT AVE LINKES LOT 23"</f>
        <v>2171 SULLIVANT AVE LINKES LOT 23</v>
      </c>
      <c r="D137" s="1">
        <v>2094.62</v>
      </c>
    </row>
    <row r="138" spans="1:4" x14ac:dyDescent="0.3">
      <c r="A138" s="1" t="str">
        <f>"01004916300"</f>
        <v>01004916300</v>
      </c>
      <c r="B138" s="1" t="str">
        <f>"2177 NORTH 4TH ST LLC"</f>
        <v>2177 NORTH 4TH ST LLC</v>
      </c>
      <c r="C138" s="1" t="str">
        <f>"2177 N 4TH ST INDIANOLA SUMMIT ADDN LOT 23 BLK 19"</f>
        <v>2177 N 4TH ST INDIANOLA SUMMIT ADDN LOT 23 BLK 19</v>
      </c>
      <c r="D138" s="1">
        <v>127.31</v>
      </c>
    </row>
    <row r="139" spans="1:4" x14ac:dyDescent="0.3">
      <c r="A139" s="1" t="str">
        <f>"01011030300"</f>
        <v>01011030300</v>
      </c>
      <c r="B139" s="1" t="str">
        <f>"218 CHASE LLC"</f>
        <v>218 CHASE LLC</v>
      </c>
      <c r="C139" s="1" t="str">
        <f>"CHASE AVE CHASELAND&amp;15FT.L.VAC LOT150"</f>
        <v>CHASE AVE CHASELAND&amp;15FT.L.VAC LOT150</v>
      </c>
      <c r="D139" s="1">
        <v>1379.05</v>
      </c>
    </row>
    <row r="140" spans="1:4" x14ac:dyDescent="0.3">
      <c r="A140" s="1" t="str">
        <f>"01016732200"</f>
        <v>01016732200</v>
      </c>
      <c r="B140" s="1" t="str">
        <f>"2180 DELAVAN LLC"</f>
        <v>2180 DELAVAN LLC</v>
      </c>
      <c r="C140" s="1" t="str">
        <f>"DELAVAN DRIVE AMVET HOMESTEAD 2 LOT 18 BLK Q"</f>
        <v>DELAVAN DRIVE AMVET HOMESTEAD 2 LOT 18 BLK Q</v>
      </c>
      <c r="D140" s="1">
        <v>1960.79</v>
      </c>
    </row>
    <row r="141" spans="1:4" x14ac:dyDescent="0.3">
      <c r="A141" s="1" t="str">
        <f>"01002317300"</f>
        <v>01002317300</v>
      </c>
      <c r="B141" s="1" t="str">
        <f>"219-229 E 17TH AVENUE LLC"</f>
        <v>219-229 E 17TH AVENUE LLC</v>
      </c>
      <c r="C141" s="1" t="str">
        <f>"229 17TH AVE INDIANOLA FOREST LOT 52-53-54"</f>
        <v>229 17TH AVE INDIANOLA FOREST LOT 52-53-54</v>
      </c>
      <c r="D141" s="1">
        <v>1031.06</v>
      </c>
    </row>
    <row r="142" spans="1:4" x14ac:dyDescent="0.3">
      <c r="A142" s="1" t="str">
        <f>"01008458400"</f>
        <v>01008458400</v>
      </c>
      <c r="B142" s="1" t="str">
        <f>"22 MYRTLE LLC"</f>
        <v>22 MYRTLE LLC</v>
      </c>
      <c r="C142" s="1" t="str">
        <f>"CHATHAM RD L30&amp;37.5 FT ESL29 NORTHRIDGE LOT 29-30"</f>
        <v>CHATHAM RD L30&amp;37.5 FT ESL29 NORTHRIDGE LOT 29-30</v>
      </c>
      <c r="D142" s="1">
        <v>11412.6</v>
      </c>
    </row>
    <row r="143" spans="1:4" x14ac:dyDescent="0.3">
      <c r="A143" s="1" t="str">
        <f>"01005076300"</f>
        <v>01005076300</v>
      </c>
      <c r="B143" s="1" t="str">
        <f>"220 PARCELS LLC"</f>
        <v>220 PARCELS LLC</v>
      </c>
      <c r="C143" s="1" t="str">
        <f>"320 CENTRAL AVE N L DORENS CENTRAL LOT 217"</f>
        <v>320 CENTRAL AVE N L DORENS CENTRAL LOT 217</v>
      </c>
      <c r="D143" s="1">
        <v>2544.3200000000002</v>
      </c>
    </row>
    <row r="144" spans="1:4" x14ac:dyDescent="0.3">
      <c r="A144" s="1" t="str">
        <f>"10000180800"</f>
        <v>10000180800</v>
      </c>
      <c r="B144" s="1" t="str">
        <f>"223 E SELBY BLVD LLC"</f>
        <v>223 E SELBY BLVD LLC</v>
      </c>
      <c r="C144" s="1" t="str">
        <f>"223 SELBY BLVD LOT 11 RESUB LOTS 15-22 HILLS &amp; DALES"</f>
        <v>223 SELBY BLVD LOT 11 RESUB LOTS 15-22 HILLS &amp; DALES</v>
      </c>
      <c r="D144" s="1">
        <v>2019.38</v>
      </c>
    </row>
    <row r="145" spans="1:4" x14ac:dyDescent="0.3">
      <c r="A145" s="1" t="str">
        <f>"56023913300"</f>
        <v>56023913300</v>
      </c>
      <c r="B145" s="1" t="str">
        <f>"2240 VENUS STREET LLC"</f>
        <v>2240 VENUS STREET LLC</v>
      </c>
      <c r="C145" s="1" t="str">
        <f>"VENUS STREET WALCUTT INDST PARK PT LOT 5=2.162 ACRES"</f>
        <v>VENUS STREET WALCUTT INDST PARK PT LOT 5=2.162 ACRES</v>
      </c>
      <c r="D145" s="1">
        <v>17890.490000000002</v>
      </c>
    </row>
    <row r="146" spans="1:4" x14ac:dyDescent="0.3">
      <c r="A146" s="1" t="str">
        <f>"01012117600"</f>
        <v>01012117600</v>
      </c>
      <c r="B146" s="1" t="str">
        <f>"2247 JERMAIN"</f>
        <v>2247 JERMAIN</v>
      </c>
      <c r="C146" s="1" t="str">
        <f>"JERMAIN DR MARIEMONT VILLAGE LOT 53"</f>
        <v>JERMAIN DR MARIEMONT VILLAGE LOT 53</v>
      </c>
      <c r="D146" s="1">
        <v>1049.46</v>
      </c>
    </row>
    <row r="147" spans="1:4" x14ac:dyDescent="0.3">
      <c r="A147" s="1" t="str">
        <f>"01022462600"</f>
        <v>01022462600</v>
      </c>
      <c r="B147" s="1" t="str">
        <f>"225 BUSINESS CENTER OWNER LLC"</f>
        <v>225 BUSINESS CENTER OWNER LLC</v>
      </c>
      <c r="C147" s="1" t="str">
        <f>"BUSINESS CENTER DR EAST BROAD BUS CNTR PT LOT 2 (2.626 ACRES)"</f>
        <v>BUSINESS CENTER DR EAST BROAD BUS CNTR PT LOT 2 (2.626 ACRES)</v>
      </c>
      <c r="D147" s="1">
        <v>1751.64</v>
      </c>
    </row>
    <row r="148" spans="1:4" x14ac:dyDescent="0.3">
      <c r="A148" s="1" t="str">
        <f>"01004658100"</f>
        <v>01004658100</v>
      </c>
      <c r="B148" s="1" t="str">
        <f>"225 INNIS LLC"</f>
        <v>225 INNIS LLC</v>
      </c>
      <c r="C148" s="1" t="str">
        <f>"LATTA AVE PUGH SUB LOT 26 &amp; PT LOT 27"</f>
        <v>LATTA AVE PUGH SUB LOT 26 &amp; PT LOT 27</v>
      </c>
      <c r="D148" s="1">
        <v>1506.46</v>
      </c>
    </row>
    <row r="149" spans="1:4" x14ac:dyDescent="0.3">
      <c r="A149" s="1" t="str">
        <f>"01000324200"</f>
        <v>01000324200</v>
      </c>
      <c r="B149" s="1" t="str">
        <f>"226 E KELSO LLC"</f>
        <v>226 E KELSO LLC</v>
      </c>
      <c r="C149" s="1" t="str">
        <f>"224-226 KELSO RD CRESTVIEW PT LOT 851 ALL 852"</f>
        <v>224-226 KELSO RD CRESTVIEW PT LOT 851 ALL 852</v>
      </c>
      <c r="D149" s="1">
        <v>18.899999999999999</v>
      </c>
    </row>
    <row r="150" spans="1:4" x14ac:dyDescent="0.3">
      <c r="A150" s="1" t="str">
        <f>"01031852000"</f>
        <v>01031852000</v>
      </c>
      <c r="B150" s="1" t="str">
        <f>"228 SHERMAN INVESTMENTS LLC"</f>
        <v>228 SHERMAN INVESTMENTS LLC</v>
      </c>
      <c r="C150" s="1" t="str">
        <f>"SHERMAN AVE CHAMPION SUB 126' WS PT LOTS 85-87"</f>
        <v>SHERMAN AVE CHAMPION SUB 126' WS PT LOTS 85-87</v>
      </c>
      <c r="D150" s="1">
        <v>1719.08</v>
      </c>
    </row>
    <row r="151" spans="1:4" x14ac:dyDescent="0.3">
      <c r="A151" s="1" t="str">
        <f>"02500068100"</f>
        <v>02500068100</v>
      </c>
      <c r="B151" s="1" t="str">
        <f>"22SCHOOLHOUSE LLC"</f>
        <v>22SCHOOLHOUSE LLC</v>
      </c>
      <c r="C151" s="1" t="str">
        <f>"106 SHORT ST .611 ACRES "</f>
        <v xml:space="preserve">106 SHORT ST .611 ACRES </v>
      </c>
      <c r="D151" s="1">
        <v>1174.28</v>
      </c>
    </row>
    <row r="152" spans="1:4" x14ac:dyDescent="0.3">
      <c r="A152" s="1" t="str">
        <f>"01003349800"</f>
        <v>01003349800</v>
      </c>
      <c r="B152" s="1" t="str">
        <f>"2308 REAL ESTATE INVESTMENTS LLC"</f>
        <v>2308 REAL ESTATE INVESTMENTS LLC</v>
      </c>
      <c r="C152" s="1" t="str">
        <f>"2308 W BROAD ST HIGHLANDPARK LOTS 10-11-12"</f>
        <v>2308 W BROAD ST HIGHLANDPARK LOTS 10-11-12</v>
      </c>
      <c r="D152" s="1">
        <v>1912.7</v>
      </c>
    </row>
    <row r="153" spans="1:4" x14ac:dyDescent="0.3">
      <c r="A153" s="1" t="str">
        <f>"01025323800"</f>
        <v>01025323800</v>
      </c>
      <c r="B153" s="1" t="str">
        <f>"2350 FUJI LLC"</f>
        <v>2350 FUJI LLC</v>
      </c>
      <c r="C153" s="1" t="str">
        <f>"FUJI DRIVE R18 T2 1/4T4 0.751 ACRE"</f>
        <v>FUJI DRIVE R18 T2 1/4T4 0.751 ACRE</v>
      </c>
      <c r="D153" s="1">
        <v>829.07</v>
      </c>
    </row>
    <row r="154" spans="1:4" x14ac:dyDescent="0.3">
      <c r="A154" s="1" t="str">
        <f>"01016721900"</f>
        <v>01016721900</v>
      </c>
      <c r="B154" s="1" t="str">
        <f>"2350 MEREDITH DRIVE LLC"</f>
        <v>2350 MEREDITH DRIVE LLC</v>
      </c>
      <c r="C154" s="1" t="str">
        <f>"2350 MEREDITH DR AMVET HOMESTD SUB 1 LOT 55 BLK E"</f>
        <v>2350 MEREDITH DR AMVET HOMESTD SUB 1 LOT 55 BLK E</v>
      </c>
      <c r="D154" s="1">
        <v>984.25</v>
      </c>
    </row>
    <row r="155" spans="1:4" x14ac:dyDescent="0.3">
      <c r="A155" s="1" t="str">
        <f>"01007432200"</f>
        <v>01007432200</v>
      </c>
      <c r="B155" s="1" t="str">
        <f>"2361 PONTIAC ST LLC"</f>
        <v>2361 PONTIAC ST LLC</v>
      </c>
      <c r="C155" s="1" t="str">
        <f>"PONTIAC ST HIAWATHA PARK PLC LOT 31"</f>
        <v>PONTIAC ST HIAWATHA PARK PLC LOT 31</v>
      </c>
      <c r="D155" s="1">
        <v>78.28</v>
      </c>
    </row>
    <row r="156" spans="1:4" x14ac:dyDescent="0.3">
      <c r="A156" s="1" t="str">
        <f>"01003817700"</f>
        <v>01003817700</v>
      </c>
      <c r="B156" s="1" t="str">
        <f>"2406 ADAMS AVENUE LLC"</f>
        <v>2406 ADAMS AVENUE LLC</v>
      </c>
      <c r="C156" s="1" t="str">
        <f>"2406 ADAMS AVE 41.67 FT MID PT CORNELL 1-2"</f>
        <v>2406 ADAMS AVE 41.67 FT MID PT CORNELL 1-2</v>
      </c>
      <c r="D156" s="1">
        <v>184.06</v>
      </c>
    </row>
    <row r="157" spans="1:4" x14ac:dyDescent="0.3">
      <c r="A157" s="1" t="str">
        <f>"01013293400"</f>
        <v>01013293400</v>
      </c>
      <c r="B157" s="1" t="str">
        <f>"2430 LISBON LLC"</f>
        <v>2430 LISBON LLC</v>
      </c>
      <c r="C157" s="1" t="str">
        <f>"LISBON DR WALNUT BLUFF 1 LOT 79"</f>
        <v>LISBON DR WALNUT BLUFF 1 LOT 79</v>
      </c>
      <c r="D157" s="1">
        <v>162.21</v>
      </c>
    </row>
    <row r="158" spans="1:4" x14ac:dyDescent="0.3">
      <c r="A158" s="1" t="str">
        <f>"01016711200"</f>
        <v>01016711200</v>
      </c>
      <c r="B158" s="1" t="str">
        <f>"2456 HOLT AVENUE LLC"</f>
        <v>2456 HOLT AVENUE LLC</v>
      </c>
      <c r="C158" s="1" t="str">
        <f>"HOLT AVE AMVET HOMESTD SUB 1 LOT 17 BLK C"</f>
        <v>HOLT AVE AMVET HOMESTD SUB 1 LOT 17 BLK C</v>
      </c>
      <c r="D158" s="1">
        <v>862.72</v>
      </c>
    </row>
    <row r="159" spans="1:4" x14ac:dyDescent="0.3">
      <c r="A159" s="1" t="str">
        <f>"60014641100"</f>
        <v>60014641100</v>
      </c>
      <c r="B159" s="1" t="str">
        <f>"2459 BROOKLYN LLC"</f>
        <v>2459 BROOKLYN LLC</v>
      </c>
      <c r="C159" s="1" t="str">
        <f>"FAIRVIEW AVE SUB HOMESITE COS ALLOT LOT 18"</f>
        <v>FAIRVIEW AVE SUB HOMESITE COS ALLOT LOT 18</v>
      </c>
      <c r="D159" s="1">
        <v>307.74</v>
      </c>
    </row>
    <row r="160" spans="1:4" x14ac:dyDescent="0.3">
      <c r="A160" s="1" t="str">
        <f>"60014641200"</f>
        <v>60014641200</v>
      </c>
      <c r="B160" s="1" t="str">
        <f>"2459 BROOKLYN LLC"</f>
        <v>2459 BROOKLYN LLC</v>
      </c>
      <c r="C160" s="1" t="str">
        <f>"FAIRVIEW AVE THE SUBURBAN HOMESITE COS ALLOT LOT 19"</f>
        <v>FAIRVIEW AVE THE SUBURBAN HOMESITE COS ALLOT LOT 19</v>
      </c>
      <c r="D160" s="1">
        <v>155.27000000000001</v>
      </c>
    </row>
    <row r="161" spans="1:4" x14ac:dyDescent="0.3">
      <c r="A161" s="1" t="str">
        <f>"60014641300"</f>
        <v>60014641300</v>
      </c>
      <c r="B161" s="1" t="str">
        <f>"2459 BROOKLYN LLC"</f>
        <v>2459 BROOKLYN LLC</v>
      </c>
      <c r="C161" s="1" t="str">
        <f>"FAIRVIEW AVE SUB          HOMESITE COS ALLOT        LOT 20                   "</f>
        <v xml:space="preserve">FAIRVIEW AVE SUB          HOMESITE COS ALLOT        LOT 20                   </v>
      </c>
      <c r="D161" s="1">
        <v>295.08</v>
      </c>
    </row>
    <row r="162" spans="1:4" x14ac:dyDescent="0.3">
      <c r="A162" s="1" t="str">
        <f>"01000588200"</f>
        <v>01000588200</v>
      </c>
      <c r="B162" s="1" t="str">
        <f>"2488 SUMMIT STREET LLC"</f>
        <v>2488 SUMMIT STREET LLC</v>
      </c>
      <c r="C162" s="1" t="str">
        <f>"1060 E OLMSTEAD AVE THEO WEYANT SUB LOT 106-107"</f>
        <v>1060 E OLMSTEAD AVE THEO WEYANT SUB LOT 106-107</v>
      </c>
      <c r="D162" s="1">
        <v>260.14999999999998</v>
      </c>
    </row>
    <row r="163" spans="1:4" x14ac:dyDescent="0.3">
      <c r="A163" s="1" t="str">
        <f>"01002425500"</f>
        <v>01002425500</v>
      </c>
      <c r="B163" s="1" t="str">
        <f>"2488 SUMMIT STREET LLC"</f>
        <v>2488 SUMMIT STREET LLC</v>
      </c>
      <c r="C163" s="1" t="str">
        <f>"131 S WAYNE AVE BELLAIRE LOT 127"</f>
        <v>131 S WAYNE AVE BELLAIRE LOT 127</v>
      </c>
      <c r="D163" s="1">
        <v>327.07</v>
      </c>
    </row>
    <row r="164" spans="1:4" x14ac:dyDescent="0.3">
      <c r="A164" s="1" t="str">
        <f>"01004315900"</f>
        <v>01004315900</v>
      </c>
      <c r="B164" s="1" t="str">
        <f>"25 E WELCH LLC"</f>
        <v>25 E WELCH LLC</v>
      </c>
      <c r="C164" s="1" t="str">
        <f>"25 WELCH WELCH AMD SUB 60"</f>
        <v>25 WELCH WELCH AMD SUB 60</v>
      </c>
      <c r="D164" s="1">
        <v>5853.75</v>
      </c>
    </row>
    <row r="165" spans="1:4" x14ac:dyDescent="0.3">
      <c r="A165" s="1" t="str">
        <f>"60020862000"</f>
        <v>60020862000</v>
      </c>
      <c r="B165" s="1" t="str">
        <f>"2525 OAKSTONE DRIVE LLC"</f>
        <v>2525 OAKSTONE DRIVE LLC</v>
      </c>
      <c r="C165" s="1" t="str">
        <f>"OAKSTONE OFFICE PARK CONDOMINIUM BLDG 16 UNIT 2525"</f>
        <v>OAKSTONE OFFICE PARK CONDOMINIUM BLDG 16 UNIT 2525</v>
      </c>
      <c r="D165" s="1">
        <v>8151.51</v>
      </c>
    </row>
    <row r="166" spans="1:4" x14ac:dyDescent="0.3">
      <c r="A166" s="1" t="str">
        <f>"01003800900"</f>
        <v>01003800900</v>
      </c>
      <c r="B166" s="1" t="str">
        <f>"2552-2554 GLENMAWR AVE LLC"</f>
        <v>2552-2554 GLENMAWR AVE LLC</v>
      </c>
      <c r="C166" s="1" t="str">
        <f>"2552-54 GLENMAWR INDIANOLA PARK VIEW LOT 111"</f>
        <v>2552-54 GLENMAWR INDIANOLA PARK VIEW LOT 111</v>
      </c>
      <c r="D166" s="1">
        <v>3290.46</v>
      </c>
    </row>
    <row r="167" spans="1:4" x14ac:dyDescent="0.3">
      <c r="A167" s="1" t="str">
        <f>"01027129000"</f>
        <v>01027129000</v>
      </c>
      <c r="B167" s="1" t="str">
        <f>"256GV LLC"</f>
        <v>256GV LLC</v>
      </c>
      <c r="C167" s="1" t="str">
        <f>"256/258 EAST DESHLER AVENUE CONDOMINIUM UNIT 256"</f>
        <v>256/258 EAST DESHLER AVENUE CONDOMINIUM UNIT 256</v>
      </c>
      <c r="D167" s="1">
        <v>4448.71</v>
      </c>
    </row>
    <row r="168" spans="1:4" x14ac:dyDescent="0.3">
      <c r="A168" s="1" t="str">
        <f>"01004090600"</f>
        <v>01004090600</v>
      </c>
      <c r="B168" s="1" t="str">
        <f>"258-260 S SOUDER AVE LLC"</f>
        <v>258-260 S SOUDER AVE LLC</v>
      </c>
      <c r="C168" s="1" t="str">
        <f>"258-60 S SOUDER AVE MARTINS WESTERN LOT 162"</f>
        <v>258-60 S SOUDER AVE MARTINS WESTERN LOT 162</v>
      </c>
      <c r="D168" s="1">
        <v>1908.43</v>
      </c>
    </row>
    <row r="169" spans="1:4" x14ac:dyDescent="0.3">
      <c r="A169" s="1" t="str">
        <f>"02000440400"</f>
        <v>02000440400</v>
      </c>
      <c r="B169" s="1" t="str">
        <f>"26 SESSIONS LLC"</f>
        <v>26 SESSIONS LLC</v>
      </c>
      <c r="C169" s="1" t="str">
        <f>"26 SESSIONS DR SESSIONS 26 "</f>
        <v xml:space="preserve">26 SESSIONS DR SESSIONS 26 </v>
      </c>
      <c r="D169" s="1">
        <v>1072.54</v>
      </c>
    </row>
    <row r="170" spans="1:4" x14ac:dyDescent="0.3">
      <c r="A170" s="1" t="str">
        <f>"07000581700"</f>
        <v>07000581700</v>
      </c>
      <c r="B170" s="1" t="str">
        <f>"2611 SHREWSBURY II LLC"</f>
        <v>2611 SHREWSBURY II LLC</v>
      </c>
      <c r="C170" s="1" t="str">
        <f>"SHREWSBURY RD RIVER RIDGE 22 BLK 8"</f>
        <v>SHREWSBURY RD RIVER RIDGE 22 BLK 8</v>
      </c>
      <c r="D170" s="1">
        <v>329.48</v>
      </c>
    </row>
    <row r="171" spans="1:4" x14ac:dyDescent="0.3">
      <c r="A171" s="1" t="str">
        <f>"01001265900"</f>
        <v>01001265900</v>
      </c>
      <c r="B171" s="1" t="str">
        <f>"2650 COURTRIGHT LLC"</f>
        <v>2650 COURTRIGHT LLC</v>
      </c>
      <c r="C171" s="1" t="str">
        <f>"3770 COURTRIGHT RD R21T12S29 1/4S51-52 7.956 ACR LOT 2"</f>
        <v>3770 COURTRIGHT RD R21T12S29 1/4S51-52 7.956 ACR LOT 2</v>
      </c>
      <c r="D171" s="1">
        <v>91815.73</v>
      </c>
    </row>
    <row r="172" spans="1:4" x14ac:dyDescent="0.3">
      <c r="A172" s="1" t="str">
        <f>"01015372600"</f>
        <v>01015372600</v>
      </c>
      <c r="B172" s="1" t="str">
        <f>"2679 MCKINLEY LLC"</f>
        <v>2679 MCKINLEY LLC</v>
      </c>
      <c r="C172" s="1" t="str">
        <f>"MCKINLEY AVE ENTRY 530 4.088 ACRES"</f>
        <v>MCKINLEY AVE ENTRY 530 4.088 ACRES</v>
      </c>
      <c r="D172" s="1">
        <v>21227.35</v>
      </c>
    </row>
    <row r="173" spans="1:4" x14ac:dyDescent="0.3">
      <c r="A173" s="1" t="str">
        <f>"60018755300"</f>
        <v>60018755300</v>
      </c>
      <c r="B173" s="1" t="str">
        <f>"2700-2706 CHRISTINE BLVD LLC"</f>
        <v>2700-2706 CHRISTINE BLVD LLC</v>
      </c>
      <c r="C173" s="1" t="str">
        <f>"CHRISTINE BLVD NEWTOWN CMN CONDO 9 UNIT A"</f>
        <v>CHRISTINE BLVD NEWTOWN CMN CONDO 9 UNIT A</v>
      </c>
      <c r="D173" s="1">
        <v>1300.1300000000001</v>
      </c>
    </row>
    <row r="174" spans="1:4" x14ac:dyDescent="0.3">
      <c r="A174" s="1" t="str">
        <f>"60018755400"</f>
        <v>60018755400</v>
      </c>
      <c r="B174" s="1" t="str">
        <f>"2700-2706 CHRISTINE BLVD LLC"</f>
        <v>2700-2706 CHRISTINE BLVD LLC</v>
      </c>
      <c r="C174" s="1" t="str">
        <f>"CHRISTINE BLVD NEWTOWN CMN CONDO 9 UNIT B"</f>
        <v>CHRISTINE BLVD NEWTOWN CMN CONDO 9 UNIT B</v>
      </c>
      <c r="D174" s="1">
        <v>1300.1300000000001</v>
      </c>
    </row>
    <row r="175" spans="1:4" x14ac:dyDescent="0.3">
      <c r="A175" s="1" t="str">
        <f>"60018755500"</f>
        <v>60018755500</v>
      </c>
      <c r="B175" s="1" t="str">
        <f>"2700-2706 CHRISTINE BLVD LLC"</f>
        <v>2700-2706 CHRISTINE BLVD LLC</v>
      </c>
      <c r="C175" s="1" t="str">
        <f>"CHRISTINE BLVD NEWTOWN CMN CONDO 9 UNIT C"</f>
        <v>CHRISTINE BLVD NEWTOWN CMN CONDO 9 UNIT C</v>
      </c>
      <c r="D175" s="1">
        <v>1300.1300000000001</v>
      </c>
    </row>
    <row r="176" spans="1:4" x14ac:dyDescent="0.3">
      <c r="A176" s="1" t="str">
        <f>"56026678500"</f>
        <v>56026678500</v>
      </c>
      <c r="B176" s="1" t="str">
        <f>"2701 CHARTER STREET LLC"</f>
        <v>2701 CHARTER STREET LLC</v>
      </c>
      <c r="C176" s="1" t="str">
        <f>"CHARTER ST WESTBELT BUS PARK W 3.501 ACRES"</f>
        <v>CHARTER ST WESTBELT BUS PARK W 3.501 ACRES</v>
      </c>
      <c r="D176" s="1">
        <v>19.63</v>
      </c>
    </row>
    <row r="177" spans="1:4" x14ac:dyDescent="0.3">
      <c r="A177" s="1" t="str">
        <f>"56024182600"</f>
        <v>56024182600</v>
      </c>
      <c r="B177" s="1" t="str">
        <f>"2701 CHARTER STREET LLC"</f>
        <v>2701 CHARTER STREET LLC</v>
      </c>
      <c r="C177" s="1" t="str">
        <f>"IMPORT ST WESTBELT BUS PARK W 16.976 ACRES"</f>
        <v>IMPORT ST WESTBELT BUS PARK W 16.976 ACRES</v>
      </c>
      <c r="D177" s="1">
        <v>16717.78</v>
      </c>
    </row>
    <row r="178" spans="1:4" x14ac:dyDescent="0.3">
      <c r="A178" s="1" t="str">
        <f>"01004047500"</f>
        <v>01004047500</v>
      </c>
      <c r="B178" s="1" t="str">
        <f>"271-277 SOUTH CHAMPION AVENUE LLC"</f>
        <v>271-277 SOUTH CHAMPION AVENUE LLC</v>
      </c>
      <c r="C178" s="1" t="str">
        <f>"606 E WHITTIER ST BLESCH &amp; KREMER LOT 297"</f>
        <v>606 E WHITTIER ST BLESCH &amp; KREMER LOT 297</v>
      </c>
      <c r="D178" s="1">
        <v>135.16999999999999</v>
      </c>
    </row>
    <row r="179" spans="1:4" x14ac:dyDescent="0.3">
      <c r="A179" s="1" t="str">
        <f>"01028021700"</f>
        <v>01028021700</v>
      </c>
      <c r="B179" s="1" t="str">
        <f>"271-277 SOUTH CHAMPION AVENUE LLC"</f>
        <v>271-277 SOUTH CHAMPION AVENUE LLC</v>
      </c>
      <c r="C179" s="1" t="str">
        <f>"271-277 S CHAMPION AVENUE CONDOMINIUM UNIT 271"</f>
        <v>271-277 S CHAMPION AVENUE CONDOMINIUM UNIT 271</v>
      </c>
      <c r="D179" s="1">
        <v>77.09</v>
      </c>
    </row>
    <row r="180" spans="1:4" x14ac:dyDescent="0.3">
      <c r="A180" s="1" t="str">
        <f>"01028021800"</f>
        <v>01028021800</v>
      </c>
      <c r="B180" s="1" t="str">
        <f>"271-277 SOUTH CHAMPION AVENUE LLC"</f>
        <v>271-277 SOUTH CHAMPION AVENUE LLC</v>
      </c>
      <c r="C180" s="1" t="str">
        <f>"271-277 S CHAMPION AVENUE CONDOMINIUM UNIT 277"</f>
        <v>271-277 S CHAMPION AVENUE CONDOMINIUM UNIT 277</v>
      </c>
      <c r="D180" s="1">
        <v>77.48</v>
      </c>
    </row>
    <row r="181" spans="1:4" x14ac:dyDescent="0.3">
      <c r="A181" s="1" t="str">
        <f>"02000185600"</f>
        <v>02000185600</v>
      </c>
      <c r="B181" s="1" t="str">
        <f>"2761 MAIN INVESTMENT LLC"</f>
        <v>2761 MAIN INVESTMENT LLC</v>
      </c>
      <c r="C181" s="1" t="str">
        <f>"0000 E MAIN ST            MC CLURE                  LOT 109                  "</f>
        <v xml:space="preserve">0000 E MAIN ST            MC CLURE                  LOT 109                  </v>
      </c>
      <c r="D181" s="1">
        <v>2275.77</v>
      </c>
    </row>
    <row r="182" spans="1:4" x14ac:dyDescent="0.3">
      <c r="A182" s="1" t="str">
        <f>"01002822100"</f>
        <v>01002822100</v>
      </c>
      <c r="B182" s="1" t="str">
        <f>"2810 ROSEDALE LLC"</f>
        <v>2810 ROSEDALE LLC</v>
      </c>
      <c r="C182" s="1" t="str">
        <f>"611 S CHAMPION AVE RODENFELS AMD LOT 23"</f>
        <v>611 S CHAMPION AVE RODENFELS AMD LOT 23</v>
      </c>
      <c r="D182" s="1">
        <v>1002.74</v>
      </c>
    </row>
    <row r="183" spans="1:4" x14ac:dyDescent="0.3">
      <c r="A183" s="1" t="str">
        <f>"01003594400"</f>
        <v>01003594400</v>
      </c>
      <c r="B183" s="1" t="str">
        <f>"2924 E 12TH AVE LLC"</f>
        <v>2924 E 12TH AVE LLC</v>
      </c>
      <c r="C183" s="1" t="str">
        <f>"897 E 12TH AVE ACRES.12533.98X150.2 FT R18T1S4 1/2 S 8"</f>
        <v>897 E 12TH AVE ACRES.12533.98X150.2 FT R18T1S4 1/2 S 8</v>
      </c>
      <c r="D183" s="1">
        <v>43.1</v>
      </c>
    </row>
    <row r="184" spans="1:4" x14ac:dyDescent="0.3">
      <c r="A184" s="1" t="str">
        <f>"01009246300"</f>
        <v>01009246300</v>
      </c>
      <c r="B184" s="1" t="str">
        <f>"2924 E 12TH AVE LLC"</f>
        <v>2924 E 12TH AVE LLC</v>
      </c>
      <c r="C184" s="1" t="str">
        <f>"12TH AVE CASSADY PEAKE-MEADOWS LOT 222"</f>
        <v>12TH AVE CASSADY PEAKE-MEADOWS LOT 222</v>
      </c>
      <c r="D184" s="1">
        <v>55.19</v>
      </c>
    </row>
    <row r="185" spans="1:4" x14ac:dyDescent="0.3">
      <c r="A185" s="1" t="str">
        <f>"07000903900"</f>
        <v>07000903900</v>
      </c>
      <c r="B185" s="1" t="str">
        <f>"2925 WELLESLEY DRIVE HOLDINGS LLC"</f>
        <v>2925 WELLESLEY DRIVE HOLDINGS LLC</v>
      </c>
      <c r="C185" s="1" t="str">
        <f>"2925 WELLESLEY DR WALLACE F ACKLEY 14 "</f>
        <v xml:space="preserve">2925 WELLESLEY DR WALLACE F ACKLEY 14 </v>
      </c>
      <c r="D185" s="1">
        <v>5117.28</v>
      </c>
    </row>
    <row r="186" spans="1:4" x14ac:dyDescent="0.3">
      <c r="A186" s="1" t="str">
        <f>"01015828100"</f>
        <v>01015828100</v>
      </c>
      <c r="B186" s="1" t="str">
        <f>"2955 SWITZER ROAD LLC"</f>
        <v>2955 SWITZER ROAD LLC</v>
      </c>
      <c r="C186" s="1" t="str">
        <f>"SWITZER AVE ELMHURST LOT 1 BLK B"</f>
        <v>SWITZER AVE ELMHURST LOT 1 BLK B</v>
      </c>
      <c r="D186" s="1">
        <v>24.54</v>
      </c>
    </row>
    <row r="187" spans="1:4" x14ac:dyDescent="0.3">
      <c r="A187" s="1" t="str">
        <f>"01015828200"</f>
        <v>01015828200</v>
      </c>
      <c r="B187" s="1" t="str">
        <f>"2955 SWITZER ROAD LLC"</f>
        <v>2955 SWITZER ROAD LLC</v>
      </c>
      <c r="C187" s="1" t="str">
        <f>"SWITZER AVE ELMHURST LOT 2 BLK B"</f>
        <v>SWITZER AVE ELMHURST LOT 2 BLK B</v>
      </c>
      <c r="D187" s="1">
        <v>23.67</v>
      </c>
    </row>
    <row r="188" spans="1:4" x14ac:dyDescent="0.3">
      <c r="A188" s="1" t="str">
        <f>"01015828300"</f>
        <v>01015828300</v>
      </c>
      <c r="B188" s="1" t="str">
        <f>"2955 SWITZER ROAD LLC"</f>
        <v>2955 SWITZER ROAD LLC</v>
      </c>
      <c r="C188" s="1" t="str">
        <f>"SWITZER AVE ELMHURST LOT 3 BLK B"</f>
        <v>SWITZER AVE ELMHURST LOT 3 BLK B</v>
      </c>
      <c r="D188" s="1">
        <v>23.55</v>
      </c>
    </row>
    <row r="189" spans="1:4" x14ac:dyDescent="0.3">
      <c r="A189" s="1" t="str">
        <f>"01015828400"</f>
        <v>01015828400</v>
      </c>
      <c r="B189" s="1" t="str">
        <f>"2955 SWITZER ROAD LLC"</f>
        <v>2955 SWITZER ROAD LLC</v>
      </c>
      <c r="C189" s="1" t="str">
        <f>"SWITZER AVE ELMHURST LOT 4 BLK B"</f>
        <v>SWITZER AVE ELMHURST LOT 4 BLK B</v>
      </c>
      <c r="D189" s="1">
        <v>23.55</v>
      </c>
    </row>
    <row r="190" spans="1:4" x14ac:dyDescent="0.3">
      <c r="A190" s="1" t="str">
        <f>"01015828500"</f>
        <v>01015828500</v>
      </c>
      <c r="B190" s="1" t="str">
        <f>"2955 SWITZER ROAD LLC"</f>
        <v>2955 SWITZER ROAD LLC</v>
      </c>
      <c r="C190" s="1" t="str">
        <f>"SWITZER AVE ELMHURST LOT 5 BLK B"</f>
        <v>SWITZER AVE ELMHURST LOT 5 BLK B</v>
      </c>
      <c r="D190" s="1">
        <v>23.55</v>
      </c>
    </row>
    <row r="191" spans="1:4" x14ac:dyDescent="0.3">
      <c r="A191" s="1" t="str">
        <f>"01015828600"</f>
        <v>01015828600</v>
      </c>
      <c r="B191" s="1" t="str">
        <f>"2955 SWITZER ROAD LLC"</f>
        <v>2955 SWITZER ROAD LLC</v>
      </c>
      <c r="C191" s="1" t="str">
        <f>"SWITZER AVE ELMHURST LOT 6 BLK B"</f>
        <v>SWITZER AVE ELMHURST LOT 6 BLK B</v>
      </c>
      <c r="D191" s="1">
        <v>23.39</v>
      </c>
    </row>
    <row r="192" spans="1:4" x14ac:dyDescent="0.3">
      <c r="A192" s="1" t="str">
        <f>"01015828700"</f>
        <v>01015828700</v>
      </c>
      <c r="B192" s="1" t="str">
        <f>"2955 SWITZER ROAD LLC"</f>
        <v>2955 SWITZER ROAD LLC</v>
      </c>
      <c r="C192" s="1" t="str">
        <f>"SWITZER AVE ELMHURST LOT 7 BLK B"</f>
        <v>SWITZER AVE ELMHURST LOT 7 BLK B</v>
      </c>
      <c r="D192" s="1">
        <v>23.39</v>
      </c>
    </row>
    <row r="193" spans="1:4" x14ac:dyDescent="0.3">
      <c r="A193" s="1" t="str">
        <f>"01015828800"</f>
        <v>01015828800</v>
      </c>
      <c r="B193" s="1" t="str">
        <f>"2955 SWITZER ROAD LLC"</f>
        <v>2955 SWITZER ROAD LLC</v>
      </c>
      <c r="C193" s="1" t="str">
        <f>"SWITZER AVE ELMHURST LOT 8 BLK B"</f>
        <v>SWITZER AVE ELMHURST LOT 8 BLK B</v>
      </c>
      <c r="D193" s="1">
        <v>23.39</v>
      </c>
    </row>
    <row r="194" spans="1:4" x14ac:dyDescent="0.3">
      <c r="A194" s="1" t="str">
        <f>"01015828900"</f>
        <v>01015828900</v>
      </c>
      <c r="B194" s="1" t="str">
        <f>"2955 SWITZER ROAD LLC"</f>
        <v>2955 SWITZER ROAD LLC</v>
      </c>
      <c r="C194" s="1" t="str">
        <f>"SWITZER AVE ELMHURST LOT 9 BLK B"</f>
        <v>SWITZER AVE ELMHURST LOT 9 BLK B</v>
      </c>
      <c r="D194" s="1">
        <v>23.39</v>
      </c>
    </row>
    <row r="195" spans="1:4" x14ac:dyDescent="0.3">
      <c r="A195" s="1" t="str">
        <f>"01015829000"</f>
        <v>01015829000</v>
      </c>
      <c r="B195" s="1" t="str">
        <f>"2955 SWITZER ROAD LLC"</f>
        <v>2955 SWITZER ROAD LLC</v>
      </c>
      <c r="C195" s="1" t="str">
        <f>"SWITZER AVE ELMHURST LOT 10 BLK B"</f>
        <v>SWITZER AVE ELMHURST LOT 10 BLK B</v>
      </c>
      <c r="D195" s="1">
        <v>23.27</v>
      </c>
    </row>
    <row r="196" spans="1:4" x14ac:dyDescent="0.3">
      <c r="A196" s="1" t="str">
        <f>"01015829100"</f>
        <v>01015829100</v>
      </c>
      <c r="B196" s="1" t="str">
        <f>"2955 SWITZER ROAD LLC"</f>
        <v>2955 SWITZER ROAD LLC</v>
      </c>
      <c r="C196" s="1" t="str">
        <f>"SWITZER AVE ELMHURST LOT 11 BLK B"</f>
        <v>SWITZER AVE ELMHURST LOT 11 BLK B</v>
      </c>
      <c r="D196" s="1">
        <v>23.27</v>
      </c>
    </row>
    <row r="197" spans="1:4" x14ac:dyDescent="0.3">
      <c r="A197" s="1" t="str">
        <f>"01015829200"</f>
        <v>01015829200</v>
      </c>
      <c r="B197" s="1" t="str">
        <f>"2955 SWITZER ROAD LLC"</f>
        <v>2955 SWITZER ROAD LLC</v>
      </c>
      <c r="C197" s="1" t="str">
        <f>"SWITZER AVE ELMHURST LOT 12 BLK B"</f>
        <v>SWITZER AVE ELMHURST LOT 12 BLK B</v>
      </c>
      <c r="D197" s="1">
        <v>23.27</v>
      </c>
    </row>
    <row r="198" spans="1:4" x14ac:dyDescent="0.3">
      <c r="A198" s="1" t="str">
        <f>"01015829300"</f>
        <v>01015829300</v>
      </c>
      <c r="B198" s="1" t="str">
        <f>"2955 SWITZER ROAD LLC"</f>
        <v>2955 SWITZER ROAD LLC</v>
      </c>
      <c r="C198" s="1" t="str">
        <f>"SWITZER AVE ELMHURST LOT 13 BLK B"</f>
        <v>SWITZER AVE ELMHURST LOT 13 BLK B</v>
      </c>
      <c r="D198" s="1">
        <v>23.1</v>
      </c>
    </row>
    <row r="199" spans="1:4" x14ac:dyDescent="0.3">
      <c r="A199" s="1" t="str">
        <f>"01015829400"</f>
        <v>01015829400</v>
      </c>
      <c r="B199" s="1" t="str">
        <f>"2955 SWITZER ROAD LLC"</f>
        <v>2955 SWITZER ROAD LLC</v>
      </c>
      <c r="C199" s="1" t="str">
        <f>"SWITZER AVE ELMHURST LOT 14 BLK B"</f>
        <v>SWITZER AVE ELMHURST LOT 14 BLK B</v>
      </c>
      <c r="D199" s="1">
        <v>1625.73</v>
      </c>
    </row>
    <row r="200" spans="1:4" x14ac:dyDescent="0.3">
      <c r="A200" s="1" t="str">
        <f>"53028085900"</f>
        <v>53028085900</v>
      </c>
      <c r="B200" s="1" t="str">
        <f>"29SC PRESERVE LP, MINT 1031 LLC"</f>
        <v>29SC PRESERVE LP, MINT 1031 LLC</v>
      </c>
      <c r="C200" s="1" t="str">
        <f>"PRESERVE AT WINCHESTER CROSSING CONDOMINIUMS 1ST AMD BLDG 5 UNIT 3642"</f>
        <v>PRESERVE AT WINCHESTER CROSSING CONDOMINIUMS 1ST AMD BLDG 5 UNIT 3642</v>
      </c>
      <c r="D200" s="1">
        <v>2293.35</v>
      </c>
    </row>
    <row r="201" spans="1:4" x14ac:dyDescent="0.3">
      <c r="A201" s="1" t="str">
        <f>"13000890400"</f>
        <v>13000890400</v>
      </c>
      <c r="B201" s="1" t="str">
        <f>"3 HERNANDEZ AUTO BODY SHOP LLC"</f>
        <v>3 HERNANDEZ AUTO BODY SHOP LLC</v>
      </c>
      <c r="C201" s="1" t="str">
        <f>"3050 WESTERVILLE RD MINERVA &amp; ERVAL G BURWELL 2"</f>
        <v>3050 WESTERVILLE RD MINERVA &amp; ERVAL G BURWELL 2</v>
      </c>
      <c r="D201" s="1">
        <v>4371.1499999999996</v>
      </c>
    </row>
    <row r="202" spans="1:4" x14ac:dyDescent="0.3">
      <c r="A202" s="1" t="str">
        <f>"01001224800"</f>
        <v>01001224800</v>
      </c>
      <c r="B202" s="1" t="str">
        <f>"3 LITTLE PIGS BNB LLC"</f>
        <v>3 LITTLE PIGS BNB LLC</v>
      </c>
      <c r="C202" s="1" t="str">
        <f>"233 COLUMBIAN AVE BUCKINGHAM HTS LOT 47"</f>
        <v>233 COLUMBIAN AVE BUCKINGHAM HTS LOT 47</v>
      </c>
      <c r="D202" s="1">
        <v>1742.92</v>
      </c>
    </row>
    <row r="203" spans="1:4" x14ac:dyDescent="0.3">
      <c r="A203" s="1" t="str">
        <f>"01004216500"</f>
        <v>01004216500</v>
      </c>
      <c r="B203" s="1" t="str">
        <f>"300 PLUS INC"</f>
        <v>300 PLUS INC</v>
      </c>
      <c r="C203" s="1" t="str">
        <f>"ROSE AVE CARTER B &amp; O LOT 111-112"</f>
        <v>ROSE AVE CARTER B &amp; O LOT 111-112</v>
      </c>
      <c r="D203" s="1">
        <v>3252.83</v>
      </c>
    </row>
    <row r="204" spans="1:4" x14ac:dyDescent="0.3">
      <c r="A204" s="1" t="str">
        <f>"01015832300"</f>
        <v>01015832300</v>
      </c>
      <c r="B204" s="1" t="str">
        <f>"3000 SWITZER ROAD LLC"</f>
        <v>3000 SWITZER ROAD LLC</v>
      </c>
      <c r="C204" s="1" t="str">
        <f>"SWITZER AVE ELMHURST LOT 24 BLK C"</f>
        <v>SWITZER AVE ELMHURST LOT 24 BLK C</v>
      </c>
      <c r="D204" s="1">
        <v>413.84</v>
      </c>
    </row>
    <row r="205" spans="1:4" x14ac:dyDescent="0.3">
      <c r="A205" s="1" t="str">
        <f>"01015832400"</f>
        <v>01015832400</v>
      </c>
      <c r="B205" s="1" t="str">
        <f>"3000 SWITZER ROAD LLC"</f>
        <v>3000 SWITZER ROAD LLC</v>
      </c>
      <c r="C205" s="1" t="str">
        <f>"SWITZER AVE ELMHURST LOT 25 BLK C"</f>
        <v>SWITZER AVE ELMHURST LOT 25 BLK C</v>
      </c>
      <c r="D205" s="1">
        <v>34.64</v>
      </c>
    </row>
    <row r="206" spans="1:4" x14ac:dyDescent="0.3">
      <c r="A206" s="1" t="str">
        <f>"01015832500"</f>
        <v>01015832500</v>
      </c>
      <c r="B206" s="1" t="str">
        <f>"3000 SWITZER ROAD LLC"</f>
        <v>3000 SWITZER ROAD LLC</v>
      </c>
      <c r="C206" s="1" t="str">
        <f>"SWITZER AVE ELMHURST LOT 26 BLK C"</f>
        <v>SWITZER AVE ELMHURST LOT 26 BLK C</v>
      </c>
      <c r="D206" s="1">
        <v>34.64</v>
      </c>
    </row>
    <row r="207" spans="1:4" x14ac:dyDescent="0.3">
      <c r="A207" s="1" t="str">
        <f>"01015832600"</f>
        <v>01015832600</v>
      </c>
      <c r="B207" s="1" t="str">
        <f>"3000 SWITZER ROAD LLC"</f>
        <v>3000 SWITZER ROAD LLC</v>
      </c>
      <c r="C207" s="1" t="str">
        <f>"SWITZER AVE ELMHURST LOT 27 BLK C"</f>
        <v>SWITZER AVE ELMHURST LOT 27 BLK C</v>
      </c>
      <c r="D207" s="1">
        <v>34.64</v>
      </c>
    </row>
    <row r="208" spans="1:4" x14ac:dyDescent="0.3">
      <c r="A208" s="1" t="str">
        <f>"01010964800"</f>
        <v>01010964800</v>
      </c>
      <c r="B208" s="1" t="str">
        <f>"302 E STANTON AVE LLC"</f>
        <v>302 E STANTON AVE LLC</v>
      </c>
      <c r="C208" s="1" t="str">
        <f>"STANTON AVE CHASELAND 345 "</f>
        <v xml:space="preserve">STANTON AVE CHASELAND 345 </v>
      </c>
      <c r="D208" s="1">
        <v>1099.1500000000001</v>
      </c>
    </row>
    <row r="209" spans="1:4" x14ac:dyDescent="0.3">
      <c r="A209" s="1" t="str">
        <f>"01015832700"</f>
        <v>01015832700</v>
      </c>
      <c r="B209" s="1" t="str">
        <f>"3020 SWITZER ROAD LLC"</f>
        <v>3020 SWITZER ROAD LLC</v>
      </c>
      <c r="C209" s="1" t="str">
        <f>"SWITZER AVE ELMHURST LOT 28 BLK C"</f>
        <v>SWITZER AVE ELMHURST LOT 28 BLK C</v>
      </c>
      <c r="D209" s="1">
        <v>34.64</v>
      </c>
    </row>
    <row r="210" spans="1:4" x14ac:dyDescent="0.3">
      <c r="A210" s="1" t="str">
        <f>"01015832800"</f>
        <v>01015832800</v>
      </c>
      <c r="B210" s="1" t="str">
        <f>"3020 SWITZER ROAD LLC"</f>
        <v>3020 SWITZER ROAD LLC</v>
      </c>
      <c r="C210" s="1" t="str">
        <f>"SWITZER AVE ELMHURST LOT 29 BLK C"</f>
        <v>SWITZER AVE ELMHURST LOT 29 BLK C</v>
      </c>
      <c r="D210" s="1">
        <v>289.42</v>
      </c>
    </row>
    <row r="211" spans="1:4" x14ac:dyDescent="0.3">
      <c r="A211" s="1" t="str">
        <f>"56022367400"</f>
        <v>56022367400</v>
      </c>
      <c r="B211" s="1" t="str">
        <f>"3030 EXECUTIVE COURT LLC"</f>
        <v>3030 EXECUTIVE COURT LLC</v>
      </c>
      <c r="C211" s="1" t="str">
        <f>"SCIOTO EXECUTIVE CT ENTRY 547 1.457 ACRES"</f>
        <v>SCIOTO EXECUTIVE CT ENTRY 547 1.457 ACRES</v>
      </c>
      <c r="D211" s="1">
        <v>10504.6</v>
      </c>
    </row>
    <row r="212" spans="1:4" x14ac:dyDescent="0.3">
      <c r="A212" s="1" t="str">
        <f>"01015832900"</f>
        <v>01015832900</v>
      </c>
      <c r="B212" s="1" t="str">
        <f>"3040 SWITZER ROAD LLC"</f>
        <v>3040 SWITZER ROAD LLC</v>
      </c>
      <c r="C212" s="1" t="str">
        <f>"SWITZER AVE ELMHURST LOT 30 BLK C"</f>
        <v>SWITZER AVE ELMHURST LOT 30 BLK C</v>
      </c>
      <c r="D212" s="1">
        <v>34.64</v>
      </c>
    </row>
    <row r="213" spans="1:4" x14ac:dyDescent="0.3">
      <c r="A213" s="1" t="str">
        <f>"01015833100"</f>
        <v>01015833100</v>
      </c>
      <c r="B213" s="1" t="str">
        <f>"3040 SWITZER ROAD LLC"</f>
        <v>3040 SWITZER ROAD LLC</v>
      </c>
      <c r="C213" s="1" t="str">
        <f>"SWITZER AVE ELMHURST LOT 32 BLK C"</f>
        <v>SWITZER AVE ELMHURST LOT 32 BLK C</v>
      </c>
      <c r="D213" s="1">
        <v>594.67999999999995</v>
      </c>
    </row>
    <row r="214" spans="1:4" x14ac:dyDescent="0.3">
      <c r="A214" s="1" t="str">
        <f>"01015833300"</f>
        <v>01015833300</v>
      </c>
      <c r="B214" s="1" t="str">
        <f>"3050 SWITZER ROAD LLC"</f>
        <v>3050 SWITZER ROAD LLC</v>
      </c>
      <c r="C214" s="1" t="str">
        <f>"SWITZER AVE ELMHURST LOT 34 BLK C"</f>
        <v>SWITZER AVE ELMHURST LOT 34 BLK C</v>
      </c>
      <c r="D214" s="1">
        <v>34.64</v>
      </c>
    </row>
    <row r="215" spans="1:4" x14ac:dyDescent="0.3">
      <c r="A215" s="1" t="str">
        <f>"01015833400"</f>
        <v>01015833400</v>
      </c>
      <c r="B215" s="1" t="str">
        <f>"3050 SWITZER ROAD LLC"</f>
        <v>3050 SWITZER ROAD LLC</v>
      </c>
      <c r="C215" s="1" t="str">
        <f>"SWITZER AVE ELMHURST LOT 35 BLK C"</f>
        <v>SWITZER AVE ELMHURST LOT 35 BLK C</v>
      </c>
      <c r="D215" s="1">
        <v>632.49</v>
      </c>
    </row>
    <row r="216" spans="1:4" x14ac:dyDescent="0.3">
      <c r="A216" s="1" t="str">
        <f>"01015833500"</f>
        <v>01015833500</v>
      </c>
      <c r="B216" s="1" t="str">
        <f>"3050 SWITZER ROAD LLC"</f>
        <v>3050 SWITZER ROAD LLC</v>
      </c>
      <c r="C216" s="1" t="str">
        <f>"SWITZER AVE ELMHURST LOT 36 BLK C"</f>
        <v>SWITZER AVE ELMHURST LOT 36 BLK C</v>
      </c>
      <c r="D216" s="1">
        <v>34.64</v>
      </c>
    </row>
    <row r="217" spans="1:4" x14ac:dyDescent="0.3">
      <c r="A217" s="1" t="str">
        <f>"01015833600"</f>
        <v>01015833600</v>
      </c>
      <c r="B217" s="1" t="str">
        <f>"3050 SWITZER ROAD LLC"</f>
        <v>3050 SWITZER ROAD LLC</v>
      </c>
      <c r="C217" s="1" t="str">
        <f>"SWITZER AVE ELMHURST LOT 37 BLK C"</f>
        <v>SWITZER AVE ELMHURST LOT 37 BLK C</v>
      </c>
      <c r="D217" s="1">
        <v>34.64</v>
      </c>
    </row>
    <row r="218" spans="1:4" x14ac:dyDescent="0.3">
      <c r="A218" s="1" t="str">
        <f>"01015833700"</f>
        <v>01015833700</v>
      </c>
      <c r="B218" s="1" t="str">
        <f>"3050 SWITZER ROAD LLC"</f>
        <v>3050 SWITZER ROAD LLC</v>
      </c>
      <c r="C218" s="1" t="str">
        <f>"SWITZER AVE ELMHURST LOT 38 BLK C"</f>
        <v>SWITZER AVE ELMHURST LOT 38 BLK C</v>
      </c>
      <c r="D218" s="1">
        <v>34.64</v>
      </c>
    </row>
    <row r="219" spans="1:4" x14ac:dyDescent="0.3">
      <c r="A219" s="1" t="str">
        <f>"01009587100"</f>
        <v>01009587100</v>
      </c>
      <c r="B219" s="1" t="str">
        <f>"3075 HAMILTON AVENUE LLC"</f>
        <v>3075 HAMILTON AVENUE LLC</v>
      </c>
      <c r="C219" s="1" t="str">
        <f>"HAMILTON AVE OAK PARK 2 LOT 38"</f>
        <v>HAMILTON AVE OAK PARK 2 LOT 38</v>
      </c>
      <c r="D219" s="1">
        <v>1329.96</v>
      </c>
    </row>
    <row r="220" spans="1:4" x14ac:dyDescent="0.3">
      <c r="A220" s="1" t="str">
        <f>"09000545500"</f>
        <v>09000545500</v>
      </c>
      <c r="B220" s="1" t="str">
        <f>"3075 LANDENFARM LLC"</f>
        <v>3075 LANDENFARM LLC</v>
      </c>
      <c r="C220" s="1" t="str">
        <f>"4194 E BROAD STREET       .720 ACRE                 R21 T12 S5 1/4 S5        "</f>
        <v xml:space="preserve">4194 E BROAD STREET       .720 ACRE                 R21 T12 S5 1/4 S5        </v>
      </c>
      <c r="D220" s="1">
        <v>8498.33</v>
      </c>
    </row>
    <row r="221" spans="1:4" x14ac:dyDescent="0.3">
      <c r="A221" s="1" t="str">
        <f>"01008228100"</f>
        <v>01008228100</v>
      </c>
      <c r="B221" s="1" t="str">
        <f>"3143-3145 MAIZE ROAD LLC"</f>
        <v>3143-3145 MAIZE ROAD LLC</v>
      </c>
      <c r="C221" s="1" t="str">
        <f>"MAIZE RD ENOCHS &amp; MCKEES LOT 50"</f>
        <v>MAIZE RD ENOCHS &amp; MCKEES LOT 50</v>
      </c>
      <c r="D221" s="1">
        <v>3463.55</v>
      </c>
    </row>
    <row r="222" spans="1:4" x14ac:dyDescent="0.3">
      <c r="A222" s="1" t="str">
        <f>"01008622500"</f>
        <v>01008622500</v>
      </c>
      <c r="B222" s="1" t="str">
        <f>"316 E ROYAL FOREST BLVD LLC"</f>
        <v>316 E ROYAL FOREST BLVD LLC</v>
      </c>
      <c r="C222" s="1" t="str">
        <f>"E ROYAL FOREST BLVD ZOOLAND LOT 437"</f>
        <v>E ROYAL FOREST BLVD ZOOLAND LOT 437</v>
      </c>
      <c r="D222" s="1">
        <v>1183.1500000000001</v>
      </c>
    </row>
    <row r="223" spans="1:4" x14ac:dyDescent="0.3">
      <c r="A223" s="1" t="str">
        <f>"08000434400"</f>
        <v>08000434400</v>
      </c>
      <c r="B223" s="1" t="str">
        <f>"32 HEATHERDOWN DRIVE LLC"</f>
        <v>32 HEATHERDOWN DRIVE LLC</v>
      </c>
      <c r="C223" s="1" t="str">
        <f>"6545 WESTERVILLE RD       R17 T2 1/4T2              2.8356 ACRES             "</f>
        <v xml:space="preserve">6545 WESTERVILLE RD       R17 T2 1/4T2              2.8356 ACRES             </v>
      </c>
      <c r="D223" s="1">
        <v>321960.65999999997</v>
      </c>
    </row>
    <row r="224" spans="1:4" x14ac:dyDescent="0.3">
      <c r="A224" s="1" t="str">
        <f>"01028528400"</f>
        <v>01028528400</v>
      </c>
      <c r="B224" s="1" t="str">
        <f>"3208 MORSE LLC"</f>
        <v>3208 MORSE LLC</v>
      </c>
      <c r="C224" s="1" t="str">
        <f>"MORSE RD R17 T2 1/4T3 2.850 ACRES"</f>
        <v>MORSE RD R17 T2 1/4T3 2.850 ACRES</v>
      </c>
      <c r="D224" s="1">
        <v>90175.82</v>
      </c>
    </row>
    <row r="225" spans="1:4" x14ac:dyDescent="0.3">
      <c r="A225" s="1" t="str">
        <f>"53016641500"</f>
        <v>53016641500</v>
      </c>
      <c r="B225" s="1" t="str">
        <f>"3220 BRICE LLC"</f>
        <v>3220 BRICE LLC</v>
      </c>
      <c r="C225" s="1" t="str">
        <f>"3220 BRICE RD R21 T11 S1 4.998 ACRES"</f>
        <v>3220 BRICE RD R21 T11 S1 4.998 ACRES</v>
      </c>
      <c r="D225" s="1">
        <v>5826.39</v>
      </c>
    </row>
    <row r="226" spans="1:4" x14ac:dyDescent="0.3">
      <c r="A226" s="1" t="str">
        <f>"01003268300"</f>
        <v>01003268300</v>
      </c>
      <c r="B226" s="1" t="str">
        <f>"3245 E LIVINGSTON AVE LLC"</f>
        <v>3245 E LIVINGSTON AVE LLC</v>
      </c>
      <c r="C226" s="1" t="str">
        <f>"LIVINGSTON AVE .684 ACRES R21 T12 S19 1/4 S32"</f>
        <v>LIVINGSTON AVE .684 ACRES R21 T12 S19 1/4 S32</v>
      </c>
      <c r="D226" s="1">
        <v>2052.58</v>
      </c>
    </row>
    <row r="227" spans="1:4" x14ac:dyDescent="0.3">
      <c r="A227" s="1" t="str">
        <f>"01009843200"</f>
        <v>01009843200</v>
      </c>
      <c r="B227" s="1" t="str">
        <f>"3257 MEDINA AVE LLC"</f>
        <v>3257 MEDINA AVE LLC</v>
      </c>
      <c r="C227" s="1" t="str">
        <f>"OAK PARK 6 LOT 9 "</f>
        <v xml:space="preserve">OAK PARK 6 LOT 9 </v>
      </c>
      <c r="D227" s="1">
        <v>148.93</v>
      </c>
    </row>
    <row r="228" spans="1:4" x14ac:dyDescent="0.3">
      <c r="A228" s="1" t="str">
        <f>"01008200000"</f>
        <v>01008200000</v>
      </c>
      <c r="B228" s="1" t="str">
        <f>"328 SOUTH GLENWOOD AVE LLC"</f>
        <v>328 SOUTH GLENWOOD AVE LLC</v>
      </c>
      <c r="C228" s="1" t="str">
        <f>"326 328 S GLENWOOD A VE WEST PARK LOT 431"</f>
        <v>326 328 S GLENWOOD A VE WEST PARK LOT 431</v>
      </c>
      <c r="D228" s="1">
        <v>987.69</v>
      </c>
    </row>
    <row r="229" spans="1:4" x14ac:dyDescent="0.3">
      <c r="A229" s="1" t="str">
        <f>"01001080800"</f>
        <v>01001080800</v>
      </c>
      <c r="B229" s="1" t="str">
        <f>"3288 AND 3322 EAST ELEVENTH AVENUE LLC"</f>
        <v>3288 AND 3322 EAST ELEVENTH AVENUE LLC</v>
      </c>
      <c r="C229" s="1" t="str">
        <f>"STELZER RD .365 ACRE R17 T1 1/4T3"</f>
        <v>STELZER RD .365 ACRE R17 T1 1/4T3</v>
      </c>
      <c r="D229" s="1">
        <v>601.19000000000005</v>
      </c>
    </row>
    <row r="230" spans="1:4" x14ac:dyDescent="0.3">
      <c r="A230" s="1" t="str">
        <f>"01014675800"</f>
        <v>01014675800</v>
      </c>
      <c r="B230" s="1" t="str">
        <f>"3288 AND 3322 EAST ELEVENTH AVENUE LLC"</f>
        <v>3288 AND 3322 EAST ELEVENTH AVENUE LLC</v>
      </c>
      <c r="C230" s="1" t="str">
        <f>"921 STELZER RD 1.615 ACRES R17 T1 1/4T3"</f>
        <v>921 STELZER RD 1.615 ACRES R17 T1 1/4T3</v>
      </c>
      <c r="D230" s="1">
        <v>565.97</v>
      </c>
    </row>
    <row r="231" spans="1:4" x14ac:dyDescent="0.3">
      <c r="A231" s="1" t="str">
        <f>"01012429600"</f>
        <v>01012429600</v>
      </c>
      <c r="B231" s="1" t="str">
        <f>"330 INVESTMENTS LLC"</f>
        <v>330 INVESTMENTS LLC</v>
      </c>
      <c r="C231" s="1" t="str">
        <f>"LITTLEJOHN DR SHERWOOD FOREST 1 LOT 11"</f>
        <v>LITTLEJOHN DR SHERWOOD FOREST 1 LOT 11</v>
      </c>
      <c r="D231" s="1">
        <v>96.54</v>
      </c>
    </row>
    <row r="232" spans="1:4" x14ac:dyDescent="0.3">
      <c r="A232" s="1" t="str">
        <f>"01012739200"</f>
        <v>01012739200</v>
      </c>
      <c r="B232" s="1" t="str">
        <f>"330 INVESTMENTS LLC"</f>
        <v>330 INVESTMENTS LLC</v>
      </c>
      <c r="C232" s="1" t="str">
        <f>"MAPLERIDGE DR PINE HILLS LOT 33"</f>
        <v>MAPLERIDGE DR PINE HILLS LOT 33</v>
      </c>
      <c r="D232" s="1">
        <v>52.7</v>
      </c>
    </row>
    <row r="233" spans="1:4" x14ac:dyDescent="0.3">
      <c r="A233" s="1" t="str">
        <f>"52021911600"</f>
        <v>52021911600</v>
      </c>
      <c r="B233" s="1" t="str">
        <f>"333 OUTERBELT SUB LLC"</f>
        <v>333 OUTERBELT SUB LLC</v>
      </c>
      <c r="C233" s="1" t="str">
        <f>"OUTERBELT STREET OUTERBELT E COM PARK PT LOT 10=1.00 ACRE"</f>
        <v>OUTERBELT STREET OUTERBELT E COM PARK PT LOT 10=1.00 ACRE</v>
      </c>
      <c r="D233" s="1">
        <v>13442.35</v>
      </c>
    </row>
    <row r="234" spans="1:4" x14ac:dyDescent="0.3">
      <c r="A234" s="1" t="str">
        <f>"56021376200"</f>
        <v>56021376200</v>
      </c>
      <c r="B234" s="1" t="str">
        <f>"3377 RIVER PLACE LLC"</f>
        <v>3377 RIVER PLACE LLC</v>
      </c>
      <c r="C234" s="1" t="str">
        <f>"RIVER PLACE DRIVE RIVER PLACE SEC 1 LOT 46"</f>
        <v>RIVER PLACE DRIVE RIVER PLACE SEC 1 LOT 46</v>
      </c>
      <c r="D234" s="1">
        <v>435.63</v>
      </c>
    </row>
    <row r="235" spans="1:4" x14ac:dyDescent="0.3">
      <c r="A235" s="1" t="str">
        <f>"10000598400"</f>
        <v>10000598400</v>
      </c>
      <c r="B235" s="1" t="str">
        <f>"338 BRISTOL WOODS LLC"</f>
        <v>338 BRISTOL WOODS LLC</v>
      </c>
      <c r="C235" s="1" t="str">
        <f>"338 BRISTOL WDS CT BRISTOL WOODS LOT 1"</f>
        <v>338 BRISTOL WDS CT BRISTOL WOODS LOT 1</v>
      </c>
      <c r="D235" s="1">
        <v>5248.59</v>
      </c>
    </row>
    <row r="236" spans="1:4" x14ac:dyDescent="0.3">
      <c r="A236" s="1" t="str">
        <f>"01005229300"</f>
        <v>01005229300</v>
      </c>
      <c r="B236" s="1" t="str">
        <f>"34 W GAY ST LLC"</f>
        <v>34 W GAY ST LLC</v>
      </c>
      <c r="C236" s="1" t="str">
        <f>"36-38 W GAY ST            WILLIAMS                  LOT 6                    "</f>
        <v xml:space="preserve">36-38 W GAY ST            WILLIAMS                  LOT 6                    </v>
      </c>
      <c r="D236" s="1">
        <v>10342.51</v>
      </c>
    </row>
    <row r="237" spans="1:4" x14ac:dyDescent="0.3">
      <c r="A237" s="1" t="str">
        <f>"07000194300"</f>
        <v>07000194300</v>
      </c>
      <c r="B237" s="1" t="str">
        <f>"3400 KENNY RD LLC"</f>
        <v>3400 KENNY RD LLC</v>
      </c>
      <c r="C237" s="1" t="str">
        <f>"KENNY RD .025 ACRE R19 T1 1/4T1"</f>
        <v>KENNY RD .025 ACRE R19 T1 1/4T1</v>
      </c>
      <c r="D237" s="1">
        <v>11.16</v>
      </c>
    </row>
    <row r="238" spans="1:4" x14ac:dyDescent="0.3">
      <c r="A238" s="1" t="str">
        <f>"07000767600"</f>
        <v>07000767600</v>
      </c>
      <c r="B238" s="1" t="str">
        <f>"3400 KENNY RD LLC"</f>
        <v>3400 KENNY RD LLC</v>
      </c>
      <c r="C238" s="1" t="str">
        <f>"3400 KENNY RD .4455AC R19 T1 1/4T4"</f>
        <v>3400 KENNY RD .4455AC R19 T1 1/4T4</v>
      </c>
      <c r="D238" s="1">
        <v>858.6</v>
      </c>
    </row>
    <row r="239" spans="1:4" x14ac:dyDescent="0.3">
      <c r="A239" s="1" t="str">
        <f>"01008720200"</f>
        <v>01008720200</v>
      </c>
      <c r="B239" s="1" t="str">
        <f>"3410 EAST FIFTH AVENUE LLC"</f>
        <v>3410 EAST FIFTH AVENUE LLC</v>
      </c>
      <c r="C239" s="1" t="str">
        <f>"E 5TH AVE R17 T1 1/4 T4 1.708AC SUB LOT 9"</f>
        <v>E 5TH AVE R17 T1 1/4 T4 1.708AC SUB LOT 9</v>
      </c>
      <c r="D239" s="1">
        <v>1819.71</v>
      </c>
    </row>
    <row r="240" spans="1:4" x14ac:dyDescent="0.3">
      <c r="A240" s="1" t="str">
        <f>"01009278900"</f>
        <v>01009278900</v>
      </c>
      <c r="B240" s="1" t="str">
        <f>"3410 EAST SEVENTH AVENUE"</f>
        <v>3410 EAST SEVENTH AVENUE</v>
      </c>
      <c r="C240" s="1" t="str">
        <f>"7TH AVE STELZER LOT 7"</f>
        <v>7TH AVE STELZER LOT 7</v>
      </c>
      <c r="D240" s="1">
        <v>20.21</v>
      </c>
    </row>
    <row r="241" spans="1:4" x14ac:dyDescent="0.3">
      <c r="A241" s="1" t="str">
        <f>"01009279000"</f>
        <v>01009279000</v>
      </c>
      <c r="B241" s="1" t="str">
        <f>"3410 EAST SEVENTH AVENUE"</f>
        <v>3410 EAST SEVENTH AVENUE</v>
      </c>
      <c r="C241" s="1" t="str">
        <f>"7TH AVE STELZER LOT 8"</f>
        <v>7TH AVE STELZER LOT 8</v>
      </c>
      <c r="D241" s="1">
        <v>19.920000000000002</v>
      </c>
    </row>
    <row r="242" spans="1:4" x14ac:dyDescent="0.3">
      <c r="A242" s="1" t="str">
        <f>"01009279100"</f>
        <v>01009279100</v>
      </c>
      <c r="B242" s="1" t="str">
        <f>"3410 EAST SEVENTH AVENUE"</f>
        <v>3410 EAST SEVENTH AVENUE</v>
      </c>
      <c r="C242" s="1" t="str">
        <f>"3410 7TH AVE STELZER LOT 9"</f>
        <v>3410 7TH AVE STELZER LOT 9</v>
      </c>
      <c r="D242" s="1">
        <v>634.96</v>
      </c>
    </row>
    <row r="243" spans="1:4" x14ac:dyDescent="0.3">
      <c r="A243" s="1" t="str">
        <f>"01009279200"</f>
        <v>01009279200</v>
      </c>
      <c r="B243" s="1" t="str">
        <f>"3410 EAST SEVENTH AVENUE"</f>
        <v>3410 EAST SEVENTH AVENUE</v>
      </c>
      <c r="C243" s="1" t="str">
        <f>"7TH AVE STELZER LOT 10"</f>
        <v>7TH AVE STELZER LOT 10</v>
      </c>
      <c r="D243" s="1">
        <v>18.350000000000001</v>
      </c>
    </row>
    <row r="244" spans="1:4" x14ac:dyDescent="0.3">
      <c r="A244" s="1" t="str">
        <f>"01009679600"</f>
        <v>01009679600</v>
      </c>
      <c r="B244" s="1" t="str">
        <f>"3430 GERBERT ROAD LLC"</f>
        <v>3430 GERBERT ROAD LLC</v>
      </c>
      <c r="C244" s="1" t="str">
        <f>"GERBERT RD WM H DAVIS LOT 238"</f>
        <v>GERBERT RD WM H DAVIS LOT 238</v>
      </c>
      <c r="D244" s="1">
        <v>1128.33</v>
      </c>
    </row>
    <row r="245" spans="1:4" x14ac:dyDescent="0.3">
      <c r="A245" s="1" t="str">
        <f>"01002844900"</f>
        <v>01002844900</v>
      </c>
      <c r="B245" s="1" t="str">
        <f>"345 KENDALL TOWER LLC"</f>
        <v>345 KENDALL TOWER LLC</v>
      </c>
      <c r="C245" s="1" t="str">
        <f>"333 KENDALL PL TAYLOR PARCELS LOT 8"</f>
        <v>333 KENDALL PL TAYLOR PARCELS LOT 8</v>
      </c>
      <c r="D245" s="1">
        <v>9127.18</v>
      </c>
    </row>
    <row r="246" spans="1:4" x14ac:dyDescent="0.3">
      <c r="A246" s="1" t="str">
        <f>"18000375500"</f>
        <v>18000375500</v>
      </c>
      <c r="B246" s="1" t="str">
        <f>"3484 CLARETTA LLC"</f>
        <v>3484 CLARETTA LLC</v>
      </c>
      <c r="C246" s="1" t="str">
        <f>"CLARETTA RD BLACKLICK ESTATES 6 LOT 954"</f>
        <v>CLARETTA RD BLACKLICK ESTATES 6 LOT 954</v>
      </c>
      <c r="D246" s="1">
        <v>3176.35</v>
      </c>
    </row>
    <row r="247" spans="1:4" x14ac:dyDescent="0.3">
      <c r="A247" s="1" t="str">
        <f>"05001007900"</f>
        <v>05001007900</v>
      </c>
      <c r="B247" s="1" t="str">
        <f>"3499 MAIN LLC"</f>
        <v>3499 MAIN LLC</v>
      </c>
      <c r="C247" s="1" t="str">
        <f>"HERITAGE CLUB DR          ENTRY 3013                1.309 ACRES              "</f>
        <v xml:space="preserve">HERITAGE CLUB DR          ENTRY 3013                1.309 ACRES              </v>
      </c>
      <c r="D247" s="1">
        <v>32362.720000000001</v>
      </c>
    </row>
    <row r="248" spans="1:4" x14ac:dyDescent="0.3">
      <c r="A248" s="1" t="str">
        <f>"59012729000"</f>
        <v>59012729000</v>
      </c>
      <c r="B248" s="1" t="str">
        <f>"3500 SNOUFFER LLC"</f>
        <v>3500 SNOUFFER LLC</v>
      </c>
      <c r="C248" s="1" t="str">
        <f>"3500 SNOUFFER RD R19 T2 1/4T1 1.7504 ACRES"</f>
        <v>3500 SNOUFFER RD R19 T2 1/4T1 1.7504 ACRES</v>
      </c>
      <c r="D248" s="1">
        <v>51567.82</v>
      </c>
    </row>
    <row r="249" spans="1:4" x14ac:dyDescent="0.3">
      <c r="A249" s="1" t="str">
        <f>"01011098200"</f>
        <v>01011098200</v>
      </c>
      <c r="B249" s="1" t="str">
        <f>"3500 SULLIVANT LLC"</f>
        <v>3500 SULLIVANT LLC</v>
      </c>
      <c r="C249" s="1" t="str">
        <f>"3500 SULLIVANT AVE FRANKLIN HTS 297.89'NE LOT 44"</f>
        <v>3500 SULLIVANT AVE FRANKLIN HTS 297.89'NE LOT 44</v>
      </c>
      <c r="D249" s="1">
        <v>8467.34</v>
      </c>
    </row>
    <row r="250" spans="1:4" x14ac:dyDescent="0.3">
      <c r="A250" s="1" t="str">
        <f>"15000120000"</f>
        <v>15000120000</v>
      </c>
      <c r="B250" s="1" t="str">
        <f>"36 JACKSON STREET LLC"</f>
        <v>36 JACKSON STREET LLC</v>
      </c>
      <c r="C250" s="1" t="str">
        <f>"36 JACKSON ST R22 T3 S4 LOTS 13,15, &amp; 17 EX 10'SS"</f>
        <v>36 JACKSON ST R22 T3 S4 LOTS 13,15, &amp; 17 EX 10'SS</v>
      </c>
      <c r="D250" s="1">
        <v>3484.95</v>
      </c>
    </row>
    <row r="251" spans="1:4" x14ac:dyDescent="0.3">
      <c r="A251" s="1" t="str">
        <f>"07001454900"</f>
        <v>07001454900</v>
      </c>
      <c r="B251" s="1" t="str">
        <f>"3600 REED ROAD UNIT 7 LLC"</f>
        <v>3600 REED ROAD UNIT 7 LLC</v>
      </c>
      <c r="C251" s="1" t="str">
        <f>"NORMANDY SQUARE CONDOMINIUMS UNIT 7"</f>
        <v>NORMANDY SQUARE CONDOMINIUMS UNIT 7</v>
      </c>
      <c r="D251" s="1">
        <v>2910.12</v>
      </c>
    </row>
    <row r="252" spans="1:4" x14ac:dyDescent="0.3">
      <c r="A252" s="1" t="str">
        <f>"13000237900"</f>
        <v>13000237900</v>
      </c>
      <c r="B252" s="1" t="str">
        <f>"3622 BRANDON LLC"</f>
        <v>3622 BRANDON LLC</v>
      </c>
      <c r="C252" s="1" t="str">
        <f>"3640 BRANDON ST 25 &amp; 35 FT N S 26 ELMORE 25-26"</f>
        <v>3640 BRANDON ST 25 &amp; 35 FT N S 26 ELMORE 25-26</v>
      </c>
      <c r="D252" s="1">
        <v>354.91</v>
      </c>
    </row>
    <row r="253" spans="1:4" x14ac:dyDescent="0.3">
      <c r="A253" s="1" t="str">
        <f>"01002673600"</f>
        <v>01002673600</v>
      </c>
      <c r="B253" s="1" t="str">
        <f>"365 YALE LLC"</f>
        <v>365 YALE LLC</v>
      </c>
      <c r="C253" s="1" t="str">
        <f>"HAMILTON PLACE HAMILTON PLACE PT LOT 88"</f>
        <v>HAMILTON PLACE HAMILTON PLACE PT LOT 88</v>
      </c>
      <c r="D253" s="1">
        <v>161.07</v>
      </c>
    </row>
    <row r="254" spans="1:4" x14ac:dyDescent="0.3">
      <c r="A254" s="1" t="str">
        <f>"14000827200"</f>
        <v>14000827200</v>
      </c>
      <c r="B254" s="1" t="str">
        <f>"3675 TRABUE LLC"</f>
        <v>3675 TRABUE LLC</v>
      </c>
      <c r="C254" s="1" t="str">
        <f>"BRITTON AVE NORTH SKIDMORE PT LOT 14"</f>
        <v>BRITTON AVE NORTH SKIDMORE PT LOT 14</v>
      </c>
      <c r="D254" s="1">
        <v>644.07000000000005</v>
      </c>
    </row>
    <row r="255" spans="1:4" x14ac:dyDescent="0.3">
      <c r="A255" s="1" t="str">
        <f>"42530000200"</f>
        <v>42530000200</v>
      </c>
      <c r="B255" s="1" t="str">
        <f>"370 N EUREKA LLC"</f>
        <v>370 N EUREKA LLC</v>
      </c>
      <c r="C255" s="1" t="str">
        <f>"EUREKA AVE LOTS 26-28, PT LOT 25, 0.565 ACRE &amp; PT VAC ALLEY"</f>
        <v>EUREKA AVE LOTS 26-28, PT LOT 25, 0.565 ACRE &amp; PT VAC ALLEY</v>
      </c>
      <c r="D255" s="1">
        <v>336.89</v>
      </c>
    </row>
    <row r="256" spans="1:4" x14ac:dyDescent="0.3">
      <c r="A256" s="1" t="str">
        <f>"01018967400"</f>
        <v>01018967400</v>
      </c>
      <c r="B256" s="1" t="str">
        <f>"370 N EUREKA LLC"</f>
        <v>370 N EUREKA LLC</v>
      </c>
      <c r="C256" s="1" t="str">
        <f>"WHEATLAND AVE TO HAGUE AVE 1.236 ACRES"</f>
        <v>WHEATLAND AVE TO HAGUE AVE 1.236 ACRES</v>
      </c>
      <c r="D256" s="1">
        <v>1743.34</v>
      </c>
    </row>
    <row r="257" spans="1:4" x14ac:dyDescent="0.3">
      <c r="A257" s="1" t="str">
        <f>"56022040600"</f>
        <v>56022040600</v>
      </c>
      <c r="B257" s="1" t="str">
        <f>"3771  HEATHERGLEN LLC"</f>
        <v>3771  HEATHERGLEN LLC</v>
      </c>
      <c r="C257" s="1" t="str">
        <f>"RESUB OF PART OF SHANNONBROOK SEC 3 LOTS 152A &amp; 152B"</f>
        <v>RESUB OF PART OF SHANNONBROOK SEC 3 LOTS 152A &amp; 152B</v>
      </c>
      <c r="D257" s="1">
        <v>1179.45</v>
      </c>
    </row>
    <row r="258" spans="1:4" x14ac:dyDescent="0.3">
      <c r="A258" s="1" t="str">
        <f>"13001158700"</f>
        <v>13001158700</v>
      </c>
      <c r="B258" s="1" t="str">
        <f>"3815 KARL ROAD LLC"</f>
        <v>3815 KARL ROAD LLC</v>
      </c>
      <c r="C258" s="1" t="str">
        <f>"3815 KARL RD .942 ACRES R18 T1 LOT 9-16"</f>
        <v>3815 KARL RD .942 ACRES R18 T1 LOT 9-16</v>
      </c>
      <c r="D258" s="1">
        <v>6800</v>
      </c>
    </row>
    <row r="259" spans="1:4" x14ac:dyDescent="0.3">
      <c r="A259" s="1" t="str">
        <f>"04000415000"</f>
        <v>04000415000</v>
      </c>
      <c r="B259" s="1" t="str">
        <f>"3827 BROOKHAM LLC"</f>
        <v>3827 BROOKHAM LLC</v>
      </c>
      <c r="C259" s="1" t="str">
        <f>"3827 BROOKHAM DR          ENTRY 8231                5.539 ACRES              "</f>
        <v xml:space="preserve">3827 BROOKHAM DR          ENTRY 8231                5.539 ACRES              </v>
      </c>
      <c r="D259" s="1">
        <v>4559.76</v>
      </c>
    </row>
    <row r="260" spans="1:4" x14ac:dyDescent="0.3">
      <c r="A260" s="1" t="str">
        <f>"05000282100"</f>
        <v>05000282100</v>
      </c>
      <c r="B260" s="1" t="str">
        <f>"3839 LACON LLC"</f>
        <v>3839 LACON LLC</v>
      </c>
      <c r="C260" s="1" t="str">
        <f>"3839 LACON CIRCLE EASTHILL ACRES LOT 228"</f>
        <v>3839 LACON CIRCLE EASTHILL ACRES LOT 228</v>
      </c>
      <c r="D260" s="1">
        <v>1200.77</v>
      </c>
    </row>
    <row r="261" spans="1:4" x14ac:dyDescent="0.3">
      <c r="A261" s="1" t="str">
        <f>"01011061800"</f>
        <v>01011061800</v>
      </c>
      <c r="B261" s="1" t="str">
        <f>"3851 EAST LIVINGSTON AVE"</f>
        <v>3851 EAST LIVINGSTON AVE</v>
      </c>
      <c r="C261" s="1" t="str">
        <f>"LIVINGSTON AVE ACRES .654 R21 TU2 S20 1/2 S34"</f>
        <v>LIVINGSTON AVE ACRES .654 R21 TU2 S20 1/2 S34</v>
      </c>
      <c r="D261" s="1">
        <v>7586.53</v>
      </c>
    </row>
    <row r="262" spans="1:4" x14ac:dyDescent="0.3">
      <c r="A262" s="1" t="str">
        <f>"01004183800"</f>
        <v>01004183800</v>
      </c>
      <c r="B262" s="1" t="str">
        <f>"3853 GR LLC"</f>
        <v>3853 GR LLC</v>
      </c>
      <c r="C262" s="1" t="str">
        <f>"1890 S 4TH ST CHAMBERS PT MID PT LOT 15"</f>
        <v>1890 S 4TH ST CHAMBERS PT MID PT LOT 15</v>
      </c>
      <c r="D262" s="1">
        <v>1019.38</v>
      </c>
    </row>
    <row r="263" spans="1:4" x14ac:dyDescent="0.3">
      <c r="A263" s="1" t="str">
        <f>"01011296300"</f>
        <v>01011296300</v>
      </c>
      <c r="B263" s="1" t="str">
        <f>"3853 GR LLC"</f>
        <v>3853 GR LLC</v>
      </c>
      <c r="C263" s="1" t="str">
        <f>"2430 S HIGH ST SOUTH HIGH ST LOT 7"</f>
        <v>2430 S HIGH ST SOUTH HIGH ST LOT 7</v>
      </c>
      <c r="D263" s="1">
        <v>327.47000000000003</v>
      </c>
    </row>
    <row r="264" spans="1:4" x14ac:dyDescent="0.3">
      <c r="A264" s="1" t="str">
        <f>"01011296400"</f>
        <v>01011296400</v>
      </c>
      <c r="B264" s="1" t="str">
        <f>"3853 GR LLC"</f>
        <v>3853 GR LLC</v>
      </c>
      <c r="C264" s="1" t="str">
        <f>"2438 HIGH ST SOUTH HIGH ST LOT 9"</f>
        <v>2438 HIGH ST SOUTH HIGH ST LOT 9</v>
      </c>
      <c r="D264" s="1">
        <v>6602.65</v>
      </c>
    </row>
    <row r="265" spans="1:4" x14ac:dyDescent="0.3">
      <c r="A265" s="1" t="str">
        <f>"15200054500"</f>
        <v>15200054500</v>
      </c>
      <c r="B265" s="1" t="str">
        <f>"3853 GR LLC"</f>
        <v>3853 GR LLC</v>
      </c>
      <c r="C265" s="1" t="str">
        <f>"ARCADIA AVE COLS TERRACE 545-6 "</f>
        <v xml:space="preserve">ARCADIA AVE COLS TERRACE 545-6 </v>
      </c>
      <c r="D265" s="1">
        <v>1248.1400000000001</v>
      </c>
    </row>
    <row r="266" spans="1:4" x14ac:dyDescent="0.3">
      <c r="A266" s="1" t="str">
        <f>"01011258900"</f>
        <v>01011258900</v>
      </c>
      <c r="B266" s="1" t="str">
        <f>"3853 GR LLC"</f>
        <v>3853 GR LLC</v>
      </c>
      <c r="C266" s="1" t="str">
        <f>"2622 S FIFTH ST CASTLE TERRACE EXT AMD LOT 6"</f>
        <v>2622 S FIFTH ST CASTLE TERRACE EXT AMD LOT 6</v>
      </c>
      <c r="D266" s="1">
        <v>1063.92</v>
      </c>
    </row>
    <row r="267" spans="1:4" x14ac:dyDescent="0.3">
      <c r="A267" s="1" t="str">
        <f>"01011264000"</f>
        <v>01011264000</v>
      </c>
      <c r="B267" s="1" t="str">
        <f>"3853 GR LLC"</f>
        <v>3853 GR LLC</v>
      </c>
      <c r="C267" s="1" t="str">
        <f>"2426 HIGH ST SOUTH HIGH ST LOT 6"</f>
        <v>2426 HIGH ST SOUTH HIGH ST LOT 6</v>
      </c>
      <c r="D267" s="1">
        <v>851.89</v>
      </c>
    </row>
    <row r="268" spans="1:4" x14ac:dyDescent="0.3">
      <c r="A268" s="1" t="str">
        <f>"01000828100"</f>
        <v>01000828100</v>
      </c>
      <c r="B268" s="1" t="str">
        <f>"3853 GR LLC"</f>
        <v>3853 GR LLC</v>
      </c>
      <c r="C268" s="1" t="str">
        <f>"1881-1883 S BRUCK ST LINTON &amp; MCLARREN'S PARCELS PT OF LOT 98"</f>
        <v>1881-1883 S BRUCK ST LINTON &amp; MCLARREN'S PARCELS PT OF LOT 98</v>
      </c>
      <c r="D268" s="1">
        <v>805.18</v>
      </c>
    </row>
    <row r="269" spans="1:4" x14ac:dyDescent="0.3">
      <c r="A269" s="1" t="str">
        <f>"01002017500"</f>
        <v>01002017500</v>
      </c>
      <c r="B269" s="1" t="str">
        <f>"3853 GR LLC"</f>
        <v>3853 GR LLC</v>
      </c>
      <c r="C269" s="1" t="str">
        <f>"1757-1759 BRUCK ST DOLBYS INNIS AVE LOT 8"</f>
        <v>1757-1759 BRUCK ST DOLBYS INNIS AVE LOT 8</v>
      </c>
      <c r="D269" s="1">
        <v>1410.13</v>
      </c>
    </row>
    <row r="270" spans="1:4" x14ac:dyDescent="0.3">
      <c r="A270" s="1" t="str">
        <f>"51011563100"</f>
        <v>51011563100</v>
      </c>
      <c r="B270" s="1" t="str">
        <f>"3853 GR LLC"</f>
        <v>3853 GR LLC</v>
      </c>
      <c r="C270" s="1" t="str">
        <f>"846 OBETZ RD .1586 ACRE R22 T4 S15"</f>
        <v>846 OBETZ RD .1586 ACRE R22 T4 S15</v>
      </c>
      <c r="D270" s="1">
        <v>1104.42</v>
      </c>
    </row>
    <row r="271" spans="1:4" x14ac:dyDescent="0.3">
      <c r="A271" s="1" t="str">
        <f>"05000282200"</f>
        <v>05000282200</v>
      </c>
      <c r="B271" s="1" t="str">
        <f>"3855 LACON LLC"</f>
        <v>3855 LACON LLC</v>
      </c>
      <c r="C271" s="1" t="str">
        <f>"3855 LACON ROAD EASTHILL ACRES LOT 229"</f>
        <v>3855 LACON ROAD EASTHILL ACRES LOT 229</v>
      </c>
      <c r="D271" s="1">
        <v>3590.79</v>
      </c>
    </row>
    <row r="272" spans="1:4" x14ac:dyDescent="0.3">
      <c r="A272" s="1" t="str">
        <f>"01005221900"</f>
        <v>01005221900</v>
      </c>
      <c r="B272" s="1" t="str">
        <f>"3AQAR HOLDINGS LLC"</f>
        <v>3AQAR HOLDINGS LLC</v>
      </c>
      <c r="C272" s="1" t="str">
        <f>"1186 MOUND ST HAMILTON PLACE SE LOT 130-1"</f>
        <v>1186 MOUND ST HAMILTON PLACE SE LOT 130-1</v>
      </c>
      <c r="D272" s="1">
        <v>287.44</v>
      </c>
    </row>
    <row r="273" spans="1:4" x14ac:dyDescent="0.3">
      <c r="A273" s="1" t="str">
        <f>"01018788800"</f>
        <v>01018788800</v>
      </c>
      <c r="B273" s="1" t="str">
        <f>"3AQAR HOLDINGS LLC"</f>
        <v>3AQAR HOLDINGS LLC</v>
      </c>
      <c r="C273" s="1" t="str">
        <f>"MOUND STREET 50 FT X 80 FT NACE AVE VAC"</f>
        <v>MOUND STREET 50 FT X 80 FT NACE AVE VAC</v>
      </c>
      <c r="D273" s="1">
        <v>236.72</v>
      </c>
    </row>
    <row r="274" spans="1:4" x14ac:dyDescent="0.3">
      <c r="A274" s="1" t="str">
        <f>"01004472800"</f>
        <v>01004472800</v>
      </c>
      <c r="B274" s="1" t="str">
        <f>"3B INVESTMENT GROUP LLC"</f>
        <v>3B INVESTMENT GROUP LLC</v>
      </c>
      <c r="C274" s="1" t="str">
        <f>"KESSLER ST KESSLER ADD LOTS 44-50"</f>
        <v>KESSLER ST KESSLER ADD LOTS 44-50</v>
      </c>
      <c r="D274" s="1">
        <v>628.5</v>
      </c>
    </row>
    <row r="275" spans="1:4" x14ac:dyDescent="0.3">
      <c r="A275" s="1" t="str">
        <f>"01003881900"</f>
        <v>01003881900</v>
      </c>
      <c r="B275" s="1" t="str">
        <f>"3B INVESTMENT GROUP LLC"</f>
        <v>3B INVESTMENT GROUP LLC</v>
      </c>
      <c r="C275" s="1" t="str">
        <f>"MILBERRY ST CARTERS B &amp; O LOTS 151-159 &amp; PT VAC AL"</f>
        <v>MILBERRY ST CARTERS B &amp; O LOTS 151-159 &amp; PT VAC AL</v>
      </c>
      <c r="D275" s="1">
        <v>4330.17</v>
      </c>
    </row>
    <row r="276" spans="1:4" x14ac:dyDescent="0.3">
      <c r="A276" s="1" t="str">
        <f>"01004053200"</f>
        <v>01004053200</v>
      </c>
      <c r="B276" s="1" t="str">
        <f>"3B INVESTMENT GROUP LLC"</f>
        <v>3B INVESTMENT GROUP LLC</v>
      </c>
      <c r="C276" s="1" t="str">
        <f>"1072 GIBBARD AVE 10FT WS OF 6 &amp; ALL 7 LOT 6&amp;7"</f>
        <v>1072 GIBBARD AVE 10FT WS OF 6 &amp; ALL 7 LOT 6&amp;7</v>
      </c>
      <c r="D276" s="1">
        <v>1393.19</v>
      </c>
    </row>
    <row r="277" spans="1:4" x14ac:dyDescent="0.3">
      <c r="A277" s="1" t="str">
        <f>"01003754600"</f>
        <v>01003754600</v>
      </c>
      <c r="B277" s="1" t="str">
        <f>"3D HOMEZ LLC"</f>
        <v>3D HOMEZ LLC</v>
      </c>
      <c r="C277" s="1" t="str">
        <f>"GRANVILLE STREET WOODLAND PARK E 1/2 LOT 45 ALL 46"</f>
        <v>GRANVILLE STREET WOODLAND PARK E 1/2 LOT 45 ALL 46</v>
      </c>
      <c r="D277" s="1">
        <v>17508.830000000002</v>
      </c>
    </row>
    <row r="278" spans="1:4" x14ac:dyDescent="0.3">
      <c r="A278" s="1" t="str">
        <f>"01006523900"</f>
        <v>01006523900</v>
      </c>
      <c r="B278" s="1" t="str">
        <f>"3G RENTALS LLC"</f>
        <v>3G RENTALS LLC</v>
      </c>
      <c r="C278" s="1" t="str">
        <f>"1456 ELMWOOD D B SAYERS LOT 8-9"</f>
        <v>1456 ELMWOOD D B SAYERS LOT 8-9</v>
      </c>
      <c r="D278" s="1">
        <v>479.36</v>
      </c>
    </row>
    <row r="279" spans="1:4" x14ac:dyDescent="0.3">
      <c r="A279" s="1" t="str">
        <f>"01012929900"</f>
        <v>01012929900</v>
      </c>
      <c r="B279" s="1" t="str">
        <f>"3KM LLC"</f>
        <v>3KM LLC</v>
      </c>
      <c r="C279" s="1" t="str">
        <f>"THURELL RD KAR-MEL VIL 2 LOT 133"</f>
        <v>THURELL RD KAR-MEL VIL 2 LOT 133</v>
      </c>
      <c r="D279" s="1">
        <v>2174.38</v>
      </c>
    </row>
    <row r="280" spans="1:4" x14ac:dyDescent="0.3">
      <c r="A280" s="1" t="str">
        <f>"01015331300"</f>
        <v>01015331300</v>
      </c>
      <c r="B280" s="1" t="str">
        <f>"3KM LLC"</f>
        <v>3KM LLC</v>
      </c>
      <c r="C280" s="1" t="str">
        <f>"HANBY SQUARE E GRANVILLE MANOR N LOT 86"</f>
        <v>HANBY SQUARE E GRANVILLE MANOR N LOT 86</v>
      </c>
      <c r="D280" s="1">
        <v>1307.9100000000001</v>
      </c>
    </row>
    <row r="281" spans="1:4" x14ac:dyDescent="0.3">
      <c r="A281" s="1" t="str">
        <f>"60027721300"</f>
        <v>60027721300</v>
      </c>
      <c r="B281" s="1" t="str">
        <f>"3QS CPA INC"</f>
        <v>3QS CPA INC</v>
      </c>
      <c r="C281" s="1" t="str">
        <f>"NORTHSTONE OFFICE CONDOMINIUM UNIT 1728"</f>
        <v>NORTHSTONE OFFICE CONDOMINIUM UNIT 1728</v>
      </c>
      <c r="D281" s="1">
        <v>5036.72</v>
      </c>
    </row>
    <row r="282" spans="1:4" x14ac:dyDescent="0.3">
      <c r="A282" s="1" t="str">
        <f>"01010705400"</f>
        <v>01010705400</v>
      </c>
      <c r="B282" s="1" t="str">
        <f>"4 DA KIDS SERIES LLC"</f>
        <v>4 DA KIDS SERIES LLC</v>
      </c>
      <c r="C282" s="1" t="str">
        <f>"DUFFIELD DR LEA-WOOD GDNS 2 LOT 22"</f>
        <v>DUFFIELD DR LEA-WOOD GDNS 2 LOT 22</v>
      </c>
      <c r="D282" s="1">
        <v>2981.47</v>
      </c>
    </row>
    <row r="283" spans="1:4" x14ac:dyDescent="0.3">
      <c r="A283" s="1" t="str">
        <f>"01010067100"</f>
        <v>01010067100</v>
      </c>
      <c r="B283" s="1" t="str">
        <f>"4 GRANDSONS LLC"</f>
        <v>4 GRANDSONS LLC</v>
      </c>
      <c r="C283" s="1" t="str">
        <f>"ELDERWOOD AVE LIVINGSTON GRDNS LOT 104"</f>
        <v>ELDERWOOD AVE LIVINGSTON GRDNS LOT 104</v>
      </c>
      <c r="D283" s="1">
        <v>1788.44</v>
      </c>
    </row>
    <row r="284" spans="1:4" x14ac:dyDescent="0.3">
      <c r="A284" s="1" t="str">
        <f>"09000212700"</f>
        <v>09000212700</v>
      </c>
      <c r="B284" s="1" t="str">
        <f>"4000 EAST BROAD STREET LLC"</f>
        <v>4000 EAST BROAD STREET LLC</v>
      </c>
      <c r="C284" s="1" t="str">
        <f>"4000 E BROAD              ACRES .994                PT OF PAR1               "</f>
        <v xml:space="preserve">4000 E BROAD              ACRES .994                PT OF PAR1               </v>
      </c>
      <c r="D284" s="1">
        <v>48614.47</v>
      </c>
    </row>
    <row r="285" spans="1:4" x14ac:dyDescent="0.3">
      <c r="A285" s="1" t="str">
        <f>"01012138100"</f>
        <v>01012138100</v>
      </c>
      <c r="B285" s="1" t="str">
        <f>"4008 E LIVINGSTON AVE LLC"</f>
        <v>4008 E LIVINGSTON AVE LLC</v>
      </c>
      <c r="C285" s="1" t="str">
        <f>"LIVINGSTON AVE PINECREST 2 LOT 339"</f>
        <v>LIVINGSTON AVE PINECREST 2 LOT 339</v>
      </c>
      <c r="D285" s="1">
        <v>3032.85</v>
      </c>
    </row>
    <row r="286" spans="1:4" x14ac:dyDescent="0.3">
      <c r="A286" s="1" t="str">
        <f>"22200183300"</f>
        <v>22200183300</v>
      </c>
      <c r="B286" s="1" t="str">
        <f>"4090 BAUGHMAN GRANT LLC"</f>
        <v>4090 BAUGHMAN GRANT LLC</v>
      </c>
      <c r="C286" s="1" t="str">
        <f>"BAUGHMAN GRANT R16 T1 1/4T3 2.062 ACRES"</f>
        <v>BAUGHMAN GRANT R16 T1 1/4T3 2.062 ACRES</v>
      </c>
      <c r="D286" s="1">
        <v>707.79</v>
      </c>
    </row>
    <row r="287" spans="1:4" x14ac:dyDescent="0.3">
      <c r="A287" s="1" t="str">
        <f>"01004744300"</f>
        <v>01004744300</v>
      </c>
      <c r="B287" s="1" t="str">
        <f>"4099 E MARKISON ST LLC"</f>
        <v>4099 E MARKISON ST LLC</v>
      </c>
      <c r="C287" s="1" t="str">
        <f>"409 MARKISON AVE KAUTZ LOT 27"</f>
        <v>409 MARKISON AVE KAUTZ LOT 27</v>
      </c>
      <c r="D287" s="1">
        <v>3942.72</v>
      </c>
    </row>
    <row r="288" spans="1:4" x14ac:dyDescent="0.3">
      <c r="A288" s="1" t="str">
        <f>"07000968800"</f>
        <v>07000968800</v>
      </c>
      <c r="B288" s="1" t="str">
        <f>"4115 WOODBRIDGE LLC"</f>
        <v>4115 WOODBRIDGE LLC</v>
      </c>
      <c r="C288" s="1" t="str">
        <f>"4115 WOODBRIDGE RD MIDDLESEX PLACE 2 9 BLK 1"</f>
        <v>4115 WOODBRIDGE RD MIDDLESEX PLACE 2 9 BLK 1</v>
      </c>
      <c r="D288" s="1">
        <v>516.02</v>
      </c>
    </row>
    <row r="289" spans="1:4" x14ac:dyDescent="0.3">
      <c r="A289" s="1" t="str">
        <f>"01002737400"</f>
        <v>01002737400</v>
      </c>
      <c r="B289" s="1" t="str">
        <f>"412 EAST 20TH AVENUE LLC"</f>
        <v>412 EAST 20TH AVENUE LLC</v>
      </c>
      <c r="C289" s="1" t="str">
        <f>"412 E 20TH AVE INDIANOLA SUMMIT LOT 20 BLK 15"</f>
        <v>412 E 20TH AVE INDIANOLA SUMMIT LOT 20 BLK 15</v>
      </c>
      <c r="D289" s="1">
        <v>4090.57</v>
      </c>
    </row>
    <row r="290" spans="1:4" x14ac:dyDescent="0.3">
      <c r="A290" s="1" t="str">
        <f>"05000014900"</f>
        <v>05000014900</v>
      </c>
      <c r="B290" s="1" t="str">
        <f>"4127 MAIN LLC"</f>
        <v>4127 MAIN LLC</v>
      </c>
      <c r="C290" s="1" t="str">
        <f>"4127 MAIN ST CITY OF HILLIARD LOT 195"</f>
        <v>4127 MAIN ST CITY OF HILLIARD LOT 195</v>
      </c>
      <c r="D290" s="1">
        <v>3338.58</v>
      </c>
    </row>
    <row r="291" spans="1:4" x14ac:dyDescent="0.3">
      <c r="A291" s="1" t="str">
        <f>"27300882700"</f>
        <v>27300882700</v>
      </c>
      <c r="B291" s="1" t="str">
        <f>"4300 TULLER ACQUISITION LLC"</f>
        <v>4300 TULLER ACQUISITION LLC</v>
      </c>
      <c r="C291" s="1" t="str">
        <f>"RIVERSIDE DR R19 T2 1/4T2 3.878 ACRES"</f>
        <v>RIVERSIDE DR R19 T2 1/4T2 3.878 ACRES</v>
      </c>
      <c r="D291" s="1">
        <v>1832.33</v>
      </c>
    </row>
    <row r="292" spans="1:4" x14ac:dyDescent="0.3">
      <c r="A292" s="1" t="str">
        <f>"09000125400"</f>
        <v>09000125400</v>
      </c>
      <c r="B292" s="1" t="str">
        <f>"4379 ST MARGARET LN WHITEHALL LLC"</f>
        <v>4379 ST MARGARET LN WHITEHALL LLC</v>
      </c>
      <c r="C292" s="1" t="str">
        <f>"4379 ST MARGARET LANE NORTON FIELD PLAT NO 2 LOT 369"</f>
        <v>4379 ST MARGARET LANE NORTON FIELD PLAT NO 2 LOT 369</v>
      </c>
      <c r="D292" s="1">
        <v>969.19</v>
      </c>
    </row>
    <row r="293" spans="1:4" x14ac:dyDescent="0.3">
      <c r="A293" s="1" t="str">
        <f>"09000354300"</f>
        <v>09000354300</v>
      </c>
      <c r="B293" s="1" t="str">
        <f>"4379 ST MARGARET LN WHITEHALL LLC"</f>
        <v>4379 ST MARGARET LN WHITEHALL LLC</v>
      </c>
      <c r="C293" s="1" t="str">
        <f>"4976 VANDERBILT DR TRURO ESTATES 313 "</f>
        <v xml:space="preserve">4976 VANDERBILT DR TRURO ESTATES 313 </v>
      </c>
      <c r="D293" s="1">
        <v>1163.77</v>
      </c>
    </row>
    <row r="294" spans="1:4" x14ac:dyDescent="0.3">
      <c r="A294" s="1" t="str">
        <f>"09000339100"</f>
        <v>09000339100</v>
      </c>
      <c r="B294" s="1" t="str">
        <f>"4379 ST MARGARET LN WHITEHALL LLC"</f>
        <v>4379 ST MARGARET LN WHITEHALL LLC</v>
      </c>
      <c r="C294" s="1" t="str">
        <f>"936 COLGATE RD TRURO ESTATES 161 "</f>
        <v xml:space="preserve">936 COLGATE RD TRURO ESTATES 161 </v>
      </c>
      <c r="D294" s="1">
        <v>1146.53</v>
      </c>
    </row>
    <row r="295" spans="1:4" x14ac:dyDescent="0.3">
      <c r="A295" s="1" t="str">
        <f>"09000356100"</f>
        <v>09000356100</v>
      </c>
      <c r="B295" s="1" t="str">
        <f>"4379 ST MARGARET LN WHITEHALL LLC"</f>
        <v>4379 ST MARGARET LN WHITEHALL LLC</v>
      </c>
      <c r="C295" s="1" t="str">
        <f>"5089 N DIMSON DR TRURO ESTATES 331"</f>
        <v>5089 N DIMSON DR TRURO ESTATES 331</v>
      </c>
      <c r="D295" s="1">
        <v>1227.24</v>
      </c>
    </row>
    <row r="296" spans="1:4" x14ac:dyDescent="0.3">
      <c r="A296" s="1" t="str">
        <f>"01004838600"</f>
        <v>01004838600</v>
      </c>
      <c r="B296" s="1" t="str">
        <f>"4379 ST MARGARET LN WHITEHALL LLC"</f>
        <v>4379 ST MARGARET LN WHITEHALL LLC</v>
      </c>
      <c r="C296" s="1" t="str">
        <f>"1053-5 15TH AVE DREXEL PARK LOT 114"</f>
        <v>1053-5 15TH AVE DREXEL PARK LOT 114</v>
      </c>
      <c r="D296" s="1">
        <v>1952.13</v>
      </c>
    </row>
    <row r="297" spans="1:4" x14ac:dyDescent="0.3">
      <c r="A297" s="1" t="str">
        <f>"07001013500"</f>
        <v>07001013500</v>
      </c>
      <c r="B297" s="1" t="str">
        <f>"4393 DONINGTON LLC"</f>
        <v>4393 DONINGTON LLC</v>
      </c>
      <c r="C297" s="1" t="str">
        <f>"4393 DONINGTON ROAD KIPLING FOREST 54 "</f>
        <v xml:space="preserve">4393 DONINGTON ROAD KIPLING FOREST 54 </v>
      </c>
      <c r="D297" s="1">
        <v>6280.97</v>
      </c>
    </row>
    <row r="298" spans="1:4" x14ac:dyDescent="0.3">
      <c r="A298" s="1" t="str">
        <f>"01010008400"</f>
        <v>01010008400</v>
      </c>
      <c r="B298" s="1" t="str">
        <f>"4498 E LIVINGSTON LLC"</f>
        <v>4498 E LIVINGSTON LLC</v>
      </c>
      <c r="C298" s="1" t="str">
        <f>"LIVINGSTON AVE. SHADY LANE PARK LOT 7"</f>
        <v>LIVINGSTON AVE. SHADY LANE PARK LOT 7</v>
      </c>
      <c r="D298" s="1">
        <v>2956.87</v>
      </c>
    </row>
    <row r="299" spans="1:4" x14ac:dyDescent="0.3">
      <c r="A299" s="1" t="str">
        <f>"18400254200"</f>
        <v>18400254200</v>
      </c>
      <c r="B299" s="1" t="str">
        <f>"450 W WATERLOO WASH LLC"</f>
        <v>450 W WATERLOO WASH LLC</v>
      </c>
      <c r="C299" s="1" t="str">
        <f>"CHESTERVILLE DR WINCHESTER VILG SEC 1 1.6047 ACRES"</f>
        <v>CHESTERVILLE DR WINCHESTER VILG SEC 1 1.6047 ACRES</v>
      </c>
      <c r="D299" s="1">
        <v>16347.72</v>
      </c>
    </row>
    <row r="300" spans="1:4" x14ac:dyDescent="0.3">
      <c r="A300" s="1" t="str">
        <f>"01004135600"</f>
        <v>01004135600</v>
      </c>
      <c r="B300" s="1" t="str">
        <f>"451 EAST SYCAMORE STREET LLC"</f>
        <v>451 EAST SYCAMORE STREET LLC</v>
      </c>
      <c r="C300" s="1" t="str">
        <f>"451-3 SYCAMORE CHAPMAN LOT 11"</f>
        <v>451-3 SYCAMORE CHAPMAN LOT 11</v>
      </c>
      <c r="D300" s="1">
        <v>4369.3500000000004</v>
      </c>
    </row>
    <row r="301" spans="1:4" x14ac:dyDescent="0.3">
      <c r="A301" s="1" t="str">
        <f>"01002136000"</f>
        <v>01002136000</v>
      </c>
      <c r="B301" s="1" t="str">
        <f>"46 BLENKNER STREET LLC"</f>
        <v>46 BLENKNER STREET LLC</v>
      </c>
      <c r="C301" s="1" t="str">
        <f>"46 E BLENKNER ST MCGOWAN BLOCK LOT 11"</f>
        <v>46 E BLENKNER ST MCGOWAN BLOCK LOT 11</v>
      </c>
      <c r="D301" s="1">
        <v>3407.95</v>
      </c>
    </row>
    <row r="302" spans="1:4" x14ac:dyDescent="0.3">
      <c r="A302" s="1" t="str">
        <f>"01008447800"</f>
        <v>01008447800</v>
      </c>
      <c r="B302" s="1" t="str">
        <f>"4606-4612 HIGH STREET LLC"</f>
        <v>4606-4612 HIGH STREET LLC</v>
      </c>
      <c r="C302" s="1" t="str">
        <f>"4604-12 N HIGH ST HIGHLAND GARDENS LOT 4-5"</f>
        <v>4604-12 N HIGH ST HIGHLAND GARDENS LOT 4-5</v>
      </c>
      <c r="D302" s="1">
        <v>406.47</v>
      </c>
    </row>
    <row r="303" spans="1:4" x14ac:dyDescent="0.3">
      <c r="A303" s="1" t="str">
        <f>"04001441600"</f>
        <v>04001441600</v>
      </c>
      <c r="B303" s="1" t="str">
        <f>"4674 GS DRIVE LLC"</f>
        <v>4674 GS DRIVE LLC</v>
      </c>
      <c r="C303" s="1" t="str">
        <f>"RESUB OF 181-186 PINNACLE CLUB 2-1&amp; 319-330 OF      PINNACLE CLUB 2-2 LOT 760"</f>
        <v>RESUB OF 181-186 PINNACLE CLUB 2-1&amp; 319-330 OF      PINNACLE CLUB 2-2 LOT 760</v>
      </c>
      <c r="D303" s="1">
        <v>6116.04</v>
      </c>
    </row>
    <row r="304" spans="1:4" x14ac:dyDescent="0.3">
      <c r="A304" s="1" t="str">
        <f>"01005142300"</f>
        <v>01005142300</v>
      </c>
      <c r="B304" s="1" t="str">
        <f>"473 HANFORD LLC"</f>
        <v>473 HANFORD LLC</v>
      </c>
      <c r="C304" s="1" t="str">
        <f>"HANFORD ST HOMEVILLE LOT 82"</f>
        <v>HANFORD ST HOMEVILLE LOT 82</v>
      </c>
      <c r="D304" s="1">
        <v>3175.95</v>
      </c>
    </row>
    <row r="305" spans="1:4" x14ac:dyDescent="0.3">
      <c r="A305" s="1" t="str">
        <f>"56018893600"</f>
        <v>56018893600</v>
      </c>
      <c r="B305" s="1" t="str">
        <f>"4747 DUBLIN ROAD LLC"</f>
        <v>4747 DUBLIN ROAD LLC</v>
      </c>
      <c r="C305" s="1" t="str">
        <f>"DUBLIN RD REAR ENTRY 4854 0.617 ACRES LOT 2 &amp; PT LOT 85"</f>
        <v>DUBLIN RD REAR ENTRY 4854 0.617 ACRES LOT 2 &amp; PT LOT 85</v>
      </c>
      <c r="D305" s="1">
        <v>8.8699999999999992</v>
      </c>
    </row>
    <row r="306" spans="1:4" x14ac:dyDescent="0.3">
      <c r="A306" s="1" t="str">
        <f>"20331974400"</f>
        <v>20331974400</v>
      </c>
      <c r="B306" s="1" t="str">
        <f>"4747 DUBLIN ROAD LLC"</f>
        <v>4747 DUBLIN ROAD LLC</v>
      </c>
      <c r="C306" s="1" t="str">
        <f>"DUBLIN RD ENTRY 4854 11.578 ACRES"</f>
        <v>DUBLIN RD ENTRY 4854 11.578 ACRES</v>
      </c>
      <c r="D306" s="1">
        <v>6692.14</v>
      </c>
    </row>
    <row r="307" spans="1:4" x14ac:dyDescent="0.3">
      <c r="A307" s="1" t="str">
        <f>"20500000100"</f>
        <v>20500000100</v>
      </c>
      <c r="B307" s="1" t="str">
        <f>"4747 DUBLIN ROAD LLC"</f>
        <v>4747 DUBLIN ROAD LLC</v>
      </c>
      <c r="C307" s="1" t="str">
        <f>"4781 DUBLIN RD ENTRY 2418-4854 2.363 ACRES"</f>
        <v>4781 DUBLIN RD ENTRY 2418-4854 2.363 ACRES</v>
      </c>
      <c r="D307" s="1">
        <v>2710.53</v>
      </c>
    </row>
    <row r="308" spans="1:4" x14ac:dyDescent="0.3">
      <c r="A308" s="1" t="str">
        <f>"09000825400"</f>
        <v>09000825400</v>
      </c>
      <c r="B308" s="1" t="str">
        <f>"4750 E MAIN WHITEHALL OH LLC"</f>
        <v>4750 E MAIN WHITEHALL OH LLC</v>
      </c>
      <c r="C308" s="1" t="str">
        <f>"MAIN STREET               R21 T12 S9 1/2S16         2.957 ACRES              "</f>
        <v xml:space="preserve">MAIN STREET               R21 T12 S9 1/2S16         2.957 ACRES              </v>
      </c>
      <c r="D308" s="1">
        <v>51451.06</v>
      </c>
    </row>
    <row r="309" spans="1:4" x14ac:dyDescent="0.3">
      <c r="A309" s="1" t="str">
        <f>"01004349900"</f>
        <v>01004349900</v>
      </c>
      <c r="B309" s="1" t="str">
        <f>"476 E RICH LLC"</f>
        <v>476 E RICH LLC</v>
      </c>
      <c r="C309" s="1" t="str">
        <f>"476 E RICH ST             KELSEY                    LOT 2-3                  "</f>
        <v xml:space="preserve">476 E RICH ST             KELSEY                    LOT 2-3                  </v>
      </c>
      <c r="D309" s="1">
        <v>617.14</v>
      </c>
    </row>
    <row r="310" spans="1:4" x14ac:dyDescent="0.3">
      <c r="A310" s="1" t="str">
        <f>"01003954400"</f>
        <v>01003954400</v>
      </c>
      <c r="B310" s="1" t="str">
        <f>"476 GRAHAM LLC"</f>
        <v>476 GRAHAM LLC</v>
      </c>
      <c r="C310" s="1" t="str">
        <f>"476 E S GRAHAM ST HAYES LOT 216"</f>
        <v>476 E S GRAHAM ST HAYES LOT 216</v>
      </c>
      <c r="D310" s="1">
        <v>950.88</v>
      </c>
    </row>
    <row r="311" spans="1:4" x14ac:dyDescent="0.3">
      <c r="A311" s="1" t="str">
        <f>"22200191200"</f>
        <v>22200191200</v>
      </c>
      <c r="B311" s="1" t="str">
        <f>"4791 YANTIS LLC"</f>
        <v>4791 YANTIS LLC</v>
      </c>
      <c r="C311" s="1" t="str">
        <f>"NEW ALBANY COUNTRY CLUB SECTION 6B LOT 31"</f>
        <v>NEW ALBANY COUNTRY CLUB SECTION 6B LOT 31</v>
      </c>
      <c r="D311" s="1">
        <v>674.3</v>
      </c>
    </row>
    <row r="312" spans="1:4" x14ac:dyDescent="0.3">
      <c r="A312" s="1" t="str">
        <f>"09000216300"</f>
        <v>09000216300</v>
      </c>
      <c r="B312" s="1" t="str">
        <f>"4805 LANGLEY SNF REALTY LLC"</f>
        <v>4805 LANGLEY SNF REALTY LLC</v>
      </c>
      <c r="C312" s="1" t="str">
        <f>"LANGLEY AVE               ACRES .501 R21 T12        S9-16 1/2SEC 25-12       "</f>
        <v xml:space="preserve">LANGLEY AVE               ACRES .501 R21 T12        S9-16 1/2SEC 25-12       </v>
      </c>
      <c r="D312" s="1">
        <v>128.58000000000001</v>
      </c>
    </row>
    <row r="313" spans="1:4" x14ac:dyDescent="0.3">
      <c r="A313" s="1" t="str">
        <f>"09000835100"</f>
        <v>09000835100</v>
      </c>
      <c r="B313" s="1" t="str">
        <f>"4805 LANGLEY SNF REALTY LLC"</f>
        <v>4805 LANGLEY SNF REALTY LLC</v>
      </c>
      <c r="C313" s="1" t="str">
        <f>"ETNA STREET R21 T12 S9 1/2S16 0.399 ACRE"</f>
        <v>ETNA STREET R21 T12 S9 1/2S16 0.399 ACRE</v>
      </c>
      <c r="D313" s="1">
        <v>99.09</v>
      </c>
    </row>
    <row r="314" spans="1:4" x14ac:dyDescent="0.3">
      <c r="A314" s="1" t="str">
        <f>"09000209500"</f>
        <v>09000209500</v>
      </c>
      <c r="B314" s="1" t="str">
        <f>"4805 LANGLEY SNF REALTY LLC"</f>
        <v>4805 LANGLEY SNF REALTY LLC</v>
      </c>
      <c r="C314" s="1" t="str">
        <f>"LANGLEY AVE R21 T12 S9-16 1/4 S25-12 .271 ACRES"</f>
        <v>LANGLEY AVE R21 T12 S9-16 1/4 S25-12 .271 ACRES</v>
      </c>
      <c r="D314" s="1">
        <v>6.91</v>
      </c>
    </row>
    <row r="315" spans="1:4" x14ac:dyDescent="0.3">
      <c r="A315" s="1" t="str">
        <f>"09000209600"</f>
        <v>09000209600</v>
      </c>
      <c r="B315" s="1" t="str">
        <f>"4805 LANGLEY SNF REALTY LLC"</f>
        <v>4805 LANGLEY SNF REALTY LLC</v>
      </c>
      <c r="C315" s="1" t="str">
        <f>"831 COUNTRY CLUB RD       R21 T12 S9-16 1-4S        25-12                    "</f>
        <v xml:space="preserve">831 COUNTRY CLUB RD       R21 T12 S9-16 1-4S        25-12                    </v>
      </c>
      <c r="D315" s="1">
        <v>137.49</v>
      </c>
    </row>
    <row r="316" spans="1:4" x14ac:dyDescent="0.3">
      <c r="A316" s="1" t="str">
        <f>"09000209700"</f>
        <v>09000209700</v>
      </c>
      <c r="B316" s="1" t="str">
        <f>"4805 LANGLEY SNF REALTY LLC"</f>
        <v>4805 LANGLEY SNF REALTY LLC</v>
      </c>
      <c r="C316" s="1" t="str">
        <f>"LANGLEY AVE               R21 T12 S9-16 1-4S 25-12  0.501 ACRE               "</f>
        <v xml:space="preserve">LANGLEY AVE               R21 T12 S9-16 1-4S 25-12  0.501 ACRE               </v>
      </c>
      <c r="D316" s="1">
        <v>12352.71</v>
      </c>
    </row>
    <row r="317" spans="1:4" x14ac:dyDescent="0.3">
      <c r="A317" s="1" t="str">
        <f>"09000211200"</f>
        <v>09000211200</v>
      </c>
      <c r="B317" s="1" t="str">
        <f>"4805 LANGLEY SNF REALTY LLC"</f>
        <v>4805 LANGLEY SNF REALTY LLC</v>
      </c>
      <c r="C317" s="1" t="str">
        <f>"1.288 ACRES R21 T12 S9-16 1/4 S25-12"</f>
        <v>1.288 ACRES R21 T12 S9-16 1/4 S25-12</v>
      </c>
      <c r="D317" s="1">
        <v>324.56</v>
      </c>
    </row>
    <row r="318" spans="1:4" x14ac:dyDescent="0.3">
      <c r="A318" s="1" t="str">
        <f>"09000211400"</f>
        <v>09000211400</v>
      </c>
      <c r="B318" s="1" t="str">
        <f>"4805 LANGLEY SNF REALTY LLC"</f>
        <v>4805 LANGLEY SNF REALTY LLC</v>
      </c>
      <c r="C318" s="1" t="str">
        <f>"831 COUNTRY CLUB RD       S9-16 1-4 S25-12          .50 ACRES                "</f>
        <v xml:space="preserve">831 COUNTRY CLUB RD       S9-16 1-4 S25-12          .50 ACRES                </v>
      </c>
      <c r="D318" s="1">
        <v>129.74</v>
      </c>
    </row>
    <row r="319" spans="1:4" x14ac:dyDescent="0.3">
      <c r="A319" s="1" t="str">
        <f>"09000156900"</f>
        <v>09000156900</v>
      </c>
      <c r="B319" s="1" t="str">
        <f>"4805 LANGLEY SNF REALTY LLC"</f>
        <v>4805 LANGLEY SNF REALTY LLC</v>
      </c>
      <c r="C319" s="1" t="str">
        <f>"831 COUNTRY CLUB RD .183 ACRES R21 T12 S9 1/2S12"</f>
        <v>831 COUNTRY CLUB RD .183 ACRES R21 T12 S9 1/2S12</v>
      </c>
      <c r="D319" s="1">
        <v>14.41</v>
      </c>
    </row>
    <row r="320" spans="1:4" x14ac:dyDescent="0.3">
      <c r="A320" s="1" t="str">
        <f>"09000360900"</f>
        <v>09000360900</v>
      </c>
      <c r="B320" s="1" t="str">
        <f>"4805 LANGLEY SNF REALTY LLC"</f>
        <v>4805 LANGLEY SNF REALTY LLC</v>
      </c>
      <c r="C320" s="1" t="str">
        <f>"REAR COUNTRY CLUB ROAD .16 ACRES R21 T12 S9-16 1/2S 25-12"</f>
        <v>REAR COUNTRY CLUB ROAD .16 ACRES R21 T12 S9-16 1/2S 25-12</v>
      </c>
      <c r="D320" s="1">
        <v>78.94</v>
      </c>
    </row>
    <row r="321" spans="1:4" x14ac:dyDescent="0.3">
      <c r="A321" s="1" t="str">
        <f>"01010664500"</f>
        <v>01010664500</v>
      </c>
      <c r="B321" s="1" t="str">
        <f>"4816-22 INDIANOLA AVENUE LLC"</f>
        <v>4816-22 INDIANOLA AVENUE LLC</v>
      </c>
      <c r="C321" s="1" t="str">
        <f>"4816 INDIANOLA AVE R18 T2 1/4T3 0.561 ACRE"</f>
        <v>4816 INDIANOLA AVE R18 T2 1/4T3 0.561 ACRE</v>
      </c>
      <c r="D321" s="1">
        <v>975.03</v>
      </c>
    </row>
    <row r="322" spans="1:4" x14ac:dyDescent="0.3">
      <c r="A322" s="1" t="str">
        <f>"01003980200"</f>
        <v>01003980200</v>
      </c>
      <c r="B322" s="1" t="str">
        <f>"4816-22 INDIANOLA AVENUE LLC"</f>
        <v>4816-22 INDIANOLA AVENUE LLC</v>
      </c>
      <c r="C322" s="1" t="str">
        <f>"INDIANOLA AVE .443 ACRE "</f>
        <v xml:space="preserve">INDIANOLA AVE .443 ACRE </v>
      </c>
      <c r="D322" s="1">
        <v>727.34</v>
      </c>
    </row>
    <row r="323" spans="1:4" x14ac:dyDescent="0.3">
      <c r="A323" s="1" t="str">
        <f>"51525582000"</f>
        <v>51525582000</v>
      </c>
      <c r="B323" s="1" t="str">
        <f>"482 HANNIFIN LLC"</f>
        <v>482 HANNIFIN LLC</v>
      </c>
      <c r="C323" s="1" t="str">
        <f>"HANNIFIN DRIVE CRAWFORD FARMS SECTION 5 PART 1 LOT 301"</f>
        <v>HANNIFIN DRIVE CRAWFORD FARMS SECTION 5 PART 1 LOT 301</v>
      </c>
      <c r="D323" s="1">
        <v>5133.24</v>
      </c>
    </row>
    <row r="324" spans="1:4" x14ac:dyDescent="0.3">
      <c r="A324" s="1" t="str">
        <f>"01005745600"</f>
        <v>01005745600</v>
      </c>
      <c r="B324" s="1" t="str">
        <f>"490-492 ALDEN LLC"</f>
        <v>490-492 ALDEN LLC</v>
      </c>
      <c r="C324" s="1" t="str">
        <f>"ALDEN AVE INDIANOLA SUMMIT LOT 26 BLK 22"</f>
        <v>ALDEN AVE INDIANOLA SUMMIT LOT 26 BLK 22</v>
      </c>
      <c r="D324" s="1">
        <v>16845.28</v>
      </c>
    </row>
    <row r="325" spans="1:4" x14ac:dyDescent="0.3">
      <c r="A325" s="1" t="str">
        <f>"01005745700"</f>
        <v>01005745700</v>
      </c>
      <c r="B325" s="1" t="str">
        <f>"490-492 ALDEN LLC"</f>
        <v>490-492 ALDEN LLC</v>
      </c>
      <c r="C325" s="1" t="str">
        <f>"ALDEN AVE INDIANOLA SUMMIT LOT 27 BLK 22"</f>
        <v>ALDEN AVE INDIANOLA SUMMIT LOT 27 BLK 22</v>
      </c>
      <c r="D325" s="1">
        <v>1561.47</v>
      </c>
    </row>
    <row r="326" spans="1:4" x14ac:dyDescent="0.3">
      <c r="A326" s="1" t="str">
        <f>"01013234500"</f>
        <v>01013234500</v>
      </c>
      <c r="B326" s="1" t="str">
        <f>"4916 ARBOR VILLAGE LLC"</f>
        <v>4916 ARBOR VILLAGE LLC</v>
      </c>
      <c r="C326" s="1" t="str">
        <f>"RR MORSE RD .921 ACRE LOT 19-89"</f>
        <v>RR MORSE RD .921 ACRE LOT 19-89</v>
      </c>
      <c r="D326" s="1">
        <v>956.84</v>
      </c>
    </row>
    <row r="327" spans="1:4" x14ac:dyDescent="0.3">
      <c r="A327" s="1" t="str">
        <f>"60017613500"</f>
        <v>60017613500</v>
      </c>
      <c r="B327" s="1" t="str">
        <f>"4923 BRITTANY CT LLC"</f>
        <v>4923 BRITTANY CT LLC</v>
      </c>
      <c r="C327" s="1" t="str">
        <f>"COOPER ROAD COOPER RIDGE LOT 1"</f>
        <v>COOPER ROAD COOPER RIDGE LOT 1</v>
      </c>
      <c r="D327" s="1">
        <v>5685.65</v>
      </c>
    </row>
    <row r="328" spans="1:4" x14ac:dyDescent="0.3">
      <c r="A328" s="1" t="str">
        <f>"01003290700"</f>
        <v>01003290700</v>
      </c>
      <c r="B328" s="1" t="str">
        <f>"49-51 NORTH 20TH STREET LLC"</f>
        <v>49-51 NORTH 20TH STREET LLC</v>
      </c>
      <c r="C328" s="1" t="str">
        <f>"49-51 N 20TH ST LLOYD LOT 10-11"</f>
        <v>49-51 N 20TH ST LLOYD LOT 10-11</v>
      </c>
      <c r="D328" s="1">
        <v>248.61</v>
      </c>
    </row>
    <row r="329" spans="1:4" x14ac:dyDescent="0.3">
      <c r="A329" s="1" t="str">
        <f>"07001435400"</f>
        <v>07001435400</v>
      </c>
      <c r="B329" s="1" t="str">
        <f>"4975 OLDBRIDGE LLC"</f>
        <v>4975 OLDBRIDGE LLC</v>
      </c>
      <c r="C329" s="1" t="str">
        <f>"RESUB OF RESUB OF WELLINGTON WOODS N LOT 8  1.422 ACRES"</f>
        <v>RESUB OF RESUB OF WELLINGTON WOODS N LOT 8  1.422 ACRES</v>
      </c>
      <c r="D329" s="1">
        <v>35269.25</v>
      </c>
    </row>
    <row r="330" spans="1:4" x14ac:dyDescent="0.3">
      <c r="A330" s="1" t="str">
        <f>"07001435500"</f>
        <v>07001435500</v>
      </c>
      <c r="B330" s="1" t="str">
        <f>"4975 OLDBRIDGE LLC"</f>
        <v>4975 OLDBRIDGE LLC</v>
      </c>
      <c r="C330" s="1" t="str">
        <f>"RESUB OF RESUB OF WELLINGTON WOODS N LOT 9  1.153 ACRES"</f>
        <v>RESUB OF RESUB OF WELLINGTON WOODS N LOT 9  1.153 ACRES</v>
      </c>
      <c r="D330" s="1">
        <v>7713.28</v>
      </c>
    </row>
    <row r="331" spans="1:4" x14ac:dyDescent="0.3">
      <c r="A331" s="1" t="str">
        <f>"59019300600"</f>
        <v>59019300600</v>
      </c>
      <c r="B331" s="1" t="str">
        <f>"4JNK REALTY LLC"</f>
        <v>4JNK REALTY LLC</v>
      </c>
      <c r="C331" s="1" t="str">
        <f>"BETHEL RD CROWN POINT E PRO OFF CONDO UNIT 1914"</f>
        <v>BETHEL RD CROWN POINT E PRO OFF CONDO UNIT 1914</v>
      </c>
      <c r="D331" s="1">
        <v>7238.68</v>
      </c>
    </row>
    <row r="332" spans="1:4" x14ac:dyDescent="0.3">
      <c r="A332" s="1" t="str">
        <f>"01002644400"</f>
        <v>01002644400</v>
      </c>
      <c r="B332" s="1" t="str">
        <f>"50 E 11TH AVENUE LLC"</f>
        <v>50 E 11TH AVENUE LLC</v>
      </c>
      <c r="C332" s="1" t="str">
        <f>"50 E 11TH AVE CHITTENDEN 35'X125' LOT 2"</f>
        <v>50 E 11TH AVE CHITTENDEN 35'X125' LOT 2</v>
      </c>
      <c r="D332" s="1">
        <v>946.87</v>
      </c>
    </row>
    <row r="333" spans="1:4" x14ac:dyDescent="0.3">
      <c r="A333" s="1" t="str">
        <f>"07500003000"</f>
        <v>07500003000</v>
      </c>
      <c r="B333" s="1" t="str">
        <f>"5007 ARLINGTON FALLS LLC"</f>
        <v>5007 ARLINGTON FALLS LLC</v>
      </c>
      <c r="C333" s="1" t="str">
        <f>"ARLINGTON FALLS           CONDOMINIUM 4TH AMD PH 5  UNIT 5007-100            "</f>
        <v xml:space="preserve">ARLINGTON FALLS           CONDOMINIUM 4TH AMD PH 5  UNIT 5007-100            </v>
      </c>
      <c r="D333" s="1">
        <v>1148.29</v>
      </c>
    </row>
    <row r="334" spans="1:4" x14ac:dyDescent="0.3">
      <c r="A334" s="1" t="str">
        <f>"07500003100"</f>
        <v>07500003100</v>
      </c>
      <c r="B334" s="1" t="str">
        <f>"5007 ARLINGTON FALLS LLC"</f>
        <v>5007 ARLINGTON FALLS LLC</v>
      </c>
      <c r="C334" s="1" t="str">
        <f>"ARLINGTON FALLS           CONDOMINIUM 4TH AMD PH 5  UNIT 5007-110            "</f>
        <v xml:space="preserve">ARLINGTON FALLS           CONDOMINIUM 4TH AMD PH 5  UNIT 5007-110            </v>
      </c>
      <c r="D334" s="1">
        <v>1358.54</v>
      </c>
    </row>
    <row r="335" spans="1:4" x14ac:dyDescent="0.3">
      <c r="A335" s="1" t="str">
        <f>"07500003200"</f>
        <v>07500003200</v>
      </c>
      <c r="B335" s="1" t="str">
        <f>"5007 ARLINGTON FALLS LLC"</f>
        <v>5007 ARLINGTON FALLS LLC</v>
      </c>
      <c r="C335" s="1" t="str">
        <f>"ARLINGTON FALLS           CONDOMINIUM 4TH AMD PH 5  UNIT 5007-200            "</f>
        <v xml:space="preserve">ARLINGTON FALLS           CONDOMINIUM 4TH AMD PH 5  UNIT 5007-200            </v>
      </c>
      <c r="D335" s="1">
        <v>2748.11</v>
      </c>
    </row>
    <row r="336" spans="1:4" x14ac:dyDescent="0.3">
      <c r="A336" s="1" t="str">
        <f>"01006168500"</f>
        <v>01006168500</v>
      </c>
      <c r="B336" s="1" t="str">
        <f>"5010 HEATHMOOR LLC"</f>
        <v>5010 HEATHMOOR LLC</v>
      </c>
      <c r="C336" s="1" t="str">
        <f>"W 5TH AVE                 WEST VIEW                 LOT 7-8                  "</f>
        <v xml:space="preserve">W 5TH AVE                 WEST VIEW                 LOT 7-8                  </v>
      </c>
      <c r="D336" s="1">
        <v>367.6</v>
      </c>
    </row>
    <row r="337" spans="1:4" x14ac:dyDescent="0.3">
      <c r="A337" s="1" t="str">
        <f>"05001000200"</f>
        <v>05001000200</v>
      </c>
      <c r="B337" s="1" t="str">
        <f>"5026 VININGTON PLACE LLC"</f>
        <v>5026 VININGTON PLACE LLC</v>
      </c>
      <c r="C337" s="1" t="str">
        <f>"THE VININGS CONDO COMMUNITY UNIT 5026"</f>
        <v>THE VININGS CONDO COMMUNITY UNIT 5026</v>
      </c>
      <c r="D337" s="1">
        <v>3217.67</v>
      </c>
    </row>
    <row r="338" spans="1:4" x14ac:dyDescent="0.3">
      <c r="A338" s="1" t="str">
        <f>"18100135600"</f>
        <v>18100135600</v>
      </c>
      <c r="B338" s="1" t="str">
        <f>"5049 OREGON RD LLC"</f>
        <v>5049 OREGON RD LLC</v>
      </c>
      <c r="C338" s="1" t="str">
        <f>"OREGON RD R21 T10 S11 5.493 ACRES"</f>
        <v>OREGON RD R21 T10 S11 5.493 ACRES</v>
      </c>
      <c r="D338" s="1">
        <v>870.38</v>
      </c>
    </row>
    <row r="339" spans="1:4" x14ac:dyDescent="0.3">
      <c r="A339" s="1" t="str">
        <f>"01001954800"</f>
        <v>01001954800</v>
      </c>
      <c r="B339" s="1" t="str">
        <f>"50-56 N 20TH STREET LLC"</f>
        <v>50-56 N 20TH STREET LLC</v>
      </c>
      <c r="C339" s="1" t="str">
        <f>"50-56 N 20TH ST 38 FT S S 12 &amp; 7 FT N S OF 13 JOHN JOYCE"</f>
        <v>50-56 N 20TH ST 38 FT S S 12 &amp; 7 FT N S OF 13 JOHN JOYCE</v>
      </c>
      <c r="D339" s="1">
        <v>6182.26</v>
      </c>
    </row>
    <row r="340" spans="1:4" x14ac:dyDescent="0.3">
      <c r="A340" s="1" t="str">
        <f>"11300058400"</f>
        <v>11300058400</v>
      </c>
      <c r="B340" s="1" t="str">
        <f>"5092 INVESTMENTS LLC"</f>
        <v>5092 INVESTMENTS LLC</v>
      </c>
      <c r="C340" s="1" t="str">
        <f>"CLEVELAND AVE MINERVA PARK LOT 2 EX 10'WS"</f>
        <v>CLEVELAND AVE MINERVA PARK LOT 2 EX 10'WS</v>
      </c>
      <c r="D340" s="1">
        <v>6358.14</v>
      </c>
    </row>
    <row r="341" spans="1:4" x14ac:dyDescent="0.3">
      <c r="A341" s="1" t="str">
        <f>"01009374700"</f>
        <v>01009374700</v>
      </c>
      <c r="B341" s="1" t="str">
        <f>"51 S HAMILTON LLC"</f>
        <v>51 S HAMILTON LLC</v>
      </c>
      <c r="C341" s="1" t="str">
        <f>"865 WHITTIER ST KEYSTONE LOT 20"</f>
        <v>865 WHITTIER ST KEYSTONE LOT 20</v>
      </c>
      <c r="D341" s="1">
        <v>2767.31</v>
      </c>
    </row>
    <row r="342" spans="1:4" x14ac:dyDescent="0.3">
      <c r="A342" s="1" t="str">
        <f>"01004117400"</f>
        <v>01004117400</v>
      </c>
      <c r="B342" s="1" t="str">
        <f>"51 S HAMILTON LLC"</f>
        <v>51 S HAMILTON LLC</v>
      </c>
      <c r="C342" s="1" t="str">
        <f>"869 WHITTIER ST KEYSTONE 15.15 FT LOT 21"</f>
        <v>869 WHITTIER ST KEYSTONE 15.15 FT LOT 21</v>
      </c>
      <c r="D342" s="1">
        <v>2813.54</v>
      </c>
    </row>
    <row r="343" spans="1:4" x14ac:dyDescent="0.3">
      <c r="A343" s="1" t="str">
        <f>"01009374600"</f>
        <v>01009374600</v>
      </c>
      <c r="B343" s="1" t="str">
        <f>"51 S HAMILTON LLC"</f>
        <v>51 S HAMILTON LLC</v>
      </c>
      <c r="C343" s="1" t="str">
        <f>"863 WHITTIER ST KEYSTONE LOT 19-20"</f>
        <v>863 WHITTIER ST KEYSTONE LOT 19-20</v>
      </c>
      <c r="D343" s="1">
        <v>2830.51</v>
      </c>
    </row>
    <row r="344" spans="1:4" x14ac:dyDescent="0.3">
      <c r="A344" s="1" t="str">
        <f>"01009568000"</f>
        <v>01009568000</v>
      </c>
      <c r="B344" s="1" t="str">
        <f>"512 S HAMPTON RD LLC"</f>
        <v>512 S HAMPTON RD LLC</v>
      </c>
      <c r="C344" s="1" t="str">
        <f>"HAMPTON RD RE-SUB PT MAYFAIR &amp; PT MAYFAI R AMD LOT 383"</f>
        <v>HAMPTON RD RE-SUB PT MAYFAIR &amp; PT MAYFAI R AMD LOT 383</v>
      </c>
      <c r="D344" s="1">
        <v>2260.27</v>
      </c>
    </row>
    <row r="345" spans="1:4" x14ac:dyDescent="0.3">
      <c r="A345" s="1" t="str">
        <f>"18500228400"</f>
        <v>18500228400</v>
      </c>
      <c r="B345" s="1" t="str">
        <f>"5126 SAND COURT LLC"</f>
        <v>5126 SAND COURT LLC</v>
      </c>
      <c r="C345" s="1" t="str">
        <f>"SAND COURT HICKORY GROVE SECTION 1 LOT 39"</f>
        <v>SAND COURT HICKORY GROVE SECTION 1 LOT 39</v>
      </c>
      <c r="D345" s="1">
        <v>3002.89</v>
      </c>
    </row>
    <row r="346" spans="1:4" x14ac:dyDescent="0.3">
      <c r="A346" s="1" t="str">
        <f>"01002864500"</f>
        <v>01002864500</v>
      </c>
      <c r="B346" s="1" t="str">
        <f>"5153 WOODRUFF LLC"</f>
        <v>5153 WOODRUFF LLC</v>
      </c>
      <c r="C346" s="1" t="str">
        <f>"51-53 E WOODRUFF MITCHELL SUB 8-9"</f>
        <v>51-53 E WOODRUFF MITCHELL SUB 8-9</v>
      </c>
      <c r="D346" s="1">
        <v>14495.71</v>
      </c>
    </row>
    <row r="347" spans="1:4" x14ac:dyDescent="0.3">
      <c r="A347" s="1" t="str">
        <f>"01005812900"</f>
        <v>01005812900</v>
      </c>
      <c r="B347" s="1" t="str">
        <f>"521 MARION ROAD LLC"</f>
        <v>521 MARION ROAD LLC</v>
      </c>
      <c r="C347" s="1" t="str">
        <f>"469 MARION RD BRODBELTS LOT 18-19-20"</f>
        <v>469 MARION RD BRODBELTS LOT 18-19-20</v>
      </c>
      <c r="D347" s="1">
        <v>632.9</v>
      </c>
    </row>
    <row r="348" spans="1:4" x14ac:dyDescent="0.3">
      <c r="A348" s="1" t="str">
        <f>"01000754600"</f>
        <v>01000754600</v>
      </c>
      <c r="B348" s="1" t="str">
        <f>"521 MARION ROAD LLC"</f>
        <v>521 MARION ROAD LLC</v>
      </c>
      <c r="C348" s="1" t="str">
        <f>"KIAN AVE BRODBELTS LOT 27-28"</f>
        <v>KIAN AVE BRODBELTS LOT 27-28</v>
      </c>
      <c r="D348" s="1">
        <v>526.98</v>
      </c>
    </row>
    <row r="349" spans="1:4" x14ac:dyDescent="0.3">
      <c r="A349" s="1" t="str">
        <f>"01005800200"</f>
        <v>01005800200</v>
      </c>
      <c r="B349" s="1" t="str">
        <f>"521 MARION ROAD LLC"</f>
        <v>521 MARION ROAD LLC</v>
      </c>
      <c r="C349" s="1" t="str">
        <f>"462 KIAN AVE BRODBELTS LOT 29"</f>
        <v>462 KIAN AVE BRODBELTS LOT 29</v>
      </c>
      <c r="D349" s="1">
        <v>417.33</v>
      </c>
    </row>
    <row r="350" spans="1:4" x14ac:dyDescent="0.3">
      <c r="A350" s="1" t="str">
        <f>"01005805300"</f>
        <v>01005805300</v>
      </c>
      <c r="B350" s="1" t="str">
        <f>"521 MARION ROAD LLC"</f>
        <v>521 MARION ROAD LLC</v>
      </c>
      <c r="C350" s="1" t="str">
        <f>"PARSONS AVE C L &amp; L C MERION LOT 42 THRU 48 INC"</f>
        <v>PARSONS AVE C L &amp; L C MERION LOT 42 THRU 48 INC</v>
      </c>
      <c r="D350" s="1">
        <v>377.6</v>
      </c>
    </row>
    <row r="351" spans="1:4" x14ac:dyDescent="0.3">
      <c r="A351" s="1" t="str">
        <f>"01005811500"</f>
        <v>01005811500</v>
      </c>
      <c r="B351" s="1" t="str">
        <f>"521 MARION ROAD LLC"</f>
        <v>521 MARION ROAD LLC</v>
      </c>
      <c r="C351" s="1" t="str">
        <f>"434 KIAN AVE BRODBELTS SUB LOT 22"</f>
        <v>434 KIAN AVE BRODBELTS SUB LOT 22</v>
      </c>
      <c r="D351" s="1">
        <v>417.33</v>
      </c>
    </row>
    <row r="352" spans="1:4" x14ac:dyDescent="0.3">
      <c r="A352" s="1" t="str">
        <f>"01000134500"</f>
        <v>01000134500</v>
      </c>
      <c r="B352" s="1" t="str">
        <f>"521 MARION ROAD LLC"</f>
        <v>521 MARION ROAD LLC</v>
      </c>
      <c r="C352" s="1" t="str">
        <f>"521 MARION RD MERION 9.926 ACRES"</f>
        <v>521 MARION RD MERION 9.926 ACRES</v>
      </c>
      <c r="D352" s="1">
        <v>14749.44</v>
      </c>
    </row>
    <row r="353" spans="1:4" x14ac:dyDescent="0.3">
      <c r="A353" s="1" t="str">
        <f>"01005812700"</f>
        <v>01005812700</v>
      </c>
      <c r="B353" s="1" t="str">
        <f>"521 MARION ROAD LLC"</f>
        <v>521 MARION ROAD LLC</v>
      </c>
      <c r="C353" s="1" t="str">
        <f>"457 MARION RD BRODBELTS LOT 16-17"</f>
        <v>457 MARION RD BRODBELTS LOT 16-17</v>
      </c>
      <c r="D353" s="1">
        <v>2117.71</v>
      </c>
    </row>
    <row r="354" spans="1:4" x14ac:dyDescent="0.3">
      <c r="A354" s="1" t="str">
        <f>"01005806500"</f>
        <v>01005806500</v>
      </c>
      <c r="B354" s="1" t="str">
        <f>"521 MARION ROAD LLC"</f>
        <v>521 MARION ROAD LLC</v>
      </c>
      <c r="C354" s="1" t="str">
        <f>"HOSACK ST C L &amp; L C MERION LOT 67"</f>
        <v>HOSACK ST C L &amp; L C MERION LOT 67</v>
      </c>
      <c r="D354" s="1">
        <v>511.05</v>
      </c>
    </row>
    <row r="355" spans="1:4" x14ac:dyDescent="0.3">
      <c r="A355" s="1" t="str">
        <f>"01005800300"</f>
        <v>01005800300</v>
      </c>
      <c r="B355" s="1" t="str">
        <f>"521 MARION ROAD LLC"</f>
        <v>521 MARION ROAD LLC</v>
      </c>
      <c r="C355" s="1" t="str">
        <f>"466 KIAN AVE BRODBELTS LOT 31"</f>
        <v>466 KIAN AVE BRODBELTS LOT 31</v>
      </c>
      <c r="D355" s="1">
        <v>413.61</v>
      </c>
    </row>
    <row r="356" spans="1:4" x14ac:dyDescent="0.3">
      <c r="A356" s="1" t="str">
        <f>"01004503700"</f>
        <v>01004503700</v>
      </c>
      <c r="B356" s="1" t="str">
        <f>"521 MARION ROAD LLC"</f>
        <v>521 MARION ROAD LLC</v>
      </c>
      <c r="C356" s="1" t="str">
        <f>"428-30KIAN AVE BROADBELTS LOT 21"</f>
        <v>428-30KIAN AVE BROADBELTS LOT 21</v>
      </c>
      <c r="D356" s="1">
        <v>417.33</v>
      </c>
    </row>
    <row r="357" spans="1:4" x14ac:dyDescent="0.3">
      <c r="A357" s="1" t="str">
        <f>"01002054400"</f>
        <v>01002054400</v>
      </c>
      <c r="B357" s="1" t="str">
        <f>"522-524 N CHAMPION LLC"</f>
        <v>522-524 N CHAMPION LLC</v>
      </c>
      <c r="C357" s="1" t="str">
        <f>"522-524 N CHAMPION AV E L MCVEYS MD PARK LOT 31"</f>
        <v>522-524 N CHAMPION AV E L MCVEYS MD PARK LOT 31</v>
      </c>
      <c r="D357" s="1">
        <v>6.6</v>
      </c>
    </row>
    <row r="358" spans="1:4" x14ac:dyDescent="0.3">
      <c r="A358" s="1" t="str">
        <f>"01013754100"</f>
        <v>01013754100</v>
      </c>
      <c r="B358" s="1" t="str">
        <f>"525 SAWYER PARTNERS L.P."</f>
        <v>525 SAWYER PARTNERS L.P.</v>
      </c>
      <c r="C358" s="1" t="str">
        <f>"BOLIVAR ST FTG SE COR LOT217&amp;FTG NE COR L 218 PAN HANDLE"</f>
        <v>BOLIVAR ST FTG SE COR LOT217&amp;FTG NE COR L 218 PAN HANDLE</v>
      </c>
      <c r="D358" s="1">
        <v>118.65</v>
      </c>
    </row>
    <row r="359" spans="1:4" x14ac:dyDescent="0.3">
      <c r="A359" s="1" t="str">
        <f>"01028851200"</f>
        <v>01028851200</v>
      </c>
      <c r="B359" s="1" t="str">
        <f>"525 SAWYER PARTNERS L.P."</f>
        <v>525 SAWYER PARTNERS L.P.</v>
      </c>
      <c r="C359" s="1" t="str">
        <f>"525 SAWYER BVLD D C JONES 7.121 ACRES"</f>
        <v>525 SAWYER BVLD D C JONES 7.121 ACRES</v>
      </c>
      <c r="D359" s="1">
        <v>162878.25</v>
      </c>
    </row>
    <row r="360" spans="1:4" x14ac:dyDescent="0.3">
      <c r="A360" s="1" t="str">
        <f>"01004560400"</f>
        <v>01004560400</v>
      </c>
      <c r="B360" s="1" t="str">
        <f>"529 BECK LLC"</f>
        <v>529 BECK LLC</v>
      </c>
      <c r="C360" s="1" t="str">
        <f>"529 E BECK ST DUNHAM RANKIN &amp; STEWART SUB 46"</f>
        <v>529 E BECK ST DUNHAM RANKIN &amp; STEWART SUB 46</v>
      </c>
      <c r="D360" s="1">
        <v>6261.05</v>
      </c>
    </row>
    <row r="361" spans="1:4" x14ac:dyDescent="0.3">
      <c r="A361" s="1" t="str">
        <f>"01011022600"</f>
        <v>01011022600</v>
      </c>
      <c r="B361" s="1" t="str">
        <f>"5388 BYERS CIRCLE LLC"</f>
        <v>5388 BYERS CIRCLE LLC</v>
      </c>
      <c r="C361" s="1" t="str">
        <f>"BYERS CIR W CHASELAND CT LOT 31"</f>
        <v>BYERS CIR W CHASELAND CT LOT 31</v>
      </c>
      <c r="D361" s="1">
        <v>3392.26</v>
      </c>
    </row>
    <row r="362" spans="1:4" x14ac:dyDescent="0.3">
      <c r="A362" s="1" t="str">
        <f>"01011022700"</f>
        <v>01011022700</v>
      </c>
      <c r="B362" s="1" t="str">
        <f>"5388 BYERS CIRCLE LLC"</f>
        <v>5388 BYERS CIRCLE LLC</v>
      </c>
      <c r="C362" s="1" t="str">
        <f>"BYERS CIR W CHASELAND CT LOT 32"</f>
        <v>BYERS CIR W CHASELAND CT LOT 32</v>
      </c>
      <c r="D362" s="1">
        <v>767.32</v>
      </c>
    </row>
    <row r="363" spans="1:4" x14ac:dyDescent="0.3">
      <c r="A363" s="1" t="str">
        <f>"10000678700"</f>
        <v>10000678700</v>
      </c>
      <c r="B363" s="1" t="str">
        <f>"54 RE HOLDINGS LLC"</f>
        <v>54 RE HOLDINGS LLC</v>
      </c>
      <c r="C363" s="1" t="str">
        <f>"STONEHENGE PROFESSIONAL PARK AT WORTHINGTON CONDOMINIUM 7TH AMD UNIT 125"</f>
        <v>STONEHENGE PROFESSIONAL PARK AT WORTHINGTON CONDOMINIUM 7TH AMD UNIT 125</v>
      </c>
      <c r="D363" s="1">
        <v>6984.99</v>
      </c>
    </row>
    <row r="364" spans="1:4" x14ac:dyDescent="0.3">
      <c r="A364" s="1" t="str">
        <f>"60016902900"</f>
        <v>60016902900</v>
      </c>
      <c r="B364" s="1" t="str">
        <f>"5473 BLUE CLOUD LANE LLC"</f>
        <v>5473 BLUE CLOUD LANE LLC</v>
      </c>
      <c r="C364" s="1" t="str">
        <f>"CHIPPEWILL CONDM STAGE II BLDG 44 UNIT 7"</f>
        <v>CHIPPEWILL CONDM STAGE II BLDG 44 UNIT 7</v>
      </c>
      <c r="D364" s="1">
        <v>2834.14</v>
      </c>
    </row>
    <row r="365" spans="1:4" x14ac:dyDescent="0.3">
      <c r="A365" s="1" t="str">
        <f>"01024520400"</f>
        <v>01024520400</v>
      </c>
      <c r="B365" s="1" t="str">
        <f>"5522 PARKSHIRE LLC"</f>
        <v>5522 PARKSHIRE LLC</v>
      </c>
      <c r="C365" s="1" t="str">
        <f>"PARKSHIRE COMMONS CONDOMINIUM 1ST AMD UNIT 5522"</f>
        <v>PARKSHIRE COMMONS CONDOMINIUM 1ST AMD UNIT 5522</v>
      </c>
      <c r="D365" s="1">
        <v>1014.93</v>
      </c>
    </row>
    <row r="366" spans="1:4" x14ac:dyDescent="0.3">
      <c r="A366" s="1" t="str">
        <f>"01025035500"</f>
        <v>01025035500</v>
      </c>
      <c r="B366" s="1" t="str">
        <f>"5588 CYPRESS CHASE LLC"</f>
        <v>5588 CYPRESS CHASE LLC</v>
      </c>
      <c r="C366" s="1" t="str">
        <f>"HAWTHORNE LAKES CONDOMINIUMS GARAGE UNIT G35"</f>
        <v>HAWTHORNE LAKES CONDOMINIUMS GARAGE UNIT G35</v>
      </c>
      <c r="D366" s="1">
        <v>196.98</v>
      </c>
    </row>
    <row r="367" spans="1:4" x14ac:dyDescent="0.3">
      <c r="A367" s="1" t="str">
        <f>"57026788900"</f>
        <v>57026788900</v>
      </c>
      <c r="B367" s="1" t="str">
        <f>"5600 ALKIRE INC"</f>
        <v>5600 ALKIRE INC</v>
      </c>
      <c r="C367" s="1" t="str">
        <f>"NORTON RD ENTRY 1473 1.680 ACRES"</f>
        <v>NORTON RD ENTRY 1473 1.680 ACRES</v>
      </c>
      <c r="D367" s="1">
        <v>15609.12</v>
      </c>
    </row>
    <row r="368" spans="1:4" x14ac:dyDescent="0.3">
      <c r="A368" s="1" t="str">
        <f>"01025870100"</f>
        <v>01025870100</v>
      </c>
      <c r="B368" s="1" t="str">
        <f>"5645FEDER INC"</f>
        <v>5645FEDER INC</v>
      </c>
      <c r="C368" s="1" t="str">
        <f>"FEDER RD ENTRY 7326-1484 1.008 ACRES"</f>
        <v>FEDER RD ENTRY 7326-1484 1.008 ACRES</v>
      </c>
      <c r="D368" s="1">
        <v>10788.15</v>
      </c>
    </row>
    <row r="369" spans="1:4" x14ac:dyDescent="0.3">
      <c r="A369" s="1" t="str">
        <f>"01006237600"</f>
        <v>01006237600</v>
      </c>
      <c r="B369" s="1" t="str">
        <f>"566 GREENLAWN LLC"</f>
        <v>566 GREENLAWN LLC</v>
      </c>
      <c r="C369" s="1" t="str">
        <f>"566 GREENLAWN WHARTON PLACE LOT 15 EX 10' STRIP SS"</f>
        <v>566 GREENLAWN WHARTON PLACE LOT 15 EX 10' STRIP SS</v>
      </c>
      <c r="D369" s="1">
        <v>54.07</v>
      </c>
    </row>
    <row r="370" spans="1:4" x14ac:dyDescent="0.3">
      <c r="A370" s="1" t="str">
        <f>"01006269800"</f>
        <v>01006269800</v>
      </c>
      <c r="B370" s="1" t="str">
        <f>"566 GREENLAWN LLC"</f>
        <v>566 GREENLAWN LLC</v>
      </c>
      <c r="C370" s="1" t="str">
        <f>"GREENLAWN WHARTON PLACE LOT 16 EX 10' STRIP SS"</f>
        <v>GREENLAWN WHARTON PLACE LOT 16 EX 10' STRIP SS</v>
      </c>
      <c r="D370" s="1">
        <v>13.15</v>
      </c>
    </row>
    <row r="371" spans="1:4" x14ac:dyDescent="0.3">
      <c r="A371" s="1" t="str">
        <f>"59019582900"</f>
        <v>59019582900</v>
      </c>
      <c r="B371" s="1" t="str">
        <f>"5689 MCBRIDE LLC"</f>
        <v>5689 MCBRIDE LLC</v>
      </c>
      <c r="C371" s="1" t="str">
        <f>"MCBRIDE CT BALLYMEAD AT DUB 2 LOT 104"</f>
        <v>MCBRIDE CT BALLYMEAD AT DUB 2 LOT 104</v>
      </c>
      <c r="D371" s="1">
        <v>4362.26</v>
      </c>
    </row>
    <row r="372" spans="1:4" x14ac:dyDescent="0.3">
      <c r="A372" s="1" t="str">
        <f>"56023410700"</f>
        <v>56023410700</v>
      </c>
      <c r="B372" s="1" t="str">
        <f>"5717 ASHCROFT LANE LLC"</f>
        <v>5717 ASHCROFT LANE LLC</v>
      </c>
      <c r="C372" s="1" t="str">
        <f>"HILLIARD COMMONS CONDOMINIUM 12TH AMD UNIT 160F"</f>
        <v>HILLIARD COMMONS CONDOMINIUM 12TH AMD UNIT 160F</v>
      </c>
      <c r="D372" s="1">
        <v>1770.92</v>
      </c>
    </row>
    <row r="373" spans="1:4" x14ac:dyDescent="0.3">
      <c r="A373" s="1" t="str">
        <f>"57010365800"</f>
        <v>57010365800</v>
      </c>
      <c r="B373" s="1" t="str">
        <f>"5732 NEWINGTON LLC"</f>
        <v>5732 NEWINGTON LLC</v>
      </c>
      <c r="C373" s="1" t="str">
        <f>"NORTO RD OQ 1000 ENTRY 1473 5.849 ACRES"</f>
        <v>NORTO RD OQ 1000 ENTRY 1473 5.849 ACRES</v>
      </c>
      <c r="D373" s="1">
        <v>10991.39</v>
      </c>
    </row>
    <row r="374" spans="1:4" x14ac:dyDescent="0.3">
      <c r="A374" s="1" t="str">
        <f>"01005253300"</f>
        <v>01005253300</v>
      </c>
      <c r="B374" s="1" t="str">
        <f>"58 COLLINGWOOD LLC"</f>
        <v>58 COLLINGWOOD LLC</v>
      </c>
      <c r="C374" s="1" t="str">
        <f>"183-5 N POWELL AVE HILLTOP LOT 184"</f>
        <v>183-5 N POWELL AVE HILLTOP LOT 184</v>
      </c>
      <c r="D374" s="1">
        <v>8.19</v>
      </c>
    </row>
    <row r="375" spans="1:4" x14ac:dyDescent="0.3">
      <c r="A375" s="1" t="str">
        <f>"59020007400"</f>
        <v>59020007400</v>
      </c>
      <c r="B375" s="1" t="str">
        <f>"5890 SAWMILL LLC"</f>
        <v>5890 SAWMILL LLC</v>
      </c>
      <c r="C375" s="1" t="str">
        <f>"REFLECTIONS TULLER SQUARE CONDOMINIUM UNIT 5890"</f>
        <v>REFLECTIONS TULLER SQUARE CONDOMINIUM UNIT 5890</v>
      </c>
      <c r="D375" s="1">
        <v>336.58</v>
      </c>
    </row>
    <row r="376" spans="1:4" x14ac:dyDescent="0.3">
      <c r="A376" s="1" t="str">
        <f>"18100136500"</f>
        <v>18100136500</v>
      </c>
      <c r="B376" s="1" t="str">
        <f>"5952 LONDON LANCASTER RD LLC"</f>
        <v>5952 LONDON LANCASTER RD LLC</v>
      </c>
      <c r="C376" s="1" t="str">
        <f>"GROOM RD R21 T10 S12 13.451 ACRES"</f>
        <v>GROOM RD R21 T10 S12 13.451 ACRES</v>
      </c>
      <c r="D376" s="1">
        <v>346.34</v>
      </c>
    </row>
    <row r="377" spans="1:4" x14ac:dyDescent="0.3">
      <c r="A377" s="1" t="str">
        <f>"01033370400"</f>
        <v>01033370400</v>
      </c>
      <c r="B377" s="1" t="str">
        <f>"5CL PROPERTIES LLC"</f>
        <v>5CL PROPERTIES LLC</v>
      </c>
      <c r="C377" s="1" t="str">
        <f>"E STARR AVE TERRACE VIEW ADD 0.259 ACRES"</f>
        <v>E STARR AVE TERRACE VIEW ADD 0.259 ACRES</v>
      </c>
      <c r="D377" s="1">
        <v>563.78</v>
      </c>
    </row>
    <row r="378" spans="1:4" x14ac:dyDescent="0.3">
      <c r="A378" s="1" t="str">
        <f>"01033370500"</f>
        <v>01033370500</v>
      </c>
      <c r="B378" s="1" t="str">
        <f>"5CL PROPERTIES LLC"</f>
        <v>5CL PROPERTIES LLC</v>
      </c>
      <c r="C378" s="1" t="str">
        <f>"E STARR AVE TERRACE VIEW ADD 0.029 ACRES"</f>
        <v>E STARR AVE TERRACE VIEW ADD 0.029 ACRES</v>
      </c>
      <c r="D378" s="1">
        <v>64.08</v>
      </c>
    </row>
    <row r="379" spans="1:4" x14ac:dyDescent="0.3">
      <c r="A379" s="1" t="str">
        <f>"01010465300"</f>
        <v>01010465300</v>
      </c>
      <c r="B379" s="1" t="str">
        <f>"5THAVENUE LLC"</f>
        <v>5THAVENUE LLC</v>
      </c>
      <c r="C379" s="1" t="str">
        <f>"3694 FIFTH AVE R17 T1 1/4T4 LOT 6 0.5179 ACRE"</f>
        <v>3694 FIFTH AVE R17 T1 1/4T4 LOT 6 0.5179 ACRE</v>
      </c>
      <c r="D379" s="1">
        <v>2521.83</v>
      </c>
    </row>
    <row r="380" spans="1:4" x14ac:dyDescent="0.3">
      <c r="A380" s="1" t="str">
        <f>"01002504700"</f>
        <v>01002504700</v>
      </c>
      <c r="B380" s="1" t="str">
        <f>"6000 ACRES LLC"</f>
        <v>6000 ACRES LLC</v>
      </c>
      <c r="C380" s="1" t="str">
        <f>"1251 W BROAD ST WEST PARK LOT 766"</f>
        <v>1251 W BROAD ST WEST PARK LOT 766</v>
      </c>
      <c r="D380" s="1">
        <v>7730.93</v>
      </c>
    </row>
    <row r="381" spans="1:4" x14ac:dyDescent="0.3">
      <c r="A381" s="1" t="str">
        <f>"22200555500"</f>
        <v>22200555500</v>
      </c>
      <c r="B381" s="1" t="str">
        <f>"6005 NACOT PLACE LLC"</f>
        <v>6005 NACOT PLACE LLC</v>
      </c>
      <c r="C381" s="1" t="str">
        <f>"WEST CAMPUS RD R16 T2 1/4T2 12.675 ACRES"</f>
        <v>WEST CAMPUS RD R16 T2 1/4T2 12.675 ACRES</v>
      </c>
      <c r="D381" s="1">
        <v>65202.5</v>
      </c>
    </row>
    <row r="382" spans="1:4" x14ac:dyDescent="0.3">
      <c r="A382" s="1" t="str">
        <f>"18500135800"</f>
        <v>18500135800</v>
      </c>
      <c r="B382" s="1" t="str">
        <f>"6010 GROVEPORT LLC"</f>
        <v>6010 GROVEPORT LLC</v>
      </c>
      <c r="C382" s="1" t="str">
        <f>"6010 GROVEPORT RD R21 T11 S29 0.522 ACRE"</f>
        <v>6010 GROVEPORT RD R21 T11 S29 0.522 ACRE</v>
      </c>
      <c r="D382" s="1">
        <v>5913.04</v>
      </c>
    </row>
    <row r="383" spans="1:4" x14ac:dyDescent="0.3">
      <c r="A383" s="1" t="str">
        <f>"01000891800"</f>
        <v>01000891800</v>
      </c>
      <c r="B383" s="1" t="str">
        <f>"614 GIG REAL ESTATE HOLDINGS LLC"</f>
        <v>614 GIG REAL ESTATE HOLDINGS LLC</v>
      </c>
      <c r="C383" s="1" t="str">
        <f>"423 E TOWN ST             BAKER &amp; MITCHELL          27.3'ES L2 &amp; 30.87'WS L3 "</f>
        <v xml:space="preserve">423 E TOWN ST             BAKER &amp; MITCHELL          27.3'ES L2 &amp; 30.87'WS L3 </v>
      </c>
      <c r="D383" s="1">
        <v>24674.18</v>
      </c>
    </row>
    <row r="384" spans="1:4" x14ac:dyDescent="0.3">
      <c r="A384" s="1" t="str">
        <f>"01003835100"</f>
        <v>01003835100</v>
      </c>
      <c r="B384" s="1" t="str">
        <f>"614 HOMES REAL ESTATE LLC"</f>
        <v>614 HOMES REAL ESTATE LLC</v>
      </c>
      <c r="C384" s="1" t="str">
        <f>"1243 E BROAD ST 74.10FT FRT IDE PLC RES"</f>
        <v>1243 E BROAD ST 74.10FT FRT IDE PLC RES</v>
      </c>
      <c r="D384" s="1">
        <v>1540.28</v>
      </c>
    </row>
    <row r="385" spans="1:4" x14ac:dyDescent="0.3">
      <c r="A385" s="1" t="str">
        <f>"53016424400"</f>
        <v>53016424400</v>
      </c>
      <c r="B385" s="1" t="str">
        <f>"616 N ELISABETH STREET LLC"</f>
        <v>616 N ELISABETH STREET LLC</v>
      </c>
      <c r="C385" s="1" t="str">
        <f>"POTOMAC STREET THREE RIVERS LOT 339"</f>
        <v>POTOMAC STREET THREE RIVERS LOT 339</v>
      </c>
      <c r="D385" s="1">
        <v>3484.32</v>
      </c>
    </row>
    <row r="386" spans="1:4" x14ac:dyDescent="0.3">
      <c r="A386" s="1" t="str">
        <f>"61016805200"</f>
        <v>61016805200</v>
      </c>
      <c r="B386" s="1" t="str">
        <f>"616 N ELISABETH STREET LLC"</f>
        <v>616 N ELISABETH STREET LLC</v>
      </c>
      <c r="C386" s="1" t="str">
        <f>"SMOKEY ROW MANOR SHALLOWFORD AVE LOT 150"</f>
        <v>SMOKEY ROW MANOR SHALLOWFORD AVE LOT 150</v>
      </c>
      <c r="D386" s="1">
        <v>8047.41</v>
      </c>
    </row>
    <row r="387" spans="1:4" x14ac:dyDescent="0.3">
      <c r="A387" s="1" t="str">
        <f>"57017922600"</f>
        <v>57017922600</v>
      </c>
      <c r="B387" s="1" t="str">
        <f>"616 N ELISABETH STREET LLC"</f>
        <v>616 N ELISABETH STREET LLC</v>
      </c>
      <c r="C387" s="1" t="str">
        <f>"TURQUOISE DR STONERIDGE NO 5 LOT 475"</f>
        <v>TURQUOISE DR STONERIDGE NO 5 LOT 475</v>
      </c>
      <c r="D387" s="1">
        <v>1171.27</v>
      </c>
    </row>
    <row r="388" spans="1:4" x14ac:dyDescent="0.3">
      <c r="A388" s="1" t="str">
        <f>"24100095000"</f>
        <v>24100095000</v>
      </c>
      <c r="B388" s="1" t="str">
        <f>"616 N ELISABETH STREET LLC"</f>
        <v>616 N ELISABETH STREET LLC</v>
      </c>
      <c r="C388" s="1" t="str">
        <f>"ACADEMY DRIVE WESTPOINT WEST LOT 12"</f>
        <v>ACADEMY DRIVE WESTPOINT WEST LOT 12</v>
      </c>
      <c r="D388" s="1">
        <v>3425.58</v>
      </c>
    </row>
    <row r="389" spans="1:4" x14ac:dyDescent="0.3">
      <c r="A389" s="1" t="str">
        <f>"06000384600"</f>
        <v>06000384600</v>
      </c>
      <c r="B389" s="1" t="str">
        <f>"616 N ELISABETH STREET LLC"</f>
        <v>616 N ELISABETH STREET LLC</v>
      </c>
      <c r="C389" s="1" t="str">
        <f>"RYGATE DR N BRICE ESTATES 4 LOT 29"</f>
        <v>RYGATE DR N BRICE ESTATES 4 LOT 29</v>
      </c>
      <c r="D389" s="1">
        <v>4303.1099999999997</v>
      </c>
    </row>
    <row r="390" spans="1:4" x14ac:dyDescent="0.3">
      <c r="A390" s="1" t="str">
        <f>"01002286900"</f>
        <v>01002286900</v>
      </c>
      <c r="B390" s="1" t="str">
        <f>"61-63 S RICHARDSON LLC"</f>
        <v>61-63 S RICHARDSON LLC</v>
      </c>
      <c r="C390" s="1" t="str">
        <f>"LANDSCAPE LOT 241-242 "</f>
        <v xml:space="preserve">LANDSCAPE LOT 241-242 </v>
      </c>
      <c r="D390" s="1">
        <v>3674.64</v>
      </c>
    </row>
    <row r="391" spans="1:4" x14ac:dyDescent="0.3">
      <c r="A391" s="1" t="str">
        <f>"01001746900"</f>
        <v>01001746900</v>
      </c>
      <c r="B391" s="1" t="str">
        <f>"618 S 9TH LLC"</f>
        <v>618 S 9TH LLC</v>
      </c>
      <c r="C391" s="1" t="str">
        <f>"618 S 9TH ST 30 X 100 FT S W COR 19 BRYDENS 2ND"</f>
        <v>618 S 9TH ST 30 X 100 FT S W COR 19 BRYDENS 2ND</v>
      </c>
      <c r="D391" s="1">
        <v>642.54999999999995</v>
      </c>
    </row>
    <row r="392" spans="1:4" x14ac:dyDescent="0.3">
      <c r="A392" s="1" t="str">
        <f>"01000554400"</f>
        <v>01000554400</v>
      </c>
      <c r="B392" s="1" t="str">
        <f>"618-620 S OHIO AVENUE LLC"</f>
        <v>618-620 S OHIO AVENUE LLC</v>
      </c>
      <c r="C392" s="1" t="str">
        <f>"618-620 S OHIO AVE RODENFELS&amp;FALKENBACH LOT 56"</f>
        <v>618-620 S OHIO AVE RODENFELS&amp;FALKENBACH LOT 56</v>
      </c>
      <c r="D392" s="1">
        <v>8052.43</v>
      </c>
    </row>
    <row r="393" spans="1:4" x14ac:dyDescent="0.3">
      <c r="A393" s="1" t="str">
        <f>"02500381400"</f>
        <v>02500381400</v>
      </c>
      <c r="B393" s="1" t="str">
        <f>"620 LAUREL RIDGE CT LLC"</f>
        <v>620 LAUREL RIDGE CT LLC</v>
      </c>
      <c r="C393" s="1" t="str">
        <f>"83 NOB HILL DRIVE N CLIFFSIDE LOT 50"</f>
        <v>83 NOB HILL DRIVE N CLIFFSIDE LOT 50</v>
      </c>
      <c r="D393" s="1">
        <v>501.43</v>
      </c>
    </row>
    <row r="394" spans="1:4" x14ac:dyDescent="0.3">
      <c r="A394" s="1" t="str">
        <f>"01021922000"</f>
        <v>01021922000</v>
      </c>
      <c r="B394" s="1" t="str">
        <f>"6211 CLEVELAND LLC"</f>
        <v>6211 CLEVELAND LLC</v>
      </c>
      <c r="C394" s="1" t="str">
        <f>"1439 COMMUNITY PK DR NORTH HOME LOT 16 &amp; PT LOTS 10,76, 116 -119=1.887 ACRES"</f>
        <v>1439 COMMUNITY PK DR NORTH HOME LOT 16 &amp; PT LOTS 10,76, 116 -119=1.887 ACRES</v>
      </c>
      <c r="D394" s="1">
        <v>3929.04</v>
      </c>
    </row>
    <row r="395" spans="1:4" x14ac:dyDescent="0.3">
      <c r="A395" s="1" t="str">
        <f>"27300225400"</f>
        <v>27300225400</v>
      </c>
      <c r="B395" s="1" t="str">
        <f>"6287 TARA HILL LLC"</f>
        <v>6287 TARA HILL LLC</v>
      </c>
      <c r="C395" s="1" t="str">
        <f>"5350 SHANNON PARK DR SHANNON PK SEC 2 PH2 LOT 145"</f>
        <v>5350 SHANNON PARK DR SHANNON PK SEC 2 PH2 LOT 145</v>
      </c>
      <c r="D395" s="1">
        <v>289.85000000000002</v>
      </c>
    </row>
    <row r="396" spans="1:4" x14ac:dyDescent="0.3">
      <c r="A396" s="1" t="str">
        <f>"18000184000"</f>
        <v>18000184000</v>
      </c>
      <c r="B396" s="1" t="str">
        <f>"6380 ADELAIDE COURT LLC"</f>
        <v>6380 ADELAIDE COURT LLC</v>
      </c>
      <c r="C396" s="1" t="str">
        <f>"ALUM CREEK DR AIR HAVEN ESTATES PT LOT 1= 0.0729 ACRE"</f>
        <v>ALUM CREEK DR AIR HAVEN ESTATES PT LOT 1= 0.0729 ACRE</v>
      </c>
      <c r="D396" s="1">
        <v>16.86</v>
      </c>
    </row>
    <row r="397" spans="1:4" x14ac:dyDescent="0.3">
      <c r="A397" s="1" t="str">
        <f>"04001182200"</f>
        <v>04001182200</v>
      </c>
      <c r="B397" s="1" t="str">
        <f>"6395 SLEEPY MEADOW DRIVE LLC, WHITE TAMARA D"</f>
        <v>6395 SLEEPY MEADOW DRIVE LLC, WHITE TAMARA D</v>
      </c>
      <c r="C397" s="1" t="str">
        <f>"VILLAGE AT SCIOTO MEADOWS CONDOMINIUM 7TH AMD BLDG 1 UNIT 1-6395"</f>
        <v>VILLAGE AT SCIOTO MEADOWS CONDOMINIUM 7TH AMD BLDG 1 UNIT 1-6395</v>
      </c>
      <c r="D397" s="1">
        <v>152.26</v>
      </c>
    </row>
    <row r="398" spans="1:4" x14ac:dyDescent="0.3">
      <c r="A398" s="1" t="str">
        <f>"06000517900"</f>
        <v>06000517900</v>
      </c>
      <c r="B398" s="1" t="str">
        <f>"6470 MAIN LLC"</f>
        <v>6470 MAIN LLC</v>
      </c>
      <c r="C398" s="1" t="str">
        <f>"1.20 AC R21 T12 S12-13 1/4S17-30 LOT SUB 1"</f>
        <v>1.20 AC R21 T12 S12-13 1/4S17-30 LOT SUB 1</v>
      </c>
      <c r="D398" s="1">
        <v>16019.26</v>
      </c>
    </row>
    <row r="399" spans="1:4" x14ac:dyDescent="0.3">
      <c r="A399" s="1" t="str">
        <f>"01001753200"</f>
        <v>01001753200</v>
      </c>
      <c r="B399" s="1" t="str">
        <f>"65 E NORWICH AVENUE LLC"</f>
        <v>65 E NORWICH AVENUE LLC</v>
      </c>
      <c r="C399" s="1" t="str">
        <f>"FRITTERS BAKER ETAL LOT 17 "</f>
        <v xml:space="preserve">FRITTERS BAKER ETAL LOT 17 </v>
      </c>
      <c r="D399" s="1">
        <v>3030.21</v>
      </c>
    </row>
    <row r="400" spans="1:4" x14ac:dyDescent="0.3">
      <c r="A400" s="1" t="str">
        <f>"06000887900"</f>
        <v>06000887900</v>
      </c>
      <c r="B400" s="1" t="str">
        <f>"6502 HOLDINGS LLC"</f>
        <v>6502 HOLDINGS LLC</v>
      </c>
      <c r="C400" s="1" t="str">
        <f>"6502 E MAIN ST WEIBERGS ROSE HILL MID ES LOT 1=0.3135 ACRE"</f>
        <v>6502 E MAIN ST WEIBERGS ROSE HILL MID ES LOT 1=0.3135 ACRE</v>
      </c>
      <c r="D400" s="1">
        <v>351.07</v>
      </c>
    </row>
    <row r="401" spans="1:4" x14ac:dyDescent="0.3">
      <c r="A401" s="1" t="str">
        <f>"01004780300"</f>
        <v>01004780300</v>
      </c>
      <c r="B401" s="1" t="str">
        <f>"65-67 S OGDEN AVE LLC"</f>
        <v>65-67 S OGDEN AVE LLC</v>
      </c>
      <c r="C401" s="1" t="str">
        <f>"65-7 OGDEN AVE WICKLOW LOT 240"</f>
        <v>65-7 OGDEN AVE WICKLOW LOT 240</v>
      </c>
      <c r="D401" s="1">
        <v>3026.06</v>
      </c>
    </row>
    <row r="402" spans="1:4" x14ac:dyDescent="0.3">
      <c r="A402" s="1" t="str">
        <f>"01000094900"</f>
        <v>01000094900</v>
      </c>
      <c r="B402" s="1" t="str">
        <f>"6567 WOODRUFF LLC"</f>
        <v>6567 WOODRUFF LLC</v>
      </c>
      <c r="C402" s="1" t="str">
        <f>"65-67 E WOODRUFF AVE INDIANOLA FOREST LOT 128"</f>
        <v>65-67 E WOODRUFF AVE INDIANOLA FOREST LOT 128</v>
      </c>
      <c r="D402" s="1">
        <v>10561.89</v>
      </c>
    </row>
    <row r="403" spans="1:4" x14ac:dyDescent="0.3">
      <c r="A403" s="1" t="str">
        <f>"01023324200"</f>
        <v>01023324200</v>
      </c>
      <c r="B403" s="1" t="str">
        <f>"674 BINNS BOULEVARD LLC"</f>
        <v>674 BINNS BOULEVARD LLC</v>
      </c>
      <c r="C403" s="1" t="str">
        <f>"MCNEILL FARMS EAST CONDOMINIUM 13TH AMD UNIT 78C"</f>
        <v>MCNEILL FARMS EAST CONDOMINIUM 13TH AMD UNIT 78C</v>
      </c>
      <c r="D403" s="1">
        <v>1310.77</v>
      </c>
    </row>
    <row r="404" spans="1:4" x14ac:dyDescent="0.3">
      <c r="A404" s="1" t="str">
        <f>"18400304300"</f>
        <v>18400304300</v>
      </c>
      <c r="B404" s="1" t="str">
        <f>"6790 THRUSH DRIVE LLC"</f>
        <v>6790 THRUSH DRIVE LLC</v>
      </c>
      <c r="C404" s="1" t="str">
        <f>"WINCHESTER SPORTS &amp; HEALTH CONDOMINIUM UNIT 2"</f>
        <v>WINCHESTER SPORTS &amp; HEALTH CONDOMINIUM UNIT 2</v>
      </c>
      <c r="D404" s="1">
        <v>698.37</v>
      </c>
    </row>
    <row r="405" spans="1:4" x14ac:dyDescent="0.3">
      <c r="A405" s="1" t="str">
        <f>"14000399400"</f>
        <v>14000399400</v>
      </c>
      <c r="B405" s="1" t="str">
        <f>"68 WHISKEY LIMITED"</f>
        <v>68 WHISKEY LIMITED</v>
      </c>
      <c r="C405" s="1" t="str">
        <f>"1698 BROWN RD JOHN P HAAGS FIRST LOT 10 PT AL VAC ADJ"</f>
        <v>1698 BROWN RD JOHN P HAAGS FIRST LOT 10 PT AL VAC ADJ</v>
      </c>
      <c r="D405" s="1">
        <v>274.49</v>
      </c>
    </row>
    <row r="406" spans="1:4" x14ac:dyDescent="0.3">
      <c r="A406" s="1" t="str">
        <f>"01002279300"</f>
        <v>01002279300</v>
      </c>
      <c r="B406" s="1" t="str">
        <f>"69 E 11TH AVENUE LLC"</f>
        <v>69 E 11TH AVENUE LLC</v>
      </c>
      <c r="C406" s="1" t="str">
        <f>"24-26 W 10TH AVE COLLEGE PLACE LOT 20"</f>
        <v>24-26 W 10TH AVE COLLEGE PLACE LOT 20</v>
      </c>
      <c r="D406" s="1">
        <v>6529.12</v>
      </c>
    </row>
    <row r="407" spans="1:4" x14ac:dyDescent="0.3">
      <c r="A407" s="1" t="str">
        <f>"01028268500"</f>
        <v>01028268500</v>
      </c>
      <c r="B407" s="1" t="str">
        <f>"7 HANCOCK COURT LLC"</f>
        <v>7 HANCOCK COURT LLC</v>
      </c>
      <c r="C407" s="1" t="str">
        <f>"S WALL ST                 JAEGER                    1.42'EL,71.43'SL SE LT162"</f>
        <v>S WALL ST                 JAEGER                    1.42'EL,71.43'SL SE LT162</v>
      </c>
      <c r="D407" s="1">
        <v>144.91999999999999</v>
      </c>
    </row>
    <row r="408" spans="1:4" x14ac:dyDescent="0.3">
      <c r="A408" s="1" t="str">
        <f>"01011742700"</f>
        <v>01011742700</v>
      </c>
      <c r="B408" s="1" t="str">
        <f>"705 RIVERVIEW DRIVE LLC"</f>
        <v>705 RIVERVIEW DRIVE LLC</v>
      </c>
      <c r="C408" s="1" t="str">
        <f>"RIVERVIEW DRIVE COLWELLS RIVERVIEW PARCELS LOT 32"</f>
        <v>RIVERVIEW DRIVE COLWELLS RIVERVIEW PARCELS LOT 32</v>
      </c>
      <c r="D408" s="1">
        <v>2143.46</v>
      </c>
    </row>
    <row r="409" spans="1:4" x14ac:dyDescent="0.3">
      <c r="A409" s="1" t="str">
        <f>"04001358400"</f>
        <v>04001358400</v>
      </c>
      <c r="B409" s="1" t="str">
        <f>"707 PONDVIEW DRIVE LLC"</f>
        <v>707 PONDVIEW DRIVE LLC</v>
      </c>
      <c r="C409" s="1" t="str">
        <f>"VILLAGE AT SCIOTO MEADOWS CONDO 10TH AMD BLDG 36 UNIT 36-707"</f>
        <v>VILLAGE AT SCIOTO MEADOWS CONDO 10TH AMD BLDG 36 UNIT 36-707</v>
      </c>
      <c r="D409" s="1">
        <v>144.13</v>
      </c>
    </row>
    <row r="410" spans="1:4" x14ac:dyDescent="0.3">
      <c r="A410" s="1" t="str">
        <f>"01018005600"</f>
        <v>01018005600</v>
      </c>
      <c r="B410" s="1" t="str">
        <f>"730 PROPERTY LLC"</f>
        <v>730 PROPERTY LLC</v>
      </c>
      <c r="C410" s="1" t="str">
        <f>"730 MOHAWK ST FRANKFORT MOHAWK CONDO UNIT 730 FRONT"</f>
        <v>730 MOHAWK ST FRANKFORT MOHAWK CONDO UNIT 730 FRONT</v>
      </c>
      <c r="D410" s="1">
        <v>4749.91</v>
      </c>
    </row>
    <row r="411" spans="1:4" x14ac:dyDescent="0.3">
      <c r="A411" s="1" t="str">
        <f>"22200345800"</f>
        <v>22200345800</v>
      </c>
      <c r="B411" s="1" t="str">
        <f>"7300 WATERSTON NEW ALBANY LLC"</f>
        <v>7300 WATERSTON NEW ALBANY LLC</v>
      </c>
      <c r="C411" s="1" t="str">
        <f>"WATERSTON NEW ALBANY COUNTRY CLUB SECTION 17 LOT 25"</f>
        <v>WATERSTON NEW ALBANY COUNTRY CLUB SECTION 17 LOT 25</v>
      </c>
      <c r="D411" s="1">
        <v>18827.46</v>
      </c>
    </row>
    <row r="412" spans="1:4" x14ac:dyDescent="0.3">
      <c r="A412" s="1" t="str">
        <f>"02000002100"</f>
        <v>02000002100</v>
      </c>
      <c r="B412" s="1" t="str">
        <f>"736-738 SHERIDAN AVENUE LLC"</f>
        <v>736-738 SHERIDAN AVENUE LLC</v>
      </c>
      <c r="C412" s="1" t="str">
        <f>"736 SHERIDAN AVE BEXLEY DR 2 LOT 19 &amp; PT ST VAC"</f>
        <v>736 SHERIDAN AVE BEXLEY DR 2 LOT 19 &amp; PT ST VAC</v>
      </c>
      <c r="D412" s="1">
        <v>7986.3</v>
      </c>
    </row>
    <row r="413" spans="1:4" x14ac:dyDescent="0.3">
      <c r="A413" s="1" t="str">
        <f>"01000902700"</f>
        <v>01000902700</v>
      </c>
      <c r="B413" s="1" t="str">
        <f>"75 EUCLID AVENUE LLC"</f>
        <v>75 EUCLID AVENUE LLC</v>
      </c>
      <c r="C413" s="1" t="str">
        <f>"75 EUCLID AVE             MARZETTI                  LOT 19                   "</f>
        <v xml:space="preserve">75 EUCLID AVE             MARZETTI                  LOT 19                   </v>
      </c>
      <c r="D413" s="1">
        <v>1791.59</v>
      </c>
    </row>
    <row r="414" spans="1:4" x14ac:dyDescent="0.3">
      <c r="A414" s="1" t="str">
        <f>"01002227800"</f>
        <v>01002227800</v>
      </c>
      <c r="B414" s="1" t="str">
        <f>"75 WEST PATTERSON LLC"</f>
        <v>75 WEST PATTERSON LLC</v>
      </c>
      <c r="C414" s="1" t="str">
        <f>"75 W PATTERSON MT AUBURN LOT 93"</f>
        <v>75 W PATTERSON MT AUBURN LOT 93</v>
      </c>
      <c r="D414" s="1">
        <v>135.1</v>
      </c>
    </row>
    <row r="415" spans="1:4" x14ac:dyDescent="0.3">
      <c r="A415" s="1" t="str">
        <f>"61014642600"</f>
        <v>61014642600</v>
      </c>
      <c r="B415" s="1" t="str">
        <f>"7520 WORTHINGTON GALENA ROAD LLC"</f>
        <v>7520 WORTHINGTON GALENA ROAD LLC</v>
      </c>
      <c r="C415" s="1" t="str">
        <f>"7520-550 WORTH WOODS 0.858 ACRES "</f>
        <v xml:space="preserve">7520-550 WORTH WOODS 0.858 ACRES </v>
      </c>
      <c r="D415" s="1">
        <v>15406.92</v>
      </c>
    </row>
    <row r="416" spans="1:4" x14ac:dyDescent="0.3">
      <c r="A416" s="1" t="str">
        <f>"27300859200"</f>
        <v>27300859200</v>
      </c>
      <c r="B416" s="1" t="str">
        <f>"7591 RIVERSIDE DRIVE LLC"</f>
        <v>7591 RIVERSIDE DRIVE LLC</v>
      </c>
      <c r="C416" s="1" t="str">
        <f>"COLS &amp; DELAWARE PIKE R19 T2 1/4 T2 0.711 ACRE LOT 10-18"</f>
        <v>COLS &amp; DELAWARE PIKE R19 T2 1/4 T2 0.711 ACRE LOT 10-18</v>
      </c>
      <c r="D416" s="1">
        <v>1699.61</v>
      </c>
    </row>
    <row r="417" spans="1:4" x14ac:dyDescent="0.3">
      <c r="A417" s="1" t="str">
        <f>"06000855400"</f>
        <v>06000855400</v>
      </c>
      <c r="B417" s="1" t="str">
        <f>"7626 COMPANY LLC"</f>
        <v>7626 COMPANY LLC</v>
      </c>
      <c r="C417" s="1" t="str">
        <f>"SLATE RIDGE OFFICE PARK CONDOMINIUM 2ND AMD UNIT 7624 BLDG 4"</f>
        <v>SLATE RIDGE OFFICE PARK CONDOMINIUM 2ND AMD UNIT 7624 BLDG 4</v>
      </c>
      <c r="D417" s="1">
        <v>113.61</v>
      </c>
    </row>
    <row r="418" spans="1:4" x14ac:dyDescent="0.3">
      <c r="A418" s="1" t="str">
        <f>"06000855500"</f>
        <v>06000855500</v>
      </c>
      <c r="B418" s="1" t="str">
        <f>"7626 COMPANY LLC"</f>
        <v>7626 COMPANY LLC</v>
      </c>
      <c r="C418" s="1" t="str">
        <f>"SLATE RIDGE OFFICE PARK CONDOMINIUM 2ND AMD UNIT 7626 BLDG 4"</f>
        <v>SLATE RIDGE OFFICE PARK CONDOMINIUM 2ND AMD UNIT 7626 BLDG 4</v>
      </c>
      <c r="D418" s="1">
        <v>261.88</v>
      </c>
    </row>
    <row r="419" spans="1:4" x14ac:dyDescent="0.3">
      <c r="A419" s="1" t="str">
        <f>"06000011600"</f>
        <v>06000011600</v>
      </c>
      <c r="B419" s="1" t="str">
        <f>"7657 FREEDOM LLC"</f>
        <v>7657 FREEDOM LLC</v>
      </c>
      <c r="C419" s="1" t="str">
        <f>"MAIN ST C KRAFTS 2 "</f>
        <v xml:space="preserve">MAIN ST C KRAFTS 2 </v>
      </c>
      <c r="D419" s="1">
        <v>507.9</v>
      </c>
    </row>
    <row r="420" spans="1:4" x14ac:dyDescent="0.3">
      <c r="A420" s="1" t="str">
        <f>"01007308800"</f>
        <v>01007308800</v>
      </c>
      <c r="B420" s="1" t="str">
        <f>"766 EAST HUDSON ST LLC"</f>
        <v>766 EAST HUDSON ST LLC</v>
      </c>
      <c r="C420" s="1" t="str">
        <f>"766 E HUDSON ST ALMADA LOT 2-3"</f>
        <v>766 E HUDSON ST ALMADA LOT 2-3</v>
      </c>
      <c r="D420" s="1">
        <v>617.36</v>
      </c>
    </row>
    <row r="421" spans="1:4" x14ac:dyDescent="0.3">
      <c r="A421" s="1" t="str">
        <f>"22200103000"</f>
        <v>22200103000</v>
      </c>
      <c r="B421" s="1" t="str">
        <f>"7670 GOODRICH LLC"</f>
        <v>7670 GOODRICH LLC</v>
      </c>
      <c r="C421" s="1" t="str">
        <f>"THE NEW ALBANY COUNTRY CLUB SEC 3 LOT 94"</f>
        <v>THE NEW ALBANY COUNTRY CLUB SEC 3 LOT 94</v>
      </c>
      <c r="D421" s="1">
        <v>17369.53</v>
      </c>
    </row>
    <row r="422" spans="1:4" x14ac:dyDescent="0.3">
      <c r="A422" s="1" t="str">
        <f>"61020397100"</f>
        <v>61020397100</v>
      </c>
      <c r="B422" s="1" t="str">
        <f>"7720 RIVERS EDGE LLC"</f>
        <v>7720 RIVERS EDGE LLC</v>
      </c>
      <c r="C422" s="1" t="str">
        <f>"MASON PLACE MASON OFFICE PARK PT LT 3=2.271 ACS"</f>
        <v>MASON PLACE MASON OFFICE PARK PT LT 3=2.271 ACS</v>
      </c>
      <c r="D422" s="1">
        <v>3105.72</v>
      </c>
    </row>
    <row r="423" spans="1:4" x14ac:dyDescent="0.3">
      <c r="A423" s="1" t="str">
        <f>"01000809000"</f>
        <v>01000809000</v>
      </c>
      <c r="B423" s="1" t="str">
        <f>"785 JENKINS LLC"</f>
        <v>785 JENKINS LLC</v>
      </c>
      <c r="C423" s="1" t="str">
        <f>"769 FREBIS AVE 1.06 ACRES LOT B MERION EXRS"</f>
        <v>769 FREBIS AVE 1.06 ACRES LOT B MERION EXRS</v>
      </c>
      <c r="D423" s="1">
        <v>688.7</v>
      </c>
    </row>
    <row r="424" spans="1:4" x14ac:dyDescent="0.3">
      <c r="A424" s="1" t="str">
        <f>"01001671400"</f>
        <v>01001671400</v>
      </c>
      <c r="B424" s="1" t="str">
        <f>"791 PARK STREET LLC"</f>
        <v>791 PARK STREET LLC</v>
      </c>
      <c r="C424" s="1" t="str">
        <f>"791-3 N PARK ST           HUTCHESON                 LOT 22                   "</f>
        <v xml:space="preserve">791-3 N PARK ST           HUTCHESON                 LOT 22                   </v>
      </c>
      <c r="D424" s="1">
        <v>5451.91</v>
      </c>
    </row>
    <row r="425" spans="1:4" x14ac:dyDescent="0.3">
      <c r="A425" s="1" t="str">
        <f>"01000498400"</f>
        <v>01000498400</v>
      </c>
      <c r="B425" s="1" t="str">
        <f>"798-800 OAK STREET LLC"</f>
        <v>798-800 OAK STREET LLC</v>
      </c>
      <c r="C425" s="1" t="str">
        <f>"800 OAK ST S BARTLETT LOT 38"</f>
        <v>800 OAK ST S BARTLETT LOT 38</v>
      </c>
      <c r="D425" s="1">
        <v>257.27</v>
      </c>
    </row>
    <row r="426" spans="1:4" x14ac:dyDescent="0.3">
      <c r="A426" s="1" t="str">
        <f>"01001960800"</f>
        <v>01001960800</v>
      </c>
      <c r="B426" s="1" t="str">
        <f>"8 + 1 LLC"</f>
        <v>8 + 1 LLC</v>
      </c>
      <c r="C426" s="1" t="str">
        <f>"SINKS &amp; HOOVER LOTS 40 &amp; 41 PT VAC ALLEY"</f>
        <v>SINKS &amp; HOOVER LOTS 40 &amp; 41 PT VAC ALLEY</v>
      </c>
      <c r="D426" s="1">
        <v>366.34</v>
      </c>
    </row>
    <row r="427" spans="1:4" x14ac:dyDescent="0.3">
      <c r="A427" s="1" t="str">
        <f>"02500717600"</f>
        <v>02500717600</v>
      </c>
      <c r="B427" s="1" t="str">
        <f>"801 LINDENHAVEN LLC"</f>
        <v>801 LINDENHAVEN LLC</v>
      </c>
      <c r="C427" s="1" t="str">
        <f>"801 LINDENHAVEN ROAD WOODSIDE GREEN SEC 4-C LOT 58"</f>
        <v>801 LINDENHAVEN ROAD WOODSIDE GREEN SEC 4-C LOT 58</v>
      </c>
      <c r="D427" s="1">
        <v>3650.98</v>
      </c>
    </row>
    <row r="428" spans="1:4" x14ac:dyDescent="0.3">
      <c r="A428" s="1" t="str">
        <f>"17100193800"</f>
        <v>17100193800</v>
      </c>
      <c r="B428" s="1" t="str">
        <f>"8057 NARROW LEAF LLC"</f>
        <v>8057 NARROW LEAF LLC</v>
      </c>
      <c r="C428" s="1" t="str">
        <f>"MORRISON FARMS EAST SECTION 2 LOT 75"</f>
        <v>MORRISON FARMS EAST SECTION 2 LOT 75</v>
      </c>
      <c r="D428" s="1">
        <v>9466.67</v>
      </c>
    </row>
    <row r="429" spans="1:4" x14ac:dyDescent="0.3">
      <c r="A429" s="1" t="str">
        <f>"01005128700"</f>
        <v>01005128700</v>
      </c>
      <c r="B429" s="1" t="str">
        <f>"809 INVESTMENT GROUP LLC"</f>
        <v>809 INVESTMENT GROUP LLC</v>
      </c>
      <c r="C429" s="1" t="str">
        <f>"SULLIVANT AVE BRONX LOT 305"</f>
        <v>SULLIVANT AVE BRONX LOT 305</v>
      </c>
      <c r="D429" s="1">
        <v>1384.09</v>
      </c>
    </row>
    <row r="430" spans="1:4" x14ac:dyDescent="0.3">
      <c r="A430" s="1" t="str">
        <f>"01005128500"</f>
        <v>01005128500</v>
      </c>
      <c r="B430" s="1" t="str">
        <f>"809 INVESTMENT GROUP LLC"</f>
        <v>809 INVESTMENT GROUP LLC</v>
      </c>
      <c r="C430" s="1" t="str">
        <f>"SULLIVANT AVE BRONX LOT 303"</f>
        <v>SULLIVANT AVE BRONX LOT 303</v>
      </c>
      <c r="D430" s="1">
        <v>590.48</v>
      </c>
    </row>
    <row r="431" spans="1:4" x14ac:dyDescent="0.3">
      <c r="A431" s="1" t="str">
        <f>"01005128600"</f>
        <v>01005128600</v>
      </c>
      <c r="B431" s="1" t="str">
        <f>"809 INVESTMENT GROUP LLC"</f>
        <v>809 INVESTMENT GROUP LLC</v>
      </c>
      <c r="C431" s="1" t="str">
        <f>"SULLIVANT AVE BRONX LOT 304"</f>
        <v>SULLIVANT AVE BRONX LOT 304</v>
      </c>
      <c r="D431" s="1">
        <v>1529.72</v>
      </c>
    </row>
    <row r="432" spans="1:4" x14ac:dyDescent="0.3">
      <c r="A432" s="1" t="str">
        <f>"01003199900"</f>
        <v>01003199900</v>
      </c>
      <c r="B432" s="1" t="str">
        <f>"823 CAMPBELL LLC"</f>
        <v>823 CAMPBELL LLC</v>
      </c>
      <c r="C432" s="1" t="str">
        <f>"OSBORN PL LOT 290  "</f>
        <v xml:space="preserve">OSBORN PL LOT 290  </v>
      </c>
      <c r="D432" s="1">
        <v>2237.44</v>
      </c>
    </row>
    <row r="433" spans="1:4" x14ac:dyDescent="0.3">
      <c r="A433" s="1" t="str">
        <f>"01005503900"</f>
        <v>01005503900</v>
      </c>
      <c r="B433" s="1" t="str">
        <f>"8298 LLC"</f>
        <v>8298 LLC</v>
      </c>
      <c r="C433" s="1" t="str">
        <f>"211-17 N 5TH ST MCKEE HRS LOT 6-7-8"</f>
        <v>211-17 N 5TH ST MCKEE HRS LOT 6-7-8</v>
      </c>
      <c r="D433" s="1">
        <v>876.61</v>
      </c>
    </row>
    <row r="434" spans="1:4" x14ac:dyDescent="0.3">
      <c r="A434" s="1" t="str">
        <f>"16100086200"</f>
        <v>16100086200</v>
      </c>
      <c r="B434" s="1" t="str">
        <f>"8400 URBANCREST LLC"</f>
        <v>8400 URBANCREST LLC</v>
      </c>
      <c r="C434" s="1" t="str">
        <f>"MAPLE ST URBANCREST 1 BLK 7"</f>
        <v>MAPLE ST URBANCREST 1 BLK 7</v>
      </c>
      <c r="D434" s="1">
        <v>62.35</v>
      </c>
    </row>
    <row r="435" spans="1:4" x14ac:dyDescent="0.3">
      <c r="A435" s="1" t="str">
        <f>"24100020400"</f>
        <v>24100020400</v>
      </c>
      <c r="B435" s="1" t="str">
        <f>"8450 DELLINGER LLC"</f>
        <v>8450 DELLINGER LLC</v>
      </c>
      <c r="C435" s="1" t="str">
        <f>"8450 DELLINGER ROAD ENTRY 2605 0.801 ACRE"</f>
        <v>8450 DELLINGER ROAD ENTRY 2605 0.801 ACRE</v>
      </c>
      <c r="D435" s="1">
        <v>6022.63</v>
      </c>
    </row>
    <row r="436" spans="1:4" x14ac:dyDescent="0.3">
      <c r="A436" s="1" t="str">
        <f>"01003037100"</f>
        <v>01003037100</v>
      </c>
      <c r="B436" s="1" t="str">
        <f>"848 NORTH PEARL LLC"</f>
        <v>848 NORTH PEARL LLC</v>
      </c>
      <c r="C436" s="1" t="str">
        <f>"842 PEARL ST 33 FT        S E W R GILL              LOT 72                   "</f>
        <v xml:space="preserve">842 PEARL ST 33 FT        S E W R GILL              LOT 72                   </v>
      </c>
      <c r="D436" s="1">
        <v>482.1</v>
      </c>
    </row>
    <row r="437" spans="1:4" x14ac:dyDescent="0.3">
      <c r="A437" s="1" t="str">
        <f>"01024117900"</f>
        <v>01024117900</v>
      </c>
      <c r="B437" s="1" t="str">
        <f>"850 DISTRIBUTION DRIVE LLC"</f>
        <v>850 DISTRIBUTION DRIVE LLC</v>
      </c>
      <c r="C437" s="1" t="str">
        <f>"850 DISTRIBUTION DR ENTRY 3316 2.354 ACRES"</f>
        <v>850 DISTRIBUTION DR ENTRY 3316 2.354 ACRES</v>
      </c>
      <c r="D437" s="1">
        <v>1583.49</v>
      </c>
    </row>
    <row r="438" spans="1:4" x14ac:dyDescent="0.3">
      <c r="A438" s="1" t="str">
        <f>"01003831000"</f>
        <v>01003831000</v>
      </c>
      <c r="B438" s="1" t="str">
        <f>"86 PRESTON ROAD LLC"</f>
        <v>86 PRESTON ROAD LLC</v>
      </c>
      <c r="C438" s="1" t="str">
        <f>"68 PRESTON RD MARION HTS LOT 36"</f>
        <v>68 PRESTON RD MARION HTS LOT 36</v>
      </c>
      <c r="D438" s="1">
        <v>1686.34</v>
      </c>
    </row>
    <row r="439" spans="1:4" x14ac:dyDescent="0.3">
      <c r="A439" s="1" t="str">
        <f>"01002463500"</f>
        <v>01002463500</v>
      </c>
      <c r="B439" s="1" t="str">
        <f>"862 CLEVELAND AVE LLC"</f>
        <v>862 CLEVELAND AVE LLC</v>
      </c>
      <c r="C439" s="1" t="str">
        <f>"CLEVELAND AVE HIGHLAND LOT 21"</f>
        <v>CLEVELAND AVE HIGHLAND LOT 21</v>
      </c>
      <c r="D439" s="1">
        <v>19.95</v>
      </c>
    </row>
    <row r="440" spans="1:4" x14ac:dyDescent="0.3">
      <c r="A440" s="1" t="str">
        <f>"01002463300"</f>
        <v>01002463300</v>
      </c>
      <c r="B440" s="1" t="str">
        <f>"862 CLEVELAND AVE LLC"</f>
        <v>862 CLEVELAND AVE LLC</v>
      </c>
      <c r="C440" s="1" t="str">
        <f>"866 CLEVELAND AVE HIGHLAND WS LT 19=0.0259 ACRE"</f>
        <v>866 CLEVELAND AVE HIGHLAND WS LT 19=0.0259 ACRE</v>
      </c>
      <c r="D440" s="1">
        <v>4.67</v>
      </c>
    </row>
    <row r="441" spans="1:4" x14ac:dyDescent="0.3">
      <c r="A441" s="1" t="str">
        <f>"61017176300"</f>
        <v>61017176300</v>
      </c>
      <c r="B441" s="1" t="str">
        <f>"8736 LACONIA DR LLC"</f>
        <v>8736 LACONIA DR LLC</v>
      </c>
      <c r="C441" s="1" t="str">
        <f>"LACONIA DRIVE SMOKY RIDGE ESTATES SEC ONE LOT 82"</f>
        <v>LACONIA DRIVE SMOKY RIDGE ESTATES SEC ONE LOT 82</v>
      </c>
      <c r="D441" s="1">
        <v>1950.38</v>
      </c>
    </row>
    <row r="442" spans="1:4" x14ac:dyDescent="0.3">
      <c r="A442" s="1" t="str">
        <f>"01008226200"</f>
        <v>01008226200</v>
      </c>
      <c r="B442" s="1" t="str">
        <f>"877 ENB LLC"</f>
        <v>877 ENB LLC</v>
      </c>
      <c r="C442" s="1" t="str">
        <f>"N BROADWAY ENOCHS &amp; MCKEES N BROADWAY LOT 31"</f>
        <v>N BROADWAY ENOCHS &amp; MCKEES N BROADWAY LOT 31</v>
      </c>
      <c r="D442" s="1">
        <v>1068.3499999999999</v>
      </c>
    </row>
    <row r="443" spans="1:4" x14ac:dyDescent="0.3">
      <c r="A443" s="1" t="str">
        <f>"01006686100"</f>
        <v>01006686100</v>
      </c>
      <c r="B443" s="1" t="str">
        <f>"87-99 SOUTH CHAMPION HOLDINGS LLC"</f>
        <v>87-99 SOUTH CHAMPION HOLDINGS LLC</v>
      </c>
      <c r="C443" s="1" t="str">
        <f>"87-99 S CHAMPION AVE HOFFMAN &amp; MCGREW LOT 288-9-290"</f>
        <v>87-99 S CHAMPION AVE HOFFMAN &amp; MCGREW LOT 288-9-290</v>
      </c>
      <c r="D443" s="1">
        <v>967.22</v>
      </c>
    </row>
    <row r="444" spans="1:4" x14ac:dyDescent="0.3">
      <c r="A444" s="1" t="str">
        <f>"19100037100"</f>
        <v>19100037100</v>
      </c>
      <c r="B444" s="1" t="str">
        <f>"900 HOLDINGS LLC"</f>
        <v>900 HOLDINGS LLC</v>
      </c>
      <c r="C444" s="1" t="str">
        <f>"3755 ABERDEEN AVE LEONARD PARK LOT 12 PT 11 BLK C"</f>
        <v>3755 ABERDEEN AVE LEONARD PARK LOT 12 PT 11 BLK C</v>
      </c>
      <c r="D444" s="1">
        <v>747.91</v>
      </c>
    </row>
    <row r="445" spans="1:4" x14ac:dyDescent="0.3">
      <c r="A445" s="1" t="str">
        <f>"19100037400"</f>
        <v>19100037400</v>
      </c>
      <c r="B445" s="1" t="str">
        <f>"900 HOLDINGS LLC"</f>
        <v>900 HOLDINGS LLC</v>
      </c>
      <c r="C445" s="1" t="str">
        <f>"ABERDEEN AVE LEONARD PARK LOT 15 BLK C"</f>
        <v>ABERDEEN AVE LEONARD PARK LOT 15 BLK C</v>
      </c>
      <c r="D445" s="1">
        <v>585.55999999999995</v>
      </c>
    </row>
    <row r="446" spans="1:4" x14ac:dyDescent="0.3">
      <c r="A446" s="1" t="str">
        <f>"01010443700"</f>
        <v>01010443700</v>
      </c>
      <c r="B446" s="1" t="str">
        <f>"911 STELZER ROAD LLC"</f>
        <v>911 STELZER ROAD LLC</v>
      </c>
      <c r="C446" s="1" t="str">
        <f>"ELEVENTH AVE AIRWAY INDUSTRIAL PK LOT 1"</f>
        <v>ELEVENTH AVE AIRWAY INDUSTRIAL PK LOT 1</v>
      </c>
      <c r="D446" s="1">
        <v>6586.36</v>
      </c>
    </row>
    <row r="447" spans="1:4" x14ac:dyDescent="0.3">
      <c r="A447" s="1" t="str">
        <f>"01010443800"</f>
        <v>01010443800</v>
      </c>
      <c r="B447" s="1" t="str">
        <f>"911 STELZER ROAD LLC"</f>
        <v>911 STELZER ROAD LLC</v>
      </c>
      <c r="C447" s="1" t="str">
        <f>"ELEVENTH AVE AIRWAY INDUSTRIAL PK LOT RES A .018 ACRE"</f>
        <v>ELEVENTH AVE AIRWAY INDUSTRIAL PK LOT RES A .018 ACRE</v>
      </c>
      <c r="D447" s="1">
        <v>2.48</v>
      </c>
    </row>
    <row r="448" spans="1:4" x14ac:dyDescent="0.3">
      <c r="A448" s="1" t="str">
        <f>"01002248500"</f>
        <v>01002248500</v>
      </c>
      <c r="B448" s="1" t="str">
        <f>"919 HUNTER AVENUE LLC"</f>
        <v>919 HUNTER AVENUE LLC</v>
      </c>
      <c r="C448" s="1" t="str">
        <f>"919 HUNTER ST 26.2FT SE COLLINS ATKINSON&amp; GUITNER LOT 149"</f>
        <v>919 HUNTER ST 26.2FT SE COLLINS ATKINSON&amp; GUITNER LOT 149</v>
      </c>
      <c r="D448" s="1">
        <v>5640.31</v>
      </c>
    </row>
    <row r="449" spans="1:4" x14ac:dyDescent="0.3">
      <c r="A449" s="1" t="str">
        <f>"01005597200"</f>
        <v>01005597200</v>
      </c>
      <c r="B449" s="1" t="str">
        <f>"921-923 PARSONS LLC"</f>
        <v>921-923 PARSONS LLC</v>
      </c>
      <c r="C449" s="1" t="str">
        <f>"PARSONS AVE KAMPMAN &amp; BUEHLS LOTS 1-2"</f>
        <v>PARSONS AVE KAMPMAN &amp; BUEHLS LOTS 1-2</v>
      </c>
      <c r="D449" s="1">
        <v>27.61</v>
      </c>
    </row>
    <row r="450" spans="1:4" x14ac:dyDescent="0.3">
      <c r="A450" s="1" t="str">
        <f>"01006086300"</f>
        <v>01006086300</v>
      </c>
      <c r="B450" s="1" t="str">
        <f>"924 E 18TH AVE LLC"</f>
        <v>924 E 18TH AVE LLC</v>
      </c>
      <c r="C450" s="1" t="str">
        <f>"1526 MAYNARD AVE INNIS CREST LOT 219"</f>
        <v>1526 MAYNARD AVE INNIS CREST LOT 219</v>
      </c>
      <c r="D450" s="1">
        <v>939.03</v>
      </c>
    </row>
    <row r="451" spans="1:4" x14ac:dyDescent="0.3">
      <c r="A451" s="1" t="str">
        <f>"01007544700"</f>
        <v>01007544700</v>
      </c>
      <c r="B451" s="1" t="str">
        <f>"924 E 18TH AVE LLC"</f>
        <v>924 E 18TH AVE LLC</v>
      </c>
      <c r="C451" s="1" t="str">
        <f>"2210-16HOMESTEAD DR HOMESTEAD HTS LOT 110-111"</f>
        <v>2210-16HOMESTEAD DR HOMESTEAD HTS LOT 110-111</v>
      </c>
      <c r="D451" s="1">
        <v>3147</v>
      </c>
    </row>
    <row r="452" spans="1:4" x14ac:dyDescent="0.3">
      <c r="A452" s="1" t="str">
        <f>"08000877500"</f>
        <v>08000877500</v>
      </c>
      <c r="B452" s="1" t="str">
        <f>"924-926 EASTWIND DRIVE LLC"</f>
        <v>924-926 EASTWIND DRIVE LLC</v>
      </c>
      <c r="C452" s="1" t="str">
        <f>"EASTWIND CONDO OFF PH 2 926 EASTWIND DR UNIT 10 BLDG 2"</f>
        <v>EASTWIND CONDO OFF PH 2 926 EASTWIND DR UNIT 10 BLDG 2</v>
      </c>
      <c r="D452" s="1">
        <v>5357.1</v>
      </c>
    </row>
    <row r="453" spans="1:4" x14ac:dyDescent="0.3">
      <c r="A453" s="1" t="str">
        <f>"08000877600"</f>
        <v>08000877600</v>
      </c>
      <c r="B453" s="1" t="str">
        <f>"924-926 EASTWIND DRIVE LLC"</f>
        <v>924-926 EASTWIND DRIVE LLC</v>
      </c>
      <c r="C453" s="1" t="str">
        <f>"EASTWIND CONDO OFF PH 2 924 EASTWIND DR UNIT 11 BLDG 2"</f>
        <v>EASTWIND CONDO OFF PH 2 924 EASTWIND DR UNIT 11 BLDG 2</v>
      </c>
      <c r="D453" s="1">
        <v>4508.43</v>
      </c>
    </row>
    <row r="454" spans="1:4" x14ac:dyDescent="0.3">
      <c r="A454" s="1" t="str">
        <f>"01015235800"</f>
        <v>01015235800</v>
      </c>
      <c r="B454" s="1" t="str">
        <f>"940 ST CLAIR LLC"</f>
        <v>940 ST CLAIR LLC</v>
      </c>
      <c r="C454" s="1" t="str">
        <f>"SAVILLE ROW HYDE PARK PLAT 2 LOT 190"</f>
        <v>SAVILLE ROW HYDE PARK PLAT 2 LOT 190</v>
      </c>
      <c r="D454" s="1">
        <v>250.73</v>
      </c>
    </row>
    <row r="455" spans="1:4" x14ac:dyDescent="0.3">
      <c r="A455" s="1" t="str">
        <f>"01004241100"</f>
        <v>01004241100</v>
      </c>
      <c r="B455" s="1" t="str">
        <f>"949 E LONG LLC"</f>
        <v>949 E LONG LLC</v>
      </c>
      <c r="C455" s="1" t="str">
        <f>"949 E LONG ST 30X 122.75FT NE COR JR SWAN EXRS LOT 6"</f>
        <v>949 E LONG ST 30X 122.75FT NE COR JR SWAN EXRS LOT 6</v>
      </c>
      <c r="D455" s="1">
        <v>2650.68</v>
      </c>
    </row>
    <row r="456" spans="1:4" x14ac:dyDescent="0.3">
      <c r="A456" s="1" t="str">
        <f>"01004748500"</f>
        <v>01004748500</v>
      </c>
      <c r="B456" s="1" t="str">
        <f>"960 HUNTER AVE LLC"</f>
        <v>960 HUNTER AVE LLC</v>
      </c>
      <c r="C456" s="1" t="str">
        <f>"HUNTER AVE GREENERS 2ND SUB PT LOT 4 &amp; LOT 5 (0.108 ACRE)"</f>
        <v>HUNTER AVE GREENERS 2ND SUB PT LOT 4 &amp; LOT 5 (0.108 ACRE)</v>
      </c>
      <c r="D456" s="1">
        <v>237.89</v>
      </c>
    </row>
    <row r="457" spans="1:4" x14ac:dyDescent="0.3">
      <c r="A457" s="1" t="str">
        <f>"02000238400"</f>
        <v>02000238400</v>
      </c>
      <c r="B457" s="1" t="str">
        <f>"969 SHERIDAN AVENUE LLC"</f>
        <v>969 SHERIDAN AVENUE LLC</v>
      </c>
      <c r="C457" s="1" t="str">
        <f>"971 SHERIDAN AVE MAYFIELD PLACE LOT 3"</f>
        <v>971 SHERIDAN AVE MAYFIELD PLACE LOT 3</v>
      </c>
      <c r="D457" s="1">
        <v>2657.26</v>
      </c>
    </row>
    <row r="458" spans="1:4" x14ac:dyDescent="0.3">
      <c r="A458" s="1" t="str">
        <f>"01000350600"</f>
        <v>01000350600</v>
      </c>
      <c r="B458" s="1" t="str">
        <f>"971 CAMPBELL LLC"</f>
        <v>971 CAMPBELL LLC</v>
      </c>
      <c r="C458" s="1" t="str">
        <f>"58 EUREKA AVE BELLAIRE LOT 98"</f>
        <v>58 EUREKA AVE BELLAIRE LOT 98</v>
      </c>
      <c r="D458" s="1">
        <v>1827</v>
      </c>
    </row>
    <row r="459" spans="1:4" x14ac:dyDescent="0.3">
      <c r="A459" s="1" t="str">
        <f>"01002713700"</f>
        <v>01002713700</v>
      </c>
      <c r="B459" s="1" t="str">
        <f>"975 WEST BROAD STREET LLC"</f>
        <v>975 WEST BROAD STREET LLC</v>
      </c>
      <c r="C459" s="1" t="str">
        <f>"32 AVONDALE AVE WEST PARK LOT 115"</f>
        <v>32 AVONDALE AVE WEST PARK LOT 115</v>
      </c>
      <c r="D459" s="1">
        <v>351.49</v>
      </c>
    </row>
    <row r="460" spans="1:4" x14ac:dyDescent="0.3">
      <c r="A460" s="1" t="str">
        <f>"01005344800"</f>
        <v>01005344800</v>
      </c>
      <c r="B460" s="1" t="str">
        <f>"975 WEST BROAD STREET LLC"</f>
        <v>975 WEST BROAD STREET LLC</v>
      </c>
      <c r="C460" s="1" t="str">
        <f>"975 W BROAD ST WEST PARK ADDITION LOT 6"</f>
        <v>975 W BROAD ST WEST PARK ADDITION LOT 6</v>
      </c>
      <c r="D460" s="1">
        <v>8730.19</v>
      </c>
    </row>
    <row r="461" spans="1:4" x14ac:dyDescent="0.3">
      <c r="A461" s="1" t="str">
        <f>"01002687300"</f>
        <v>01002687300</v>
      </c>
      <c r="B461" s="1" t="str">
        <f>"977 HOWARD LLC"</f>
        <v>977 HOWARD LLC</v>
      </c>
      <c r="C461" s="1" t="str">
        <f>"977 N HOWARD STREET BIDLEMAN LOT 75 EX 27.35'SL"</f>
        <v>977 N HOWARD STREET BIDLEMAN LOT 75 EX 27.35'SL</v>
      </c>
      <c r="D461" s="1">
        <v>1077.4100000000001</v>
      </c>
    </row>
    <row r="462" spans="1:4" x14ac:dyDescent="0.3">
      <c r="A462" s="1" t="str">
        <f>"08000914000"</f>
        <v>08000914000</v>
      </c>
      <c r="B462" s="1" t="str">
        <f>"A &amp; J RENTALS LLC"</f>
        <v>A &amp; J RENTALS LLC</v>
      </c>
      <c r="C462" s="1" t="str">
        <f>"312 NORTH GATE CT WESTERVILLE CONDO TOWNHMS XXXII UNIT D"</f>
        <v>312 NORTH GATE CT WESTERVILLE CONDO TOWNHMS XXXII UNIT D</v>
      </c>
      <c r="D462" s="1">
        <v>1451.55</v>
      </c>
    </row>
    <row r="463" spans="1:4" x14ac:dyDescent="0.3">
      <c r="A463" s="1" t="str">
        <f>"01004835600"</f>
        <v>01004835600</v>
      </c>
      <c r="B463" s="1" t="str">
        <f>"A &amp; T PROPERTY MANAGEMENT LLC"</f>
        <v>A &amp; T PROPERTY MANAGEMENT LLC</v>
      </c>
      <c r="C463" s="1" t="str">
        <f>"1027 14TH AVE DREXEL PARK LOT 60-1"</f>
        <v>1027 14TH AVE DREXEL PARK LOT 60-1</v>
      </c>
      <c r="D463" s="1">
        <v>1531.79</v>
      </c>
    </row>
    <row r="464" spans="1:4" x14ac:dyDescent="0.3">
      <c r="A464" s="1" t="str">
        <f>"09000630800"</f>
        <v>09000630800</v>
      </c>
      <c r="B464" s="1" t="str">
        <f>"A AND B PROPERTIES LLC"</f>
        <v>A AND B PROPERTIES LLC</v>
      </c>
      <c r="C464" s="1" t="str">
        <f>"4092 RICKENBACKER AV OLPP 58"</f>
        <v>4092 RICKENBACKER AV OLPP 58</v>
      </c>
      <c r="D464" s="1">
        <v>2421.64</v>
      </c>
    </row>
    <row r="465" spans="1:4" x14ac:dyDescent="0.3">
      <c r="A465" s="1" t="str">
        <f>"02000441400"</f>
        <v>02000441400</v>
      </c>
      <c r="B465" s="1" t="str">
        <f>"A AND B PROPERTIES LLC"</f>
        <v>A AND B PROPERTIES LLC</v>
      </c>
      <c r="C465" s="1" t="str">
        <f>"672 SHERIDAN AVE AMBROSE C KUHNS PARC LOT 6"</f>
        <v>672 SHERIDAN AVE AMBROSE C KUHNS PARC LOT 6</v>
      </c>
      <c r="D465" s="1">
        <v>8319.17</v>
      </c>
    </row>
    <row r="466" spans="1:4" x14ac:dyDescent="0.3">
      <c r="A466" s="1" t="str">
        <f>"02500375400"</f>
        <v>02500375400</v>
      </c>
      <c r="B466" s="1" t="str">
        <f>"A AND B PROPERTIES LLC"</f>
        <v>A AND B PROPERTIES LLC</v>
      </c>
      <c r="C466" s="1" t="str">
        <f>"486-488 GOSHEN COURT GOSHEN PARK LOT 18"</f>
        <v>486-488 GOSHEN COURT GOSHEN PARK LOT 18</v>
      </c>
      <c r="D466" s="1">
        <v>7308.42</v>
      </c>
    </row>
    <row r="467" spans="1:4" x14ac:dyDescent="0.3">
      <c r="A467" s="1" t="str">
        <f>"01013815800"</f>
        <v>01013815800</v>
      </c>
      <c r="B467" s="1" t="str">
        <f>"A JONES PROPERTY LLC"</f>
        <v>A JONES PROPERTY LLC</v>
      </c>
      <c r="C467" s="1" t="str">
        <f>"SUNBURY PIKE ACRE .5 PT DALZELL E LOT 4-5-6"</f>
        <v>SUNBURY PIKE ACRE .5 PT DALZELL E LOT 4-5-6</v>
      </c>
      <c r="D467" s="1">
        <v>7357.64</v>
      </c>
    </row>
    <row r="468" spans="1:4" x14ac:dyDescent="0.3">
      <c r="A468" s="1" t="str">
        <f>"52079000300"</f>
        <v>52079000300</v>
      </c>
      <c r="B468" s="1" t="str">
        <f>"A T &amp; T WIRELESS SERVICE LEASED PROPERTY"</f>
        <v>A T &amp; T WIRELESS SERVICE LEASED PROPERTY</v>
      </c>
      <c r="C468" s="1" t="s">
        <v>10</v>
      </c>
      <c r="D468" s="1">
        <v>4.8600000000000003</v>
      </c>
    </row>
    <row r="469" spans="1:4" x14ac:dyDescent="0.3">
      <c r="A469" s="1" t="str">
        <f>"01007478600"</f>
        <v>01007478600</v>
      </c>
      <c r="B469" s="1" t="str">
        <f>"A TASTE OF TRINI BAR &amp; GRILL LLC"</f>
        <v>A TASTE OF TRINI BAR &amp; GRILL LLC</v>
      </c>
      <c r="C469" s="1" t="str">
        <f>"E HUDSON ST GRASMERE GARDENS LOT 20"</f>
        <v>E HUDSON ST GRASMERE GARDENS LOT 20</v>
      </c>
      <c r="D469" s="1">
        <v>1395.97</v>
      </c>
    </row>
    <row r="470" spans="1:4" x14ac:dyDescent="0.3">
      <c r="A470" s="1" t="str">
        <f>"01007478700"</f>
        <v>01007478700</v>
      </c>
      <c r="B470" s="1" t="str">
        <f>"A TASTE OF TRINI BAR &amp; GRILL LLC"</f>
        <v>A TASTE OF TRINI BAR &amp; GRILL LLC</v>
      </c>
      <c r="C470" s="1" t="str">
        <f>"E HUDSON ST GRASMERE GARDENS LOT 21"</f>
        <v>E HUDSON ST GRASMERE GARDENS LOT 21</v>
      </c>
      <c r="D470" s="1">
        <v>323.32</v>
      </c>
    </row>
    <row r="471" spans="1:4" x14ac:dyDescent="0.3">
      <c r="A471" s="1" t="str">
        <f>"01000705500"</f>
        <v>01000705500</v>
      </c>
      <c r="B471" s="1" t="str">
        <f>"A&amp;T PROPERTY MANAGEMENT LLC"</f>
        <v>A&amp;T PROPERTY MANAGEMENT LLC</v>
      </c>
      <c r="C471" s="1" t="str">
        <f>"658 LINWOOD AVE 20.75FTNS225&amp;17.25 FTSS226"</f>
        <v>658 LINWOOD AVE 20.75FTNS225&amp;17.25 FTSS226</v>
      </c>
      <c r="D471" s="1">
        <v>2723.92</v>
      </c>
    </row>
    <row r="472" spans="1:4" x14ac:dyDescent="0.3">
      <c r="A472" s="1" t="str">
        <f>"01001315100"</f>
        <v>01001315100</v>
      </c>
      <c r="B472" s="1" t="str">
        <f>"A1 NURSING SOLUTION LLC"</f>
        <v>A1 NURSING SOLUTION LLC</v>
      </c>
      <c r="C472" s="1" t="str">
        <f>"313 S HARRIS AVE WICKLOW EXT LOT 663"</f>
        <v>313 S HARRIS AVE WICKLOW EXT LOT 663</v>
      </c>
      <c r="D472" s="1">
        <v>42.84</v>
      </c>
    </row>
    <row r="473" spans="1:4" x14ac:dyDescent="0.3">
      <c r="A473" s="1" t="str">
        <f>"27301195400"</f>
        <v>27301195400</v>
      </c>
      <c r="B473" s="1" t="str">
        <f>"A3N LLC"</f>
        <v>A3N LLC</v>
      </c>
      <c r="C473" s="1" t="str">
        <f>"MANOR AT CRAUGHWELL       VILLAGE CONDOMINIUM       BLDG 4 UNIT 6021         "</f>
        <v xml:space="preserve">MANOR AT CRAUGHWELL       VILLAGE CONDOMINIUM       BLDG 4 UNIT 6021         </v>
      </c>
      <c r="D473" s="1">
        <v>2863.39</v>
      </c>
    </row>
    <row r="474" spans="1:4" x14ac:dyDescent="0.3">
      <c r="A474" s="1" t="str">
        <f>"01018526800"</f>
        <v>01018526800</v>
      </c>
      <c r="B474" s="1" t="str">
        <f>"AAA INVESTMENT PROPERTIES LLC"</f>
        <v>AAA INVESTMENT PROPERTIES LLC</v>
      </c>
      <c r="C474" s="1" t="str">
        <f>"MORSETOWN CT BRENTWOOD CONDO UNIT 4228 BLDG 6"</f>
        <v>MORSETOWN CT BRENTWOOD CONDO UNIT 4228 BLDG 6</v>
      </c>
      <c r="D474" s="1">
        <v>611.67999999999995</v>
      </c>
    </row>
    <row r="475" spans="1:4" x14ac:dyDescent="0.3">
      <c r="A475" s="1" t="str">
        <f>"01018523900"</f>
        <v>01018523900</v>
      </c>
      <c r="B475" s="1" t="str">
        <f>"AAA INVESTMENT PROPERTIES LLC"</f>
        <v>AAA INVESTMENT PROPERTIES LLC</v>
      </c>
      <c r="C475" s="1" t="str">
        <f>"MORSETOWN CT BRENTWOOD CONDO UNIT 3051 BLDG 3"</f>
        <v>MORSETOWN CT BRENTWOOD CONDO UNIT 3051 BLDG 3</v>
      </c>
      <c r="D475" s="1">
        <v>611.67999999999995</v>
      </c>
    </row>
    <row r="476" spans="1:4" x14ac:dyDescent="0.3">
      <c r="A476" s="1" t="str">
        <f>"01018524000"</f>
        <v>01018524000</v>
      </c>
      <c r="B476" s="1" t="str">
        <f>"AAA INVESTMENT PROPERTIES LLC"</f>
        <v>AAA INVESTMENT PROPERTIES LLC</v>
      </c>
      <c r="C476" s="1" t="str">
        <f>"MORSETOWN CT BRENTWOOD CONDO UNIT 3053 BLDG 3"</f>
        <v>MORSETOWN CT BRENTWOOD CONDO UNIT 3053 BLDG 3</v>
      </c>
      <c r="D476" s="1">
        <v>611.67999999999995</v>
      </c>
    </row>
    <row r="477" spans="1:4" x14ac:dyDescent="0.3">
      <c r="A477" s="1" t="str">
        <f>"56024869700"</f>
        <v>56024869700</v>
      </c>
      <c r="B477" s="1" t="str">
        <f>"AAGARD TYLER J, AAGARD LAUREN T"</f>
        <v>AAGARD TYLER J, AAGARD LAUREN T</v>
      </c>
      <c r="C477" s="1" t="str">
        <f>"NEWINGTON DRIVE HERITAGE CREEK SECTION 5 PART 2 LOT 135"</f>
        <v>NEWINGTON DRIVE HERITAGE CREEK SECTION 5 PART 2 LOT 135</v>
      </c>
      <c r="D477" s="1">
        <v>11729.3</v>
      </c>
    </row>
    <row r="478" spans="1:4" x14ac:dyDescent="0.3">
      <c r="A478" s="1" t="str">
        <f>"59022881200"</f>
        <v>59022881200</v>
      </c>
      <c r="B478" s="1" t="str">
        <f>"AALYSON MARY C"</f>
        <v>AALYSON MARY C</v>
      </c>
      <c r="C478" s="1" t="str">
        <f>"BETHEL COMMONS CONDOMINIUM 5TH AMD UNIT 22A"</f>
        <v>BETHEL COMMONS CONDOMINIUM 5TH AMD UNIT 22A</v>
      </c>
      <c r="D478" s="1">
        <v>5551.14</v>
      </c>
    </row>
    <row r="479" spans="1:4" x14ac:dyDescent="0.3">
      <c r="A479" s="1" t="str">
        <f>"01024721700"</f>
        <v>01024721700</v>
      </c>
      <c r="B479" s="1" t="str">
        <f>"AAMF3 LLC"</f>
        <v>AAMF3 LLC</v>
      </c>
      <c r="C479" s="1" t="str">
        <f>"JOYCE AVENUE ATCHESON SUB A-C 2.361 ACRES"</f>
        <v>JOYCE AVENUE ATCHESON SUB A-C 2.361 ACRES</v>
      </c>
      <c r="D479" s="1">
        <v>5726.22</v>
      </c>
    </row>
    <row r="480" spans="1:4" x14ac:dyDescent="0.3">
      <c r="A480" s="1" t="str">
        <f>"01010864800"</f>
        <v>01010864800</v>
      </c>
      <c r="B480" s="1" t="str">
        <f>"AAMF3 LLC"</f>
        <v>AAMF3 LLC</v>
      </c>
      <c r="C480" s="1" t="str">
        <f>"JOYCE AVE LINDALE LOTS 208-209 EX IRR WS"</f>
        <v>JOYCE AVE LINDALE LOTS 208-209 EX IRR WS</v>
      </c>
      <c r="D480" s="1">
        <v>1465.05</v>
      </c>
    </row>
    <row r="481" spans="1:4" x14ac:dyDescent="0.3">
      <c r="A481" s="1" t="str">
        <f>"01001126500"</f>
        <v>01001126500</v>
      </c>
      <c r="B481" s="1" t="str">
        <f>"AAMF3 LLC"</f>
        <v>AAMF3 LLC</v>
      </c>
      <c r="C481" s="1" t="str">
        <f>"1550 CLEVELAND AVE R18 T1 S4-12 PT LOT 12=0.462 ACRE"</f>
        <v>1550 CLEVELAND AVE R18 T1 S4-12 PT LOT 12=0.462 ACRE</v>
      </c>
      <c r="D481" s="1">
        <v>3425.03</v>
      </c>
    </row>
    <row r="482" spans="1:4" x14ac:dyDescent="0.3">
      <c r="A482" s="1" t="str">
        <f>"01005165200"</f>
        <v>01005165200</v>
      </c>
      <c r="B482" s="1" t="str">
        <f>"AAMF3 LLC"</f>
        <v>AAMF3 LLC</v>
      </c>
      <c r="C482" s="1" t="str">
        <f>"774 BASSETT AVE MID 1/3 OF 1/2 ACRE R22 T5 SEC 3"</f>
        <v>774 BASSETT AVE MID 1/3 OF 1/2 ACRE R22 T5 SEC 3</v>
      </c>
      <c r="D482" s="1">
        <v>288.31</v>
      </c>
    </row>
    <row r="483" spans="1:4" x14ac:dyDescent="0.3">
      <c r="A483" s="1" t="str">
        <f>"01004614200"</f>
        <v>01004614200</v>
      </c>
      <c r="B483" s="1" t="str">
        <f>"AAMF3 LLC"</f>
        <v>AAMF3 LLC</v>
      </c>
      <c r="C483" s="1" t="str">
        <f>"886 SUNBURY RD BUTTLES HRS LOT 5 &amp; PT LOTS 4 &amp; 6"</f>
        <v>886 SUNBURY RD BUTTLES HRS LOT 5 &amp; PT LOTS 4 &amp; 6</v>
      </c>
      <c r="D483" s="1">
        <v>4116.6899999999996</v>
      </c>
    </row>
    <row r="484" spans="1:4" x14ac:dyDescent="0.3">
      <c r="A484" s="1" t="str">
        <f>"01001216100"</f>
        <v>01001216100</v>
      </c>
      <c r="B484" s="1" t="str">
        <f>"AAMF3 LLC"</f>
        <v>AAMF3 LLC</v>
      </c>
      <c r="C484" s="1" t="str">
        <f>"1953 SULLIVANT AVE HILLTONIA ANNEX LOT 8 BLK 2"</f>
        <v>1953 SULLIVANT AVE HILLTONIA ANNEX LOT 8 BLK 2</v>
      </c>
      <c r="D484" s="1">
        <v>2563.59</v>
      </c>
    </row>
    <row r="485" spans="1:4" x14ac:dyDescent="0.3">
      <c r="A485" s="1" t="str">
        <f>"01001178700"</f>
        <v>01001178700</v>
      </c>
      <c r="B485" s="1" t="str">
        <f>"AAMF3 LLC"</f>
        <v>AAMF3 LLC</v>
      </c>
      <c r="C485" s="1" t="str">
        <f>"KESSLER KESSLER LOT 39"</f>
        <v>KESSLER KESSLER LOT 39</v>
      </c>
      <c r="D485" s="1">
        <v>282.47000000000003</v>
      </c>
    </row>
    <row r="486" spans="1:4" x14ac:dyDescent="0.3">
      <c r="A486" s="1" t="str">
        <f>"01010839400"</f>
        <v>01010839400</v>
      </c>
      <c r="B486" s="1" t="str">
        <f>"AAMF3 LLC"</f>
        <v>AAMF3 LLC</v>
      </c>
      <c r="C486" s="1" t="str">
        <f>"WINDSOR ATCHESON PT LOTS A &amp; C 0.972 ACRE"</f>
        <v>WINDSOR ATCHESON PT LOTS A &amp; C 0.972 ACRE</v>
      </c>
      <c r="D486" s="1">
        <v>3794.96</v>
      </c>
    </row>
    <row r="487" spans="1:4" x14ac:dyDescent="0.3">
      <c r="A487" s="1" t="str">
        <f>"01016750900"</f>
        <v>01016750900</v>
      </c>
      <c r="B487" s="1" t="str">
        <f>"AAMF3 LLC"</f>
        <v>AAMF3 LLC</v>
      </c>
      <c r="C487" s="1" t="str">
        <f>"SCHENLEY DRIVE AMVET HOMESTEAD NO 2 SUB RES J BLK N"</f>
        <v>SCHENLEY DRIVE AMVET HOMESTEAD NO 2 SUB RES J BLK N</v>
      </c>
      <c r="D487" s="1">
        <v>9.56</v>
      </c>
    </row>
    <row r="488" spans="1:4" x14ac:dyDescent="0.3">
      <c r="A488" s="1" t="str">
        <f>"01010842900"</f>
        <v>01010842900</v>
      </c>
      <c r="B488" s="1" t="str">
        <f>"AAMF3 LLC"</f>
        <v>AAMF3 LLC</v>
      </c>
      <c r="C488" s="1" t="str">
        <f>"17TH &amp; JOYCE AVENUE 2.9658 ACRES ATCHESON A C"</f>
        <v>17TH &amp; JOYCE AVENUE 2.9658 ACRES ATCHESON A C</v>
      </c>
      <c r="D488" s="1">
        <v>4211.63</v>
      </c>
    </row>
    <row r="489" spans="1:4" x14ac:dyDescent="0.3">
      <c r="A489" s="1" t="str">
        <f>"01009000000"</f>
        <v>01009000000</v>
      </c>
      <c r="B489" s="1" t="str">
        <f>"AAROW EXPRESS LLC"</f>
        <v>AAROW EXPRESS LLC</v>
      </c>
      <c r="C489" s="1" t="str">
        <f>"3240 E BROAD STREET BROADLEIGH EAST LOT 7&amp; 43 &amp;PT VAC AL"</f>
        <v>3240 E BROAD STREET BROADLEIGH EAST LOT 7&amp; 43 &amp;PT VAC AL</v>
      </c>
      <c r="D489" s="1">
        <v>4351.03</v>
      </c>
    </row>
    <row r="490" spans="1:4" x14ac:dyDescent="0.3">
      <c r="A490" s="1" t="str">
        <f>"27400010000"</f>
        <v>27400010000</v>
      </c>
      <c r="B490" s="1" t="str">
        <f>"AARRC INVESTMENTS LLC"</f>
        <v>AARRC INVESTMENTS LLC</v>
      </c>
      <c r="C490" s="1" t="str">
        <f>"IRELAND PL SHAMROCK INDSTRL PK LOT 2"</f>
        <v>IRELAND PL SHAMROCK INDSTRL PK LOT 2</v>
      </c>
      <c r="D490" s="1">
        <v>1270.79</v>
      </c>
    </row>
    <row r="491" spans="1:4" x14ac:dyDescent="0.3">
      <c r="A491" s="1" t="str">
        <f>"09000014100"</f>
        <v>09000014100</v>
      </c>
      <c r="B491" s="1" t="str">
        <f>"AAU HOME HEALTH CARE LLC"</f>
        <v>AAU HOME HEALTH CARE LLC</v>
      </c>
      <c r="C491" s="1" t="str">
        <f>"HAMILTON RD               NORTON FIELD PLAT 1       LOT 25                   "</f>
        <v xml:space="preserve">HAMILTON RD               NORTON FIELD PLAT 1       LOT 25                   </v>
      </c>
      <c r="D491" s="1">
        <v>2826.68</v>
      </c>
    </row>
    <row r="492" spans="1:4" x14ac:dyDescent="0.3">
      <c r="A492" s="1" t="str">
        <f>"09000014300"</f>
        <v>09000014300</v>
      </c>
      <c r="B492" s="1" t="str">
        <f>"AAU HOME HEALTH CARE LLC"</f>
        <v>AAU HOME HEALTH CARE LLC</v>
      </c>
      <c r="C492" s="1" t="str">
        <f>"217 S HAMILTON RD         NORTON FIELD PLAT 1       LOT 26                   "</f>
        <v xml:space="preserve">217 S HAMILTON RD         NORTON FIELD PLAT 1       LOT 26                   </v>
      </c>
      <c r="D492" s="1">
        <v>3211.89</v>
      </c>
    </row>
    <row r="493" spans="1:4" x14ac:dyDescent="0.3">
      <c r="A493" s="1" t="str">
        <f>"01002475600"</f>
        <v>01002475600</v>
      </c>
      <c r="B493" s="1" t="str">
        <f>"ABAKERALI LLC"</f>
        <v>ABAKERALI LLC</v>
      </c>
      <c r="C493" s="1" t="str">
        <f>"DAVIS AVE MARTINS WESTERN LOT 168"</f>
        <v>DAVIS AVE MARTINS WESTERN LOT 168</v>
      </c>
      <c r="D493" s="1">
        <v>1469.44</v>
      </c>
    </row>
    <row r="494" spans="1:4" x14ac:dyDescent="0.3">
      <c r="A494" s="1" t="str">
        <f>"13000669900"</f>
        <v>13000669900</v>
      </c>
      <c r="B494" s="1" t="str">
        <f>"ABANUR AHMED"</f>
        <v>ABANUR AHMED</v>
      </c>
      <c r="C494" s="1" t="str">
        <f>"CLEVELAND AVE ELMORE LOT 133 EX WE"</f>
        <v>CLEVELAND AVE ELMORE LOT 133 EX WE</v>
      </c>
      <c r="D494" s="1">
        <v>2352.4499999999998</v>
      </c>
    </row>
    <row r="495" spans="1:4" x14ac:dyDescent="0.3">
      <c r="A495" s="1" t="str">
        <f>"01018318800"</f>
        <v>01018318800</v>
      </c>
      <c r="B495" s="1" t="str">
        <f>"ABAY ABRAHAM"</f>
        <v>ABAY ABRAHAM</v>
      </c>
      <c r="C495" s="1" t="str">
        <f>"SCOTLAND YARD CONDO UNIT 5774 BLDG 30 "</f>
        <v xml:space="preserve">SCOTLAND YARD CONDO UNIT 5774 BLDG 30 </v>
      </c>
      <c r="D495" s="1">
        <v>836.37</v>
      </c>
    </row>
    <row r="496" spans="1:4" x14ac:dyDescent="0.3">
      <c r="A496" s="1" t="str">
        <f>"02501363600"</f>
        <v>02501363600</v>
      </c>
      <c r="B496" s="1" t="str">
        <f>"ABBA ABBA HOLDINGS LLC"</f>
        <v>ABBA ABBA HOLDINGS LLC</v>
      </c>
      <c r="C496" s="1" t="str">
        <f>"TECHCENTER DRIVE EXT AND GREENSPACE DED PLAT PT LOT 8=2.207 ACRES"</f>
        <v>TECHCENTER DRIVE EXT AND GREENSPACE DED PLAT PT LOT 8=2.207 ACRES</v>
      </c>
      <c r="D496" s="1">
        <v>847.4</v>
      </c>
    </row>
    <row r="497" spans="1:4" x14ac:dyDescent="0.3">
      <c r="A497" s="1" t="str">
        <f>"02700015100"</f>
        <v>02700015100</v>
      </c>
      <c r="B497" s="1" t="str">
        <f>"ABBA ABBA HOLDINGS LLC"</f>
        <v>ABBA ABBA HOLDINGS LLC</v>
      </c>
      <c r="C497" s="1" t="str">
        <f>"TECHCENTER DRIVE EXT &amp; GREENSPACE DED PLAT PT LOT 7 (2.782 ACRES)"</f>
        <v>TECHCENTER DRIVE EXT &amp; GREENSPACE DED PLAT PT LOT 7 (2.782 ACRES)</v>
      </c>
      <c r="D497" s="1">
        <v>1203.03</v>
      </c>
    </row>
    <row r="498" spans="1:4" x14ac:dyDescent="0.3">
      <c r="A498" s="1" t="str">
        <f>"53028194500"</f>
        <v>53028194500</v>
      </c>
      <c r="B498" s="1" t="str">
        <f>"ABBIE TRAILS HOMEOWNERS ASSOC INC"</f>
        <v>ABBIE TRAILS HOMEOWNERS ASSOC INC</v>
      </c>
      <c r="C498" s="1" t="s">
        <v>12</v>
      </c>
      <c r="D498" s="1">
        <v>9.1300000000000008</v>
      </c>
    </row>
    <row r="499" spans="1:4" x14ac:dyDescent="0.3">
      <c r="A499" s="1" t="str">
        <f>"02500909000"</f>
        <v>02500909000</v>
      </c>
      <c r="B499" s="1" t="str">
        <f>"ABBINGTON JACQUELINE"</f>
        <v>ABBINGTON JACQUELINE</v>
      </c>
      <c r="C499" s="1" t="str">
        <f>"00000 POND HOLLOW LA ROCKY FORK SECTION 1 LOT C43"</f>
        <v>00000 POND HOLLOW LA ROCKY FORK SECTION 1 LOT C43</v>
      </c>
      <c r="D499" s="1">
        <v>23042.87</v>
      </c>
    </row>
    <row r="500" spans="1:4" x14ac:dyDescent="0.3">
      <c r="A500" s="1" t="str">
        <f>"01014103300"</f>
        <v>01014103300</v>
      </c>
      <c r="B500" s="1" t="str">
        <f>"ABBINGTON LLC"</f>
        <v>ABBINGTON LLC</v>
      </c>
      <c r="C500" s="1" t="str">
        <f>"KENWICK RD BERWICKESTATES LOT 114"</f>
        <v>KENWICK RD BERWICKESTATES LOT 114</v>
      </c>
      <c r="D500" s="1">
        <v>2508.13</v>
      </c>
    </row>
    <row r="501" spans="1:4" x14ac:dyDescent="0.3">
      <c r="A501" s="1" t="str">
        <f>"01005878300"</f>
        <v>01005878300</v>
      </c>
      <c r="B501" s="1" t="str">
        <f>"ABBOTT RACHEL K"</f>
        <v>ABBOTT RACHEL K</v>
      </c>
      <c r="C501" s="1" t="str">
        <f>"3584 MILTON AVE NORTHMOOR LOT 97"</f>
        <v>3584 MILTON AVE NORTHMOOR LOT 97</v>
      </c>
      <c r="D501" s="1">
        <v>7631.12</v>
      </c>
    </row>
    <row r="502" spans="1:4" x14ac:dyDescent="0.3">
      <c r="A502" s="1" t="str">
        <f>"06000683800"</f>
        <v>06000683800</v>
      </c>
      <c r="B502" s="1" t="str">
        <f>"ABBOTT VIRGINIA ANN"</f>
        <v>ABBOTT VIRGINIA ANN</v>
      </c>
      <c r="C502" s="1" t="str">
        <f>"N RODEBAUGH RD MEADOWS REYN SEC 1 LOT 34"</f>
        <v>N RODEBAUGH RD MEADOWS REYN SEC 1 LOT 34</v>
      </c>
      <c r="D502" s="1">
        <v>4784.76</v>
      </c>
    </row>
    <row r="503" spans="1:4" x14ac:dyDescent="0.3">
      <c r="A503" s="1" t="str">
        <f>"09000008900"</f>
        <v>09000008900</v>
      </c>
      <c r="B503" s="1" t="str">
        <f>"ABC ACCOUNTING AND TAX SERVICES LLC"</f>
        <v>ABC ACCOUNTING AND TAX SERVICES LLC</v>
      </c>
      <c r="C503" s="1" t="str">
        <f>"4181 E MAIN ST            JAEGER MANOR 40 FT E      MID PT RES B             "</f>
        <v xml:space="preserve">4181 E MAIN ST            JAEGER MANOR 40 FT E      MID PT RES B             </v>
      </c>
      <c r="D503" s="1">
        <v>1921.92</v>
      </c>
    </row>
    <row r="504" spans="1:4" x14ac:dyDescent="0.3">
      <c r="A504" s="1" t="str">
        <f>"60018988100"</f>
        <v>60018988100</v>
      </c>
      <c r="B504" s="1" t="str">
        <f>"ABC CONSULTANCY LLC"</f>
        <v>ABC CONSULTANCY LLC</v>
      </c>
      <c r="C504" s="1" t="str">
        <f>"CHRISTINA LANE VIL TANAGER WOODS 1 LOT 38"</f>
        <v>CHRISTINA LANE VIL TANAGER WOODS 1 LOT 38</v>
      </c>
      <c r="D504" s="1">
        <v>1508.14</v>
      </c>
    </row>
    <row r="505" spans="1:4" x14ac:dyDescent="0.3">
      <c r="A505" s="1" t="str">
        <f>"09000058600"</f>
        <v>09000058600</v>
      </c>
      <c r="B505" s="1" t="str">
        <f>"ABDALLA HESHAM A"</f>
        <v>ABDALLA HESHAM A</v>
      </c>
      <c r="C505" s="1" t="str">
        <f>"E MAIN ST50X150FT         .1725ACR R21T12S9-16      1-4S11-12-26 LOT 1       "</f>
        <v xml:space="preserve">E MAIN ST50X150FT         .1725ACR R21T12S9-16      1-4S11-12-26 LOT 1       </v>
      </c>
      <c r="D505" s="1">
        <v>8071.74</v>
      </c>
    </row>
    <row r="506" spans="1:4" x14ac:dyDescent="0.3">
      <c r="A506" s="1" t="str">
        <f>"01013872200"</f>
        <v>01013872200</v>
      </c>
      <c r="B506" s="1" t="str">
        <f>"ABDALLA HESHAM, ABDALLA SABAH"</f>
        <v>ABDALLA HESHAM, ABDALLA SABAH</v>
      </c>
      <c r="C506" s="1" t="str">
        <f>"BARBERRY LANE OLDE ORCHARD 3 LOT 143"</f>
        <v>BARBERRY LANE OLDE ORCHARD 3 LOT 143</v>
      </c>
      <c r="D506" s="1">
        <v>4886.6400000000003</v>
      </c>
    </row>
    <row r="507" spans="1:4" x14ac:dyDescent="0.3">
      <c r="A507" s="1" t="str">
        <f>"01018303400"</f>
        <v>01018303400</v>
      </c>
      <c r="B507" s="1" t="str">
        <f>"ABDELLA MARIA L"</f>
        <v>ABDELLA MARIA L</v>
      </c>
      <c r="C507" s="1" t="str">
        <f>"SCOTLAND YARD CONDO UNIT 1594   BLDG 4 "</f>
        <v xml:space="preserve">SCOTLAND YARD CONDO UNIT 1594   BLDG 4 </v>
      </c>
      <c r="D507" s="1">
        <v>232</v>
      </c>
    </row>
    <row r="508" spans="1:4" x14ac:dyDescent="0.3">
      <c r="A508" s="1" t="str">
        <f>"60022327000"</f>
        <v>60022327000</v>
      </c>
      <c r="B508" s="1" t="str">
        <f>"ABDI ABDIRASHID, ABDI ABDULLAHI AHMED"</f>
        <v>ABDI ABDIRASHID, ABDI ABDULLAHI AHMED</v>
      </c>
      <c r="C508" s="1" t="str">
        <f>"0000 GARAND DR TREMONT PLACE LOT 10"</f>
        <v>0000 GARAND DR TREMONT PLACE LOT 10</v>
      </c>
      <c r="D508" s="1">
        <v>7751.1</v>
      </c>
    </row>
    <row r="509" spans="1:4" x14ac:dyDescent="0.3">
      <c r="A509" s="1" t="str">
        <f>"57023199300"</f>
        <v>57023199300</v>
      </c>
      <c r="B509" s="1" t="str">
        <f>"ABDI ALI BASHI"</f>
        <v>ABDI ALI BASHI</v>
      </c>
      <c r="C509" s="1" t="str">
        <f>"MEEKS MEADOW DRIVE MCDOWELL ESTATES SECTION 1 LOT 13"</f>
        <v>MEEKS MEADOW DRIVE MCDOWELL ESTATES SECTION 1 LOT 13</v>
      </c>
      <c r="D509" s="1">
        <v>154.75</v>
      </c>
    </row>
    <row r="510" spans="1:4" x14ac:dyDescent="0.3">
      <c r="A510" s="1" t="str">
        <f>"60021027900"</f>
        <v>60021027900</v>
      </c>
      <c r="B510" s="1" t="str">
        <f>"ABDI DAHIR ABSHIRA, DAHIR ABSHIRA ABDI"</f>
        <v>ABDI DAHIR ABSHIRA, DAHIR ABSHIRA ABDI</v>
      </c>
      <c r="C510" s="1" t="str">
        <f>"ROXHAM COURT SLEAFORD VILLAGE LOT 29"</f>
        <v>ROXHAM COURT SLEAFORD VILLAGE LOT 29</v>
      </c>
      <c r="D510" s="1">
        <v>7426.73</v>
      </c>
    </row>
    <row r="511" spans="1:4" x14ac:dyDescent="0.3">
      <c r="A511" s="1" t="str">
        <f>"51524670000"</f>
        <v>51524670000</v>
      </c>
      <c r="B511" s="1" t="str">
        <f>"ABDI FIROMSA"</f>
        <v>ABDI FIROMSA</v>
      </c>
      <c r="C511" s="1" t="str">
        <f>"CRAWFORD FARMS DRIVE CRAWFORD FARMS SECTION 3 LOT 122"</f>
        <v>CRAWFORD FARMS DRIVE CRAWFORD FARMS SECTION 3 LOT 122</v>
      </c>
      <c r="D511" s="1">
        <v>5869.37</v>
      </c>
    </row>
    <row r="512" spans="1:4" x14ac:dyDescent="0.3">
      <c r="A512" s="1" t="str">
        <f>"01005057500"</f>
        <v>01005057500</v>
      </c>
      <c r="B512" s="1" t="str">
        <f>"ABDI KHADJA H"</f>
        <v>ABDI KHADJA H</v>
      </c>
      <c r="C512" s="1" t="str">
        <f>"171 HARRIS AVE WICKLOW EXT LOT 695"</f>
        <v>171 HARRIS AVE WICKLOW EXT LOT 695</v>
      </c>
      <c r="D512" s="1">
        <v>961.2</v>
      </c>
    </row>
    <row r="513" spans="1:4" x14ac:dyDescent="0.3">
      <c r="A513" s="1" t="str">
        <f>"17000493400"</f>
        <v>17000493400</v>
      </c>
      <c r="B513" s="1" t="str">
        <f>"ABDILLE FARHAN, ABDI SHUKRI MOHAMED"</f>
        <v>ABDILLE FARHAN, ABDI SHUKRI MOHAMED</v>
      </c>
      <c r="C513" s="1" t="str">
        <f>"THE FARMS AT JEFFERSON PHASE 9 LOT 351"</f>
        <v>THE FARMS AT JEFFERSON PHASE 9 LOT 351</v>
      </c>
      <c r="D513" s="1">
        <v>12167.17</v>
      </c>
    </row>
    <row r="514" spans="1:4" x14ac:dyDescent="0.3">
      <c r="A514" s="1" t="str">
        <f>"17000447700"</f>
        <v>17000447700</v>
      </c>
      <c r="B514" s="1" t="str">
        <f>"ABDIRAHMAN HUSSEIN, ELMI HUBI"</f>
        <v>ABDIRAHMAN HUSSEIN, ELMI HUBI</v>
      </c>
      <c r="C514" s="1" t="str">
        <f>"FARMS AT JEFFERSON PHASE 3 LOT 125"</f>
        <v>FARMS AT JEFFERSON PHASE 3 LOT 125</v>
      </c>
      <c r="D514" s="1">
        <v>5668.32</v>
      </c>
    </row>
    <row r="515" spans="1:4" x14ac:dyDescent="0.3">
      <c r="A515" s="1" t="str">
        <f>"01014920700"</f>
        <v>01014920700</v>
      </c>
      <c r="B515" s="1" t="str">
        <f>"ABDIRISAK FARAH"</f>
        <v>ABDIRISAK FARAH</v>
      </c>
      <c r="C515" s="1" t="str">
        <f>"HARDESTY VILLAGE CONDOMINIUM NO I UNIT I-11"</f>
        <v>HARDESTY VILLAGE CONDOMINIUM NO I UNIT I-11</v>
      </c>
      <c r="D515" s="1">
        <v>1061.96</v>
      </c>
    </row>
    <row r="516" spans="1:4" x14ac:dyDescent="0.3">
      <c r="A516" s="1" t="str">
        <f>"57023577600"</f>
        <v>57023577600</v>
      </c>
      <c r="B516" s="1" t="str">
        <f>"ABDULKADIR SAPNA, OMAR KHALIF"</f>
        <v>ABDULKADIR SAPNA, OMAR KHALIF</v>
      </c>
      <c r="C516" s="1" t="str">
        <f>"LESBROOK DRIVE WESTBROOK VILLAGE SEC 1 PART 2 LOT 40"</f>
        <v>LESBROOK DRIVE WESTBROOK VILLAGE SEC 1 PART 2 LOT 40</v>
      </c>
      <c r="D516" s="1">
        <v>2693.66</v>
      </c>
    </row>
    <row r="517" spans="1:4" x14ac:dyDescent="0.3">
      <c r="A517" s="1" t="str">
        <f>"60030225500"</f>
        <v>60030225500</v>
      </c>
      <c r="B517" s="1" t="str">
        <f>"ABDULKADIR ZAHARA, OMAR KHALIF"</f>
        <v>ABDULKADIR ZAHARA, OMAR KHALIF</v>
      </c>
      <c r="C517" s="1" t="str">
        <f>"HOOVER FARMS SECTION 5 LOT 234"</f>
        <v>HOOVER FARMS SECTION 5 LOT 234</v>
      </c>
      <c r="D517" s="1">
        <v>4707.6400000000003</v>
      </c>
    </row>
    <row r="518" spans="1:4" x14ac:dyDescent="0.3">
      <c r="A518" s="1" t="str">
        <f>"05000997300"</f>
        <v>05000997300</v>
      </c>
      <c r="B518" s="1" t="str">
        <f>"ABDULLAH YASIN ABIB, MADAR SALMA M"</f>
        <v>ABDULLAH YASIN ABIB, MADAR SALMA M</v>
      </c>
      <c r="C518" s="1" t="str">
        <f>"SILVER SADDLE COURT SILVERTON FARMS SECTION 3 LOT 7"</f>
        <v>SILVER SADDLE COURT SILVERTON FARMS SECTION 3 LOT 7</v>
      </c>
      <c r="D518" s="1">
        <v>747.73</v>
      </c>
    </row>
    <row r="519" spans="1:4" x14ac:dyDescent="0.3">
      <c r="A519" s="1" t="str">
        <f>"19000238100"</f>
        <v>19000238100</v>
      </c>
      <c r="B519" s="1" t="str">
        <f>"ABDULLAHI AHMED"</f>
        <v>ABDULLAHI AHMED</v>
      </c>
      <c r="C519" s="1" t="str">
        <f>"ALLWINE RD ALLWINE LOT 8"</f>
        <v>ALLWINE RD ALLWINE LOT 8</v>
      </c>
      <c r="D519" s="1">
        <v>2250.09</v>
      </c>
    </row>
    <row r="520" spans="1:4" x14ac:dyDescent="0.3">
      <c r="A520" s="1" t="str">
        <f>"19000238300"</f>
        <v>19000238300</v>
      </c>
      <c r="B520" s="1" t="str">
        <f>"ABDULLAHI AHMED"</f>
        <v>ABDULLAHI AHMED</v>
      </c>
      <c r="C520" s="1" t="str">
        <f>"4201 WESTERVILLE RD ALLWINE LOT 11 &amp; PT L10 SEE DUP FOR DESC"</f>
        <v>4201 WESTERVILLE RD ALLWINE LOT 11 &amp; PT L10 SEE DUP FOR DESC</v>
      </c>
      <c r="D520" s="1">
        <v>4614.41</v>
      </c>
    </row>
    <row r="521" spans="1:4" x14ac:dyDescent="0.3">
      <c r="A521" s="1" t="str">
        <f>"01020322700"</f>
        <v>01020322700</v>
      </c>
      <c r="B521" s="1" t="str">
        <f>"ABDULLAHI ANISA NOOR"</f>
        <v>ABDULLAHI ANISA NOOR</v>
      </c>
      <c r="C521" s="1" t="str">
        <f>"2100 SPRUCEFIELD RD SPRUCEFIELD COURT TWNHOMES CONDO 5 AMD"</f>
        <v>2100 SPRUCEFIELD RD SPRUCEFIELD COURT TWNHOMES CONDO 5 AMD</v>
      </c>
      <c r="D521" s="1">
        <v>94</v>
      </c>
    </row>
    <row r="522" spans="1:4" x14ac:dyDescent="0.3">
      <c r="A522" s="1" t="str">
        <f>"52028897700"</f>
        <v>52028897700</v>
      </c>
      <c r="B522" s="1" t="str">
        <f>"ABDULLAHI BARKHAD ABIB"</f>
        <v>ABDULLAHI BARKHAD ABIB</v>
      </c>
      <c r="C522" s="1" t="str">
        <f>"TOWNE PARK SECTION 3 LOT 305"</f>
        <v>TOWNE PARK SECTION 3 LOT 305</v>
      </c>
      <c r="D522" s="1">
        <v>6724.14</v>
      </c>
    </row>
    <row r="523" spans="1:4" x14ac:dyDescent="0.3">
      <c r="A523" s="1" t="str">
        <f>"52024466400"</f>
        <v>52024466400</v>
      </c>
      <c r="B523" s="1" t="str">
        <f>"ABDULMAJID ABDIKAFAR M"</f>
        <v>ABDULMAJID ABDIKAFAR M</v>
      </c>
      <c r="C523" s="1" t="str">
        <f>"BERKLEY POINTE DRIVE BERKLEY POINTE LOT 8"</f>
        <v>BERKLEY POINTE DRIVE BERKLEY POINTE LOT 8</v>
      </c>
      <c r="D523" s="1">
        <v>1962.98</v>
      </c>
    </row>
    <row r="524" spans="1:4" x14ac:dyDescent="0.3">
      <c r="A524" s="1" t="str">
        <f>"13000662500"</f>
        <v>13000662500</v>
      </c>
      <c r="B524" s="1" t="str">
        <f>"ABDUL-RAHMAN ISHMAEL"</f>
        <v>ABDUL-RAHMAN ISHMAEL</v>
      </c>
      <c r="C524" s="1" t="str">
        <f>"2168 ORMOND AVE ELMORE ADDITION LOT 192"</f>
        <v>2168 ORMOND AVE ELMORE ADDITION LOT 192</v>
      </c>
      <c r="D524" s="1">
        <v>194.68</v>
      </c>
    </row>
    <row r="525" spans="1:4" x14ac:dyDescent="0.3">
      <c r="A525" s="1" t="str">
        <f>"01001490400"</f>
        <v>01001490400</v>
      </c>
      <c r="B525" s="1" t="str">
        <f>"ABEBE DANIEL F"</f>
        <v>ABEBE DANIEL F</v>
      </c>
      <c r="C525" s="1" t="str">
        <f>"195 N OAKLEY AVE GLENVIEW HTS LOT 127"</f>
        <v>195 N OAKLEY AVE GLENVIEW HTS LOT 127</v>
      </c>
      <c r="D525" s="1">
        <v>1186.8800000000001</v>
      </c>
    </row>
    <row r="526" spans="1:4" x14ac:dyDescent="0.3">
      <c r="A526" s="1" t="str">
        <f>"59018728800"</f>
        <v>59018728800</v>
      </c>
      <c r="B526" s="1" t="str">
        <f>"ABEL RICHARD M JR, ABEL JEAN L"</f>
        <v>ABEL RICHARD M JR, ABEL JEAN L</v>
      </c>
      <c r="C526" s="1" t="str">
        <f>"ESSINGTON DR RESUB PT RIV GRN S SEC 2 &amp; 3 LOT 104 B"</f>
        <v>ESSINGTON DR RESUB PT RIV GRN S SEC 2 &amp; 3 LOT 104 B</v>
      </c>
      <c r="D526" s="1">
        <v>4052.41</v>
      </c>
    </row>
    <row r="527" spans="1:4" x14ac:dyDescent="0.3">
      <c r="A527" s="1" t="str">
        <f>"01012643500"</f>
        <v>01012643500</v>
      </c>
      <c r="B527" s="1" t="str">
        <f>"ABERCROMBIE NARA"</f>
        <v>ABERCROMBIE NARA</v>
      </c>
      <c r="C527" s="1" t="str">
        <f>"SAMPSON AVE LEA CREST LOT 46"</f>
        <v>SAMPSON AVE LEA CREST LOT 46</v>
      </c>
      <c r="D527" s="1">
        <v>282.29000000000002</v>
      </c>
    </row>
    <row r="528" spans="1:4" x14ac:dyDescent="0.3">
      <c r="A528" s="1" t="str">
        <f>"01010052900"</f>
        <v>01010052900</v>
      </c>
      <c r="B528" s="1" t="str">
        <f>"ABERNATHY JAMES E"</f>
        <v>ABERNATHY JAMES E</v>
      </c>
      <c r="C528" s="1" t="str">
        <f>"BYRON AVE ALLAWAY LOT 18"</f>
        <v>BYRON AVE ALLAWAY LOT 18</v>
      </c>
      <c r="D528" s="1">
        <v>2746.48</v>
      </c>
    </row>
    <row r="529" spans="1:4" x14ac:dyDescent="0.3">
      <c r="A529" s="1" t="str">
        <f>"01013735000"</f>
        <v>01013735000</v>
      </c>
      <c r="B529" s="1" t="str">
        <f>"ABJ LEGACY PROPERTIES LLC"</f>
        <v>ABJ LEGACY PROPERTIES LLC</v>
      </c>
      <c r="C529" s="1" t="str">
        <f>"ROBERTS PLACE INNIS GARDENS 4 LOT 12"</f>
        <v>ROBERTS PLACE INNIS GARDENS 4 LOT 12</v>
      </c>
      <c r="D529" s="1">
        <v>2766.04</v>
      </c>
    </row>
    <row r="530" spans="1:4" x14ac:dyDescent="0.3">
      <c r="A530" s="1" t="str">
        <f>"01000554700"</f>
        <v>01000554700</v>
      </c>
      <c r="B530" s="1" t="str">
        <f>"ABJON INVESTMENTS LLC"</f>
        <v>ABJON INVESTMENTS LLC</v>
      </c>
      <c r="C530" s="1" t="str">
        <f>"1565-67 HIGHLAND ST UNIVERSITY PT LOTS 53-54"</f>
        <v>1565-67 HIGHLAND ST UNIVERSITY PT LOTS 53-54</v>
      </c>
      <c r="D530" s="1">
        <v>876.94</v>
      </c>
    </row>
    <row r="531" spans="1:4" x14ac:dyDescent="0.3">
      <c r="A531" s="1" t="str">
        <f>"23000183300"</f>
        <v>23000183300</v>
      </c>
      <c r="B531" s="1" t="str">
        <f>"ABRAM MITCHELL K, ABRAM DEBBIE M"</f>
        <v>ABRAM MITCHELL K, ABRAM DEBBIE M</v>
      </c>
      <c r="C531" s="1" t="str">
        <f>"NEFF RD .58915 ACRE ENTRY 3027"</f>
        <v>NEFF RD .58915 ACRE ENTRY 3027</v>
      </c>
      <c r="D531" s="1">
        <v>167.56</v>
      </c>
    </row>
    <row r="532" spans="1:4" x14ac:dyDescent="0.3">
      <c r="A532" s="1" t="str">
        <f>"01007654800"</f>
        <v>01007654800</v>
      </c>
      <c r="B532" s="1" t="str">
        <f>"ABRE HOLDINGS LLC"</f>
        <v>ABRE HOLDINGS LLC</v>
      </c>
      <c r="C532" s="1" t="str">
        <f>"3170 CLEVELAND AVE .227 ACRES LOT 1 "</f>
        <v xml:space="preserve">3170 CLEVELAND AVE .227 ACRES LOT 1 </v>
      </c>
      <c r="D532" s="1">
        <v>2822.4</v>
      </c>
    </row>
    <row r="533" spans="1:4" x14ac:dyDescent="0.3">
      <c r="A533" s="1" t="str">
        <f>"61020147200"</f>
        <v>61020147200</v>
      </c>
      <c r="B533" s="1" t="str">
        <f>"ABREU ASUNCION A"</f>
        <v>ABREU ASUNCION A</v>
      </c>
      <c r="C533" s="1" t="str">
        <f>"LARAMIE DR RESUB PT WESTERN HILLS 1 &amp; 2 LOT 333"</f>
        <v>LARAMIE DR RESUB PT WESTERN HILLS 1 &amp; 2 LOT 333</v>
      </c>
      <c r="D533" s="1">
        <v>286.68</v>
      </c>
    </row>
    <row r="534" spans="1:4" x14ac:dyDescent="0.3">
      <c r="A534" s="1" t="str">
        <f>"01023971100"</f>
        <v>01023971100</v>
      </c>
      <c r="B534" s="1" t="str">
        <f>"ABREU YDALMA"</f>
        <v>ABREU YDALMA</v>
      </c>
      <c r="C534" s="1" t="str">
        <f>"RETRIEVER ROAD CHATTERTON SECTION 1 LOT 30"</f>
        <v>RETRIEVER ROAD CHATTERTON SECTION 1 LOT 30</v>
      </c>
      <c r="D534" s="1">
        <v>2000.59</v>
      </c>
    </row>
    <row r="535" spans="1:4" x14ac:dyDescent="0.3">
      <c r="A535" s="1" t="str">
        <f>"01017122800"</f>
        <v>01017122800</v>
      </c>
      <c r="B535" s="1" t="str">
        <f>"ABREU YDALMA M"</f>
        <v>ABREU YDALMA M</v>
      </c>
      <c r="C535" s="1" t="str">
        <f>"CHATEAU MORSE CONDO LOT 4330 "</f>
        <v xml:space="preserve">CHATEAU MORSE CONDO LOT 4330 </v>
      </c>
      <c r="D535" s="1">
        <v>400</v>
      </c>
    </row>
    <row r="536" spans="1:4" x14ac:dyDescent="0.3">
      <c r="A536" s="1" t="str">
        <f>"06000245000"</f>
        <v>06000245000</v>
      </c>
      <c r="B536" s="1" t="str">
        <f>"ABSHIRE JAN E"</f>
        <v>ABSHIRE JAN E</v>
      </c>
      <c r="C536" s="1" t="str">
        <f>"PICKERING DR H C HUBER PL 38 SEC 1 873"</f>
        <v>PICKERING DR H C HUBER PL 38 SEC 1 873</v>
      </c>
      <c r="D536" s="1">
        <v>1812.87</v>
      </c>
    </row>
    <row r="537" spans="1:4" x14ac:dyDescent="0.3">
      <c r="A537" s="1" t="str">
        <f>"09000347500"</f>
        <v>09000347500</v>
      </c>
      <c r="B537" s="1" t="str">
        <f>"ABSHIRE TEDDY IRELAND, ABSHIRE GARRY EUGENE, ABSHIRE HENDRICKS ANITA FAYE, ABSHIRE SHANK TERESA MAE"</f>
        <v>ABSHIRE TEDDY IRELAND, ABSHIRE GARRY EUGENE, ABSHIRE HENDRICKS ANITA FAYE, ABSHIRE SHANK TERESA MAE</v>
      </c>
      <c r="C537" s="1" t="str">
        <f>"886 ANTWERP RD TRURO ESTATES 245"</f>
        <v>886 ANTWERP RD TRURO ESTATES 245</v>
      </c>
      <c r="D537" s="1">
        <v>981.54</v>
      </c>
    </row>
    <row r="538" spans="1:4" x14ac:dyDescent="0.3">
      <c r="A538" s="1" t="str">
        <f>"56023076400"</f>
        <v>56023076400</v>
      </c>
      <c r="B538" s="1" t="str">
        <f>"ABU-BAKER SHADI, AL-SHAIKH ENAS S"</f>
        <v>ABU-BAKER SHADI, AL-SHAIKH ENAS S</v>
      </c>
      <c r="C538" s="1" t="str">
        <f>"HILLIARD VILLAGE CONDOMINIUM 20TH AMD UNIT 88C"</f>
        <v>HILLIARD VILLAGE CONDOMINIUM 20TH AMD UNIT 88C</v>
      </c>
      <c r="D538" s="1">
        <v>2099.5500000000002</v>
      </c>
    </row>
    <row r="539" spans="1:4" x14ac:dyDescent="0.3">
      <c r="A539" s="1" t="str">
        <f>"08000447500"</f>
        <v>08000447500</v>
      </c>
      <c r="B539" s="1" t="str">
        <f>"ABUDU JOYCE L"</f>
        <v>ABUDU JOYCE L</v>
      </c>
      <c r="C539" s="1" t="str">
        <f>"VANCOUVER DR HERBERT C HUBER PLAT 49 SEC 8 L 2345"</f>
        <v>VANCOUVER DR HERBERT C HUBER PLAT 49 SEC 8 L 2345</v>
      </c>
      <c r="D539" s="1">
        <v>3166.43</v>
      </c>
    </row>
    <row r="540" spans="1:4" x14ac:dyDescent="0.3">
      <c r="A540" s="1" t="str">
        <f>"59022813900"</f>
        <v>59022813900</v>
      </c>
      <c r="B540" s="1" t="str">
        <f>"ABUKHRES MAHMOUD MOHAMED"</f>
        <v>ABUKHRES MAHMOUD MOHAMED</v>
      </c>
      <c r="C540" s="1" t="str">
        <f>"BETHEL VILLAGE CONDOMINIUM 13TH AMD UNIT 98D"</f>
        <v>BETHEL VILLAGE CONDOMINIUM 13TH AMD UNIT 98D</v>
      </c>
      <c r="D540" s="1">
        <v>2735.35</v>
      </c>
    </row>
    <row r="541" spans="1:4" x14ac:dyDescent="0.3">
      <c r="A541" s="1" t="str">
        <f>"02500376000"</f>
        <v>02500376000</v>
      </c>
      <c r="B541" s="1" t="str">
        <f>"ABUNDANCE ESTATE LLC"</f>
        <v>ABUNDANCE ESTATE LLC</v>
      </c>
      <c r="C541" s="1" t="str">
        <f>"489-491 GOSHEN COURT GOSHEN PARK LOT 24"</f>
        <v>489-491 GOSHEN COURT GOSHEN PARK LOT 24</v>
      </c>
      <c r="D541" s="1">
        <v>4998.09</v>
      </c>
    </row>
    <row r="542" spans="1:4" x14ac:dyDescent="0.3">
      <c r="A542" s="1" t="str">
        <f>"56028507400"</f>
        <v>56028507400</v>
      </c>
      <c r="B542" s="1" t="str">
        <f>"ABUNIJEM DALEEN"</f>
        <v>ABUNIJEM DALEEN</v>
      </c>
      <c r="C542" s="1" t="str">
        <f>"1436 BELLOW FALLS PLACE VILLAGE AT HILLIARD RUN SECTION 1 PART 3 LOT 176"</f>
        <v>1436 BELLOW FALLS PLACE VILLAGE AT HILLIARD RUN SECTION 1 PART 3 LOT 176</v>
      </c>
      <c r="D542" s="1">
        <v>2978.38</v>
      </c>
    </row>
    <row r="543" spans="1:4" x14ac:dyDescent="0.3">
      <c r="A543" s="1" t="str">
        <f>"04000067200"</f>
        <v>04000067200</v>
      </c>
      <c r="B543" s="1" t="str">
        <f>"ABURAYYAN SAMER"</f>
        <v>ABURAYYAN SAMER</v>
      </c>
      <c r="C543" s="1" t="str">
        <f>"4252 S BROADWAYISBRG COLUMBUS &amp; HRRSBRG PK WOODLWN 5"</f>
        <v>4252 S BROADWAYISBRG COLUMBUS &amp; HRRSBRG PK WOODLWN 5</v>
      </c>
      <c r="D543" s="1">
        <v>3251.02</v>
      </c>
    </row>
    <row r="544" spans="1:4" x14ac:dyDescent="0.3">
      <c r="A544" s="1" t="str">
        <f>"01009004900"</f>
        <v>01009004900</v>
      </c>
      <c r="B544" s="1" t="str">
        <f>"ACCELERATED MOVING AND STORGAE INC"</f>
        <v>ACCELERATED MOVING AND STORGAE INC</v>
      </c>
      <c r="C544" s="1" t="str">
        <f>"LOWELL RD BROADLEIGH EAST LOT 92"</f>
        <v>LOWELL RD BROADLEIGH EAST LOT 92</v>
      </c>
      <c r="D544" s="1">
        <v>142.69</v>
      </c>
    </row>
    <row r="545" spans="1:4" x14ac:dyDescent="0.3">
      <c r="A545" s="1" t="str">
        <f>"01012135000"</f>
        <v>01012135000</v>
      </c>
      <c r="B545" s="1" t="str">
        <f>"ACEVEDO REAL ESTATE &amp; INVESTMENT COMPANY"</f>
        <v>ACEVEDO REAL ESTATE &amp; INVESTMENT COMPANY</v>
      </c>
      <c r="C545" s="1" t="str">
        <f>"YEARLING RD PINECREST 2 LOT 308"</f>
        <v>YEARLING RD PINECREST 2 LOT 308</v>
      </c>
      <c r="D545" s="1">
        <v>80.37</v>
      </c>
    </row>
    <row r="546" spans="1:4" x14ac:dyDescent="0.3">
      <c r="A546" s="1" t="str">
        <f>"01012031800"</f>
        <v>01012031800</v>
      </c>
      <c r="B546" s="1" t="str">
        <f>"ACH EQUITY LLC"</f>
        <v>ACH EQUITY LLC</v>
      </c>
      <c r="C546" s="1" t="str">
        <f>"1615 HAMILTON RD THUNDERBIRD ACRES LOT 16"</f>
        <v>1615 HAMILTON RD THUNDERBIRD ACRES LOT 16</v>
      </c>
      <c r="D546" s="1">
        <v>923.16</v>
      </c>
    </row>
    <row r="547" spans="1:4" x14ac:dyDescent="0.3">
      <c r="A547" s="1" t="str">
        <f>"01010051700"</f>
        <v>01010051700</v>
      </c>
      <c r="B547" s="1" t="str">
        <f>"ACH EQUITY LLC"</f>
        <v>ACH EQUITY LLC</v>
      </c>
      <c r="C547" s="1" t="str">
        <f>"BYRON AVE ALLAWAY LOT 6"</f>
        <v>BYRON AVE ALLAWAY LOT 6</v>
      </c>
      <c r="D547" s="1">
        <v>1265.76</v>
      </c>
    </row>
    <row r="548" spans="1:4" x14ac:dyDescent="0.3">
      <c r="A548" s="1" t="str">
        <f>"18000377000"</f>
        <v>18000377000</v>
      </c>
      <c r="B548" s="1" t="str">
        <f>"ACH EQUITY LLC"</f>
        <v>ACH EQUITY LLC</v>
      </c>
      <c r="C548" s="1" t="str">
        <f>"5307 ARNSBY BLACKLICK ESTATES 6 LOT 969"</f>
        <v>5307 ARNSBY BLACKLICK ESTATES 6 LOT 969</v>
      </c>
      <c r="D548" s="1">
        <v>902.92</v>
      </c>
    </row>
    <row r="549" spans="1:4" x14ac:dyDescent="0.3">
      <c r="A549" s="1" t="str">
        <f>"09000638100"</f>
        <v>09000638100</v>
      </c>
      <c r="B549" s="1" t="str">
        <f>"ACH EQUITY LLC"</f>
        <v>ACH EQUITY LLC</v>
      </c>
      <c r="C549" s="1" t="str">
        <f>"4117 URAL AVE OLPP LOT 131 "</f>
        <v xml:space="preserve">4117 URAL AVE OLPP LOT 131 </v>
      </c>
      <c r="D549" s="1">
        <v>816.18</v>
      </c>
    </row>
    <row r="550" spans="1:4" x14ac:dyDescent="0.3">
      <c r="A550" s="1" t="str">
        <f>"01003993900"</f>
        <v>01003993900</v>
      </c>
      <c r="B550" s="1" t="str">
        <f>"ACH EQUITY LLC"</f>
        <v>ACH EQUITY LLC</v>
      </c>
      <c r="C550" s="1" t="str">
        <f>"N CHAMPION AVE HAYES LOT 3-4"</f>
        <v>N CHAMPION AVE HAYES LOT 3-4</v>
      </c>
      <c r="D550" s="1">
        <v>870.33</v>
      </c>
    </row>
    <row r="551" spans="1:4" x14ac:dyDescent="0.3">
      <c r="A551" s="1" t="str">
        <f>"01011550200"</f>
        <v>01011550200</v>
      </c>
      <c r="B551" s="1" t="str">
        <f>"ACK EQUITY LLC"</f>
        <v>ACK EQUITY LLC</v>
      </c>
      <c r="C551" s="1" t="str">
        <f>"WILSON AVE ACRES .302 R22 T4 S3 LOT 4"</f>
        <v>WILSON AVE ACRES .302 R22 T4 S3 LOT 4</v>
      </c>
      <c r="D551" s="1">
        <v>1287.04</v>
      </c>
    </row>
    <row r="552" spans="1:4" x14ac:dyDescent="0.3">
      <c r="A552" s="1" t="str">
        <f>"01000829900"</f>
        <v>01000829900</v>
      </c>
      <c r="B552" s="1" t="str">
        <f>"ACK EQUITY LLC"</f>
        <v>ACK EQUITY LLC</v>
      </c>
      <c r="C552" s="1" t="str">
        <f>"514 S OHIO AVE A LUCKHAUPTS ADD LOT 56"</f>
        <v>514 S OHIO AVE A LUCKHAUPTS ADD LOT 56</v>
      </c>
      <c r="D552" s="1">
        <v>2691.38</v>
      </c>
    </row>
    <row r="553" spans="1:4" x14ac:dyDescent="0.3">
      <c r="A553" s="1" t="str">
        <f>"15200043000"</f>
        <v>15200043000</v>
      </c>
      <c r="B553" s="1" t="str">
        <f>"ACK EQUITY LLC"</f>
        <v>ACK EQUITY LLC</v>
      </c>
      <c r="C553" s="1" t="str">
        <f>"CHILLICOTHE ST SCIOTO 95.69'SL LOT 10"</f>
        <v>CHILLICOTHE ST SCIOTO 95.69'SL LOT 10</v>
      </c>
      <c r="D553" s="1">
        <v>1581.15</v>
      </c>
    </row>
    <row r="554" spans="1:4" x14ac:dyDescent="0.3">
      <c r="A554" s="1" t="str">
        <f>"01001226500"</f>
        <v>01001226500</v>
      </c>
      <c r="B554" s="1" t="str">
        <f>"ACK EQUITY LLC"</f>
        <v>ACK EQUITY LLC</v>
      </c>
      <c r="C554" s="1" t="str">
        <f>"325 COLUMBIAN AVE BUCKINGHAM HTS LOT 64"</f>
        <v>325 COLUMBIAN AVE BUCKINGHAM HTS LOT 64</v>
      </c>
      <c r="D554" s="1">
        <v>96.93</v>
      </c>
    </row>
    <row r="555" spans="1:4" x14ac:dyDescent="0.3">
      <c r="A555" s="1" t="str">
        <f>"01005410200"</f>
        <v>01005410200</v>
      </c>
      <c r="B555" s="1" t="str">
        <f>"ACK EQUITY LLC"</f>
        <v>ACK EQUITY LLC</v>
      </c>
      <c r="C555" s="1" t="str">
        <f>"BASSETT AVE BYRNE&amp;PTERS LOT 16"</f>
        <v>BASSETT AVE BYRNE&amp;PTERS LOT 16</v>
      </c>
      <c r="D555" s="1">
        <v>1420.44</v>
      </c>
    </row>
    <row r="556" spans="1:4" x14ac:dyDescent="0.3">
      <c r="A556" s="1" t="str">
        <f>"01003459400"</f>
        <v>01003459400</v>
      </c>
      <c r="B556" s="1" t="str">
        <f>"ACK EQUITY LLC"</f>
        <v>ACK EQUITY LLC</v>
      </c>
      <c r="C556" s="1" t="str">
        <f>"1066 12TH AVE BELKNAP LOT 6"</f>
        <v>1066 12TH AVE BELKNAP LOT 6</v>
      </c>
      <c r="D556" s="1">
        <v>1086</v>
      </c>
    </row>
    <row r="557" spans="1:4" x14ac:dyDescent="0.3">
      <c r="A557" s="1" t="str">
        <f>"01009441300"</f>
        <v>01009441300</v>
      </c>
      <c r="B557" s="1" t="str">
        <f>"ACK EQUITY LLC"</f>
        <v>ACK EQUITY LLC</v>
      </c>
      <c r="C557" s="1" t="str">
        <f>"24TH AVE INNIS ORCHARD LOT 3-4"</f>
        <v>24TH AVE INNIS ORCHARD LOT 3-4</v>
      </c>
      <c r="D557" s="1">
        <v>762.8</v>
      </c>
    </row>
    <row r="558" spans="1:4" x14ac:dyDescent="0.3">
      <c r="A558" s="1" t="str">
        <f>"13000586100"</f>
        <v>13000586100</v>
      </c>
      <c r="B558" s="1" t="str">
        <f>"ACK EQUITY LLC"</f>
        <v>ACK EQUITY LLC</v>
      </c>
      <c r="C558" s="1" t="str">
        <f>"MELROSE AVE ELMORE 98 "</f>
        <v xml:space="preserve">MELROSE AVE ELMORE 98 </v>
      </c>
      <c r="D558" s="1">
        <v>972.53</v>
      </c>
    </row>
    <row r="559" spans="1:4" x14ac:dyDescent="0.3">
      <c r="A559" s="1" t="str">
        <f>"01013763600"</f>
        <v>01013763600</v>
      </c>
      <c r="B559" s="1" t="str">
        <f>"ACK EQUITY LLC"</f>
        <v>ACK EQUITY LLC</v>
      </c>
      <c r="C559" s="1" t="str">
        <f>"PARSONS AVE SOUTHERN PINES SEC 1 LOT 23"</f>
        <v>PARSONS AVE SOUTHERN PINES SEC 1 LOT 23</v>
      </c>
      <c r="D559" s="1">
        <v>224.89</v>
      </c>
    </row>
    <row r="560" spans="1:4" x14ac:dyDescent="0.3">
      <c r="A560" s="1" t="str">
        <f>"01004504900"</f>
        <v>01004504900</v>
      </c>
      <c r="B560" s="1" t="str">
        <f>"ACK EQUITY LLC"</f>
        <v>ACK EQUITY LLC</v>
      </c>
      <c r="C560" s="1" t="str">
        <f>"1174 WLATERS ST S A SHOEMAKERS HRS LOT 131"</f>
        <v>1174 WLATERS ST S A SHOEMAKERS HRS LOT 131</v>
      </c>
      <c r="D560" s="1">
        <v>83.11</v>
      </c>
    </row>
    <row r="561" spans="1:4" x14ac:dyDescent="0.3">
      <c r="A561" s="1" t="str">
        <f>"01002965100"</f>
        <v>01002965100</v>
      </c>
      <c r="B561" s="1" t="str">
        <f>"ACK EQUITY LLC"</f>
        <v>ACK EQUITY LLC</v>
      </c>
      <c r="C561" s="1" t="str">
        <f>"329-331 REEB AVE 20TH CENTURY LOT 51"</f>
        <v>329-331 REEB AVE 20TH CENTURY LOT 51</v>
      </c>
      <c r="D561" s="1">
        <v>3432.26</v>
      </c>
    </row>
    <row r="562" spans="1:4" x14ac:dyDescent="0.3">
      <c r="A562" s="1" t="str">
        <f>"01000086400"</f>
        <v>01000086400</v>
      </c>
      <c r="B562" s="1" t="str">
        <f>"ACK EQUITY LLC"</f>
        <v>ACK EQUITY LLC</v>
      </c>
      <c r="C562" s="1" t="str">
        <f>"747 FRONT ST              JEAGER                    LOT 169                  "</f>
        <v xml:space="preserve">747 FRONT ST              JEAGER                    LOT 169                  </v>
      </c>
      <c r="D562" s="1">
        <v>8493.6</v>
      </c>
    </row>
    <row r="563" spans="1:4" x14ac:dyDescent="0.3">
      <c r="A563" s="1" t="str">
        <f>"26000036400"</f>
        <v>26000036400</v>
      </c>
      <c r="B563" s="1" t="str">
        <f>"ACK EQUITY LLC"</f>
        <v>ACK EQUITY LLC</v>
      </c>
      <c r="C563" s="1" t="str">
        <f>"OLIVETTE RD QUALSTAN EAST LOT 507"</f>
        <v>OLIVETTE RD QUALSTAN EAST LOT 507</v>
      </c>
      <c r="D563" s="1">
        <v>1078.1300000000001</v>
      </c>
    </row>
    <row r="564" spans="1:4" x14ac:dyDescent="0.3">
      <c r="A564" s="1" t="str">
        <f>"01016741400"</f>
        <v>01016741400</v>
      </c>
      <c r="B564" s="1" t="str">
        <f>"ACK EQUITY LLC"</f>
        <v>ACK EQUITY LLC</v>
      </c>
      <c r="C564" s="1" t="str">
        <f>"BRENTNELL RD AMVET HOMESTEAD 2 LOT 11 BLK T"</f>
        <v>BRENTNELL RD AMVET HOMESTEAD 2 LOT 11 BLK T</v>
      </c>
      <c r="D564" s="1">
        <v>779.74</v>
      </c>
    </row>
    <row r="565" spans="1:4" x14ac:dyDescent="0.3">
      <c r="A565" s="1" t="str">
        <f>"01025500700"</f>
        <v>01025500700</v>
      </c>
      <c r="B565" s="1" t="str">
        <f>"ACKERMAN KENNETH B"</f>
        <v>ACKERMAN KENNETH B</v>
      </c>
      <c r="C565" s="1" t="str">
        <f>"1 MIRANOVA PL CONDO # 2220 "</f>
        <v xml:space="preserve">1 MIRANOVA PL CONDO # 2220 </v>
      </c>
      <c r="D565" s="1">
        <v>8162.4</v>
      </c>
    </row>
    <row r="566" spans="1:4" x14ac:dyDescent="0.3">
      <c r="A566" s="1" t="str">
        <f>"07000270900"</f>
        <v>07000270900</v>
      </c>
      <c r="B566" s="1" t="str">
        <f>"ACKERMAN ROBERTA J TOD"</f>
        <v>ACKERMAN ROBERTA J TOD</v>
      </c>
      <c r="C566" s="1" t="str">
        <f>"2519 BRANDON RD BRANDON HEIGHTS LOT 122"</f>
        <v>2519 BRANDON RD BRANDON HEIGHTS LOT 122</v>
      </c>
      <c r="D566" s="1">
        <v>445.94</v>
      </c>
    </row>
    <row r="567" spans="1:4" x14ac:dyDescent="0.3">
      <c r="A567" s="1" t="str">
        <f>"01000669700"</f>
        <v>01000669700</v>
      </c>
      <c r="B567" s="1" t="str">
        <f>"ACKERMAN TIMOTHY A, ACKERMAN JACQUELINE MARIE"</f>
        <v>ACKERMAN TIMOTHY A, ACKERMAN JACQUELINE MARIE</v>
      </c>
      <c r="C567" s="1" t="str">
        <f>"2417-2419 N HIGH ST MONTGOMERY &amp; MCKEE LOT 6"</f>
        <v>2417-2419 N HIGH ST MONTGOMERY &amp; MCKEE LOT 6</v>
      </c>
      <c r="D567" s="1">
        <v>9470.1200000000008</v>
      </c>
    </row>
    <row r="568" spans="1:4" x14ac:dyDescent="0.3">
      <c r="A568" s="1" t="str">
        <f>"10000637400"</f>
        <v>10000637400</v>
      </c>
      <c r="B568" s="1" t="str">
        <f>"ACKERMAN TIMOTHY A, ACKERMAN JACQULINE M"</f>
        <v>ACKERMAN TIMOTHY A, ACKERMAN JACQULINE M</v>
      </c>
      <c r="C568" s="1" t="str">
        <f>"NEW ENGLAND AVE RUSH CREEK ESTATES LOT 1"</f>
        <v>NEW ENGLAND AVE RUSH CREEK ESTATES LOT 1</v>
      </c>
      <c r="D568" s="1">
        <v>20304.27</v>
      </c>
    </row>
    <row r="569" spans="1:4" x14ac:dyDescent="0.3">
      <c r="A569" s="1" t="str">
        <f>"01004643100"</f>
        <v>01004643100</v>
      </c>
      <c r="B569" s="1" t="str">
        <f>"ACKLA ANAKIZI"</f>
        <v>ACKLA ANAKIZI</v>
      </c>
      <c r="C569" s="1" t="str">
        <f>"1136 WALTER ST SA SHOEMAKER HRS LOT 140-1-2"</f>
        <v>1136 WALTER ST SA SHOEMAKER HRS LOT 140-1-2</v>
      </c>
      <c r="D569" s="1">
        <v>1912.96</v>
      </c>
    </row>
    <row r="570" spans="1:4" x14ac:dyDescent="0.3">
      <c r="A570" s="1" t="str">
        <f>"13000163800"</f>
        <v>13000163800</v>
      </c>
      <c r="B570" s="1" t="str">
        <f>"ACME 1665 LLC"</f>
        <v>ACME 1665 LLC</v>
      </c>
      <c r="C570" s="1" t="str">
        <f>"HESS BLVD UNIVERSITY VIEW 24 "</f>
        <v xml:space="preserve">HESS BLVD UNIVERSITY VIEW 24 </v>
      </c>
      <c r="D570" s="1">
        <v>6343.63</v>
      </c>
    </row>
    <row r="571" spans="1:4" x14ac:dyDescent="0.3">
      <c r="A571" s="1" t="str">
        <f>"01013157100"</f>
        <v>01013157100</v>
      </c>
      <c r="B571" s="1" t="str">
        <f>"ACQ EQUITY LLC"</f>
        <v>ACQ EQUITY LLC</v>
      </c>
      <c r="C571" s="1" t="str">
        <f>"BURLEY DR RADCLIFF LOT 15"</f>
        <v>BURLEY DR RADCLIFF LOT 15</v>
      </c>
      <c r="D571" s="1">
        <v>1116.18</v>
      </c>
    </row>
    <row r="572" spans="1:4" x14ac:dyDescent="0.3">
      <c r="A572" s="1" t="str">
        <f>"07000249800"</f>
        <v>07000249800</v>
      </c>
      <c r="B572" s="1" t="str">
        <f>"ADAIR CHERYL B"</f>
        <v>ADAIR CHERYL B</v>
      </c>
      <c r="C572" s="1" t="str">
        <f>"GUILFORD ROAD UPPER ARLINGTON LOT 22 BLK 147"</f>
        <v>GUILFORD ROAD UPPER ARLINGTON LOT 22 BLK 147</v>
      </c>
      <c r="D572" s="1">
        <v>9059.7099999999991</v>
      </c>
    </row>
    <row r="573" spans="1:4" x14ac:dyDescent="0.3">
      <c r="A573" s="1" t="str">
        <f>"01004209300"</f>
        <v>01004209300</v>
      </c>
      <c r="B573" s="1" t="str">
        <f>"ADAMS AISHA KAMILAH"</f>
        <v>ADAMS AISHA KAMILAH</v>
      </c>
      <c r="C573" s="1" t="str">
        <f>"475 N GARFIELD AVE JONES ADDITION LOT 122"</f>
        <v>475 N GARFIELD AVE JONES ADDITION LOT 122</v>
      </c>
      <c r="D573" s="1">
        <v>2912.34</v>
      </c>
    </row>
    <row r="574" spans="1:4" x14ac:dyDescent="0.3">
      <c r="A574" s="1" t="str">
        <f>"01010441500"</f>
        <v>01010441500</v>
      </c>
      <c r="B574" s="1" t="str">
        <f>"ADAMS CENTRAL LLC"</f>
        <v>ADAMS CENTRAL LLC</v>
      </c>
      <c r="C574" s="1" t="str">
        <f>"KOEBEL RD R22 T4 S2 3.460 ACRES"</f>
        <v>KOEBEL RD R22 T4 S2 3.460 ACRES</v>
      </c>
      <c r="D574" s="1">
        <v>557.49</v>
      </c>
    </row>
    <row r="575" spans="1:4" x14ac:dyDescent="0.3">
      <c r="A575" s="1" t="str">
        <f>"01010931400"</f>
        <v>01010931400</v>
      </c>
      <c r="B575" s="1" t="str">
        <f>"ADAMS CLIFFORD L"</f>
        <v>ADAMS CLIFFORD L</v>
      </c>
      <c r="C575" s="1" t="str">
        <f>"WOODLAND AVE CAPOCCIO 2 LOT 13"</f>
        <v>WOODLAND AVE CAPOCCIO 2 LOT 13</v>
      </c>
      <c r="D575" s="1">
        <v>700.1</v>
      </c>
    </row>
    <row r="576" spans="1:4" x14ac:dyDescent="0.3">
      <c r="A576" s="1" t="str">
        <f>"53024484200"</f>
        <v>53024484200</v>
      </c>
      <c r="B576" s="1" t="str">
        <f>"ADAMS EMANUEL F JR"</f>
        <v>ADAMS EMANUEL F JR</v>
      </c>
      <c r="C576" s="1" t="str">
        <f>"DELPORT WAY REMINGTON RIDGE SEC 3 PART 1 LOT 203"</f>
        <v>DELPORT WAY REMINGTON RIDGE SEC 3 PART 1 LOT 203</v>
      </c>
      <c r="D576" s="1">
        <v>3577.82</v>
      </c>
    </row>
    <row r="577" spans="1:4" x14ac:dyDescent="0.3">
      <c r="A577" s="1" t="str">
        <f>"01012811300"</f>
        <v>01012811300</v>
      </c>
      <c r="B577" s="1" t="str">
        <f>"ADAMS JAMES L JR"</f>
        <v>ADAMS JAMES L JR</v>
      </c>
      <c r="C577" s="1" t="str">
        <f>"LANDON DR BERWYN LOT 239"</f>
        <v>LANDON DR BERWYN LOT 239</v>
      </c>
      <c r="D577" s="1">
        <v>4473.25</v>
      </c>
    </row>
    <row r="578" spans="1:4" x14ac:dyDescent="0.3">
      <c r="A578" s="1" t="str">
        <f>"04000523700"</f>
        <v>04000523700</v>
      </c>
      <c r="B578" s="1" t="str">
        <f>"ADAMS KENNETH L, ADAMS BEVERLY K"</f>
        <v>ADAMS KENNETH L, ADAMS BEVERLY K</v>
      </c>
      <c r="C578" s="1" t="str">
        <f>"6136 BORROR ROAD INDIAN TRAILS SEC 1 LOT 1"</f>
        <v>6136 BORROR ROAD INDIAN TRAILS SEC 1 LOT 1</v>
      </c>
      <c r="D578" s="1">
        <v>226.74</v>
      </c>
    </row>
    <row r="579" spans="1:4" x14ac:dyDescent="0.3">
      <c r="A579" s="1" t="str">
        <f>"10000604500"</f>
        <v>10000604500</v>
      </c>
      <c r="B579" s="1" t="str">
        <f>"ADAMS LAWRENCE EDWARD TR"</f>
        <v>ADAMS LAWRENCE EDWARD TR</v>
      </c>
      <c r="C579" s="1" t="str">
        <f>"6917 PERRY DR PERRY HIGHLANDS LOT 14"</f>
        <v>6917 PERRY DR PERRY HIGHLANDS LOT 14</v>
      </c>
      <c r="D579" s="1">
        <v>6585.26</v>
      </c>
    </row>
    <row r="580" spans="1:4" x14ac:dyDescent="0.3">
      <c r="A580" s="1" t="str">
        <f>"01025826900"</f>
        <v>01025826900</v>
      </c>
      <c r="B580" s="1" t="str">
        <f>"ADAMS LINDA K"</f>
        <v>ADAMS LINDA K</v>
      </c>
      <c r="C580" s="1" t="str">
        <f>"KNOLL RUN ROAD ALKIRE LAKES SECTION 3 PART 2 LOT 176"</f>
        <v>KNOLL RUN ROAD ALKIRE LAKES SECTION 3 PART 2 LOT 176</v>
      </c>
      <c r="D580" s="1">
        <v>128.18</v>
      </c>
    </row>
    <row r="581" spans="1:4" x14ac:dyDescent="0.3">
      <c r="A581" s="1" t="str">
        <f>"01015670100"</f>
        <v>01015670100</v>
      </c>
      <c r="B581" s="1" t="str">
        <f>"ADAMS LOVE DOMINIQUE"</f>
        <v>ADAMS LOVE DOMINIQUE</v>
      </c>
      <c r="C581" s="1" t="str">
        <f>"BLUE RIDGE RD CUMBERLAND RIDGE SEC 2 LOT 161"</f>
        <v>BLUE RIDGE RD CUMBERLAND RIDGE SEC 2 LOT 161</v>
      </c>
      <c r="D581" s="1">
        <v>3376.13</v>
      </c>
    </row>
    <row r="582" spans="1:4" x14ac:dyDescent="0.3">
      <c r="A582" s="1" t="str">
        <f>"56021874200"</f>
        <v>56021874200</v>
      </c>
      <c r="B582" s="1" t="str">
        <f>"ADAMS SUSAN K"</f>
        <v>ADAMS SUSAN K</v>
      </c>
      <c r="C582" s="1" t="str">
        <f>"HILLIARD HEIGHTS CONDO #2 5TH AMD UNIT 29A"</f>
        <v>HILLIARD HEIGHTS CONDO #2 5TH AMD UNIT 29A</v>
      </c>
      <c r="D582" s="1">
        <v>282.11</v>
      </c>
    </row>
    <row r="583" spans="1:4" x14ac:dyDescent="0.3">
      <c r="A583" s="1" t="str">
        <f>"08001116900"</f>
        <v>08001116900</v>
      </c>
      <c r="B583" s="1" t="str">
        <f>"ADAMS TAMARA DELYNN"</f>
        <v>ADAMS TAMARA DELYNN</v>
      </c>
      <c r="C583" s="1" t="str">
        <f>"BOEHM COURT SPRING GROVE NORTH SEC 1 PHASE 1 LOT 6"</f>
        <v>BOEHM COURT SPRING GROVE NORTH SEC 1 PHASE 1 LOT 6</v>
      </c>
      <c r="D583" s="1">
        <v>7618.34</v>
      </c>
    </row>
    <row r="584" spans="1:4" x14ac:dyDescent="0.3">
      <c r="A584" s="1" t="str">
        <f>"01016166700"</f>
        <v>01016166700</v>
      </c>
      <c r="B584" s="1" t="str">
        <f>"ADEBUGA SAMUEL"</f>
        <v>ADEBUGA SAMUEL</v>
      </c>
      <c r="C584" s="1" t="str">
        <f>"WINDING HILLS COURT WINDING HILLS CONDOMINIUM 2473"</f>
        <v>WINDING HILLS COURT WINDING HILLS CONDOMINIUM 2473</v>
      </c>
      <c r="D584" s="1">
        <v>802.01</v>
      </c>
    </row>
    <row r="585" spans="1:4" x14ac:dyDescent="0.3">
      <c r="A585" s="1" t="str">
        <f>"01016273700"</f>
        <v>01016273700</v>
      </c>
      <c r="B585" s="1" t="str">
        <f>"ADELINE PROPERTY INVESTMENTS LLC"</f>
        <v>ADELINE PROPERTY INVESTMENTS LLC</v>
      </c>
      <c r="C585" s="1" t="str">
        <f>"MOUNTVILLE AVE WALNUT BLUFF NO 4 LOT 1082"</f>
        <v>MOUNTVILLE AVE WALNUT BLUFF NO 4 LOT 1082</v>
      </c>
      <c r="D585" s="1">
        <v>134.94999999999999</v>
      </c>
    </row>
    <row r="586" spans="1:4" x14ac:dyDescent="0.3">
      <c r="A586" s="1" t="str">
        <f>"56022738400"</f>
        <v>56022738400</v>
      </c>
      <c r="B586" s="1" t="str">
        <f>"ADELMAN VANESSA, ADELMAN JOHN MICHAEL"</f>
        <v>ADELMAN VANESSA, ADELMAN JOHN MICHAEL</v>
      </c>
      <c r="C586" s="1" t="str">
        <f>"HILLIARD COMMONS CONDOMINIUM 1ST AMD UNIT 124A"</f>
        <v>HILLIARD COMMONS CONDOMINIUM 1ST AMD UNIT 124A</v>
      </c>
      <c r="D586" s="1">
        <v>3879.85</v>
      </c>
    </row>
    <row r="587" spans="1:4" x14ac:dyDescent="0.3">
      <c r="A587" s="1" t="str">
        <f>"60025143100"</f>
        <v>60025143100</v>
      </c>
      <c r="B587" s="1" t="str">
        <f>"ADEN ABDI, SAID NAIMA"</f>
        <v>ADEN ABDI, SAID NAIMA</v>
      </c>
      <c r="C587" s="1" t="str">
        <f>"VICTORY COURT WALTHAM WOODS LOT 17"</f>
        <v>VICTORY COURT WALTHAM WOODS LOT 17</v>
      </c>
      <c r="D587" s="1">
        <v>6124.9</v>
      </c>
    </row>
    <row r="588" spans="1:4" x14ac:dyDescent="0.3">
      <c r="A588" s="1" t="str">
        <f>"08000537400"</f>
        <v>08000537400</v>
      </c>
      <c r="B588" s="1" t="str">
        <f>"ADEN ABDULKADIR J"</f>
        <v>ADEN ABDULKADIR J</v>
      </c>
      <c r="C588" s="1" t="str">
        <f>"HERITAGE CONDOMINIUM BLDG 7 UNIT 4-J"</f>
        <v>HERITAGE CONDOMINIUM BLDG 7 UNIT 4-J</v>
      </c>
      <c r="D588" s="1">
        <v>615.05999999999995</v>
      </c>
    </row>
    <row r="589" spans="1:4" x14ac:dyDescent="0.3">
      <c r="A589" s="1" t="str">
        <f>"21300159500"</f>
        <v>21300159500</v>
      </c>
      <c r="B589" s="1" t="str">
        <f>"ADEN FAISAL, AHMED UREJI"</f>
        <v>ADEN FAISAL, AHMED UREJI</v>
      </c>
      <c r="C589" s="1" t="str">
        <f>"MERWIN RD E BROOKSIDE ESTATES 5 LOT 23"</f>
        <v>MERWIN RD E BROOKSIDE ESTATES 5 LOT 23</v>
      </c>
      <c r="D589" s="1">
        <v>6328.05</v>
      </c>
    </row>
    <row r="590" spans="1:4" x14ac:dyDescent="0.3">
      <c r="A590" s="1" t="str">
        <f>"60019022800"</f>
        <v>60019022800</v>
      </c>
      <c r="B590" s="1" t="str">
        <f>"ADEN OMAR"</f>
        <v>ADEN OMAR</v>
      </c>
      <c r="C590" s="1" t="str">
        <f>"MAGNOLIA BLOSSOM BL STRAWBERRY FARMS 7 LOT 349"</f>
        <v>MAGNOLIA BLOSSOM BL STRAWBERRY FARMS 7 LOT 349</v>
      </c>
      <c r="D590" s="1">
        <v>2295.89</v>
      </c>
    </row>
    <row r="591" spans="1:4" x14ac:dyDescent="0.3">
      <c r="A591" s="1" t="str">
        <f>"01012331600"</f>
        <v>01012331600</v>
      </c>
      <c r="B591" s="1" t="str">
        <f>"ADERAJEW MAMIT W, ADERAJEW MAMIT, MESFIN FESSEHA"</f>
        <v>ADERAJEW MAMIT W, ADERAJEW MAMIT, MESFIN FESSEHA</v>
      </c>
      <c r="C591" s="1" t="str">
        <f>"BERNHARD RD PINECREST 4 LOT 643"</f>
        <v>BERNHARD RD PINECREST 4 LOT 643</v>
      </c>
      <c r="D591" s="1">
        <v>136.77000000000001</v>
      </c>
    </row>
    <row r="592" spans="1:4" x14ac:dyDescent="0.3">
      <c r="A592" s="1" t="str">
        <f>"01012891700"</f>
        <v>01012891700</v>
      </c>
      <c r="B592" s="1" t="str">
        <f>"ADEYELE MAYOWA"</f>
        <v>ADEYELE MAYOWA</v>
      </c>
      <c r="C592" s="1" t="str">
        <f>"PANNELL AVE MILLBROOK LOT 55"</f>
        <v>PANNELL AVE MILLBROOK LOT 55</v>
      </c>
      <c r="D592" s="1">
        <v>1168.4100000000001</v>
      </c>
    </row>
    <row r="593" spans="1:4" x14ac:dyDescent="0.3">
      <c r="A593" s="1" t="str">
        <f>"14000060200"</f>
        <v>14000060200</v>
      </c>
      <c r="B593" s="1" t="str">
        <f>"ADHIKARI BHISHAN"</f>
        <v>ADHIKARI BHISHAN</v>
      </c>
      <c r="C593" s="1" t="str">
        <f>"1820 HOPKINS AVE GIBSON LOTS 374 &amp; 375"</f>
        <v>1820 HOPKINS AVE GIBSON LOTS 374 &amp; 375</v>
      </c>
      <c r="D593" s="1">
        <v>1206.96</v>
      </c>
    </row>
    <row r="594" spans="1:4" x14ac:dyDescent="0.3">
      <c r="A594" s="1" t="str">
        <f>"60023691900"</f>
        <v>60023691900</v>
      </c>
      <c r="B594" s="1" t="str">
        <f>"ADHIKARI NIRMALA, ADHIKARI KASHI N"</f>
        <v>ADHIKARI NIRMALA, ADHIKARI KASHI N</v>
      </c>
      <c r="C594" s="1" t="str">
        <f>"VINING DRIVE NORTHLAND PARK ESTATES LOT 17"</f>
        <v>VINING DRIVE NORTHLAND PARK ESTATES LOT 17</v>
      </c>
      <c r="D594" s="1">
        <v>4277.66</v>
      </c>
    </row>
    <row r="595" spans="1:4" x14ac:dyDescent="0.3">
      <c r="A595" s="1" t="str">
        <f>"01003146200"</f>
        <v>01003146200</v>
      </c>
      <c r="B595" s="1" t="str">
        <f>"ADKINS BRIAN"</f>
        <v>ADKINS BRIAN</v>
      </c>
      <c r="C595" s="1" t="str">
        <f>"12TH AVE CASSADY PEAKE MEADOW LOT 6"</f>
        <v>12TH AVE CASSADY PEAKE MEADOW LOT 6</v>
      </c>
      <c r="D595" s="1">
        <v>2041.9</v>
      </c>
    </row>
    <row r="596" spans="1:4" x14ac:dyDescent="0.3">
      <c r="A596" s="1" t="str">
        <f>"61026770800"</f>
        <v>61026770800</v>
      </c>
      <c r="B596" s="1" t="str">
        <f>"ADKINS CHARLES R, ADKINS CHRISTINA L"</f>
        <v>ADKINS CHARLES R, ADKINS CHRISTINA L</v>
      </c>
      <c r="C596" s="1" t="str">
        <f>"GREEN RAVINE DRIVE LAZELLE WOODS SECTION 2 LOT 67"</f>
        <v>GREEN RAVINE DRIVE LAZELLE WOODS SECTION 2 LOT 67</v>
      </c>
      <c r="D596" s="1">
        <v>463.61</v>
      </c>
    </row>
    <row r="597" spans="1:4" x14ac:dyDescent="0.3">
      <c r="A597" s="1" t="str">
        <f>"53015664000"</f>
        <v>53015664000</v>
      </c>
      <c r="B597" s="1" t="str">
        <f>"ADKINS PAUL D, ADKINS CRAIG"</f>
        <v>ADKINS PAUL D, ADKINS CRAIG</v>
      </c>
      <c r="C597" s="1" t="str">
        <f>"ALUM CREEK DRIVE R21 T11 S4-5 3.045 ACRES"</f>
        <v>ALUM CREEK DRIVE R21 T11 S4-5 3.045 ACRES</v>
      </c>
      <c r="D597" s="1">
        <v>6875.35</v>
      </c>
    </row>
    <row r="598" spans="1:4" x14ac:dyDescent="0.3">
      <c r="A598" s="1" t="str">
        <f>"06000061400"</f>
        <v>06000061400</v>
      </c>
      <c r="B598" s="1" t="str">
        <f>"ADKINS STEPHEN R"</f>
        <v>ADKINS STEPHEN R</v>
      </c>
      <c r="C598" s="1" t="str">
        <f>"PLEASANT DR BROOKSIDE PARK 2 LOT 190"</f>
        <v>PLEASANT DR BROOKSIDE PARK 2 LOT 190</v>
      </c>
      <c r="D598" s="1">
        <v>3662.86</v>
      </c>
    </row>
    <row r="599" spans="1:4" x14ac:dyDescent="0.3">
      <c r="A599" s="1" t="str">
        <f>"15200152300"</f>
        <v>15200152300</v>
      </c>
      <c r="B599" s="1" t="str">
        <f>"ADKINS VEARL, ADKINS SHERI L"</f>
        <v>ADKINS VEARL, ADKINS SHERI L</v>
      </c>
      <c r="C599" s="1" t="str">
        <f>"DEXTER COURT DEXTER VILLAGE LOT 53"</f>
        <v>DEXTER COURT DEXTER VILLAGE LOT 53</v>
      </c>
      <c r="D599" s="1">
        <v>2201.0500000000002</v>
      </c>
    </row>
    <row r="600" spans="1:4" x14ac:dyDescent="0.3">
      <c r="A600" s="1" t="str">
        <f>"01002020000"</f>
        <v>01002020000</v>
      </c>
      <c r="B600" s="1" t="str">
        <f>"ADLIFE HUMAN SERVICES INC"</f>
        <v>ADLIFE HUMAN SERVICES INC</v>
      </c>
      <c r="C600" s="1" t="str">
        <f>"73 E STATE ST IN LOT 1.221 ACRES"</f>
        <v>73 E STATE ST IN LOT 1.221 ACRES</v>
      </c>
      <c r="D600" s="1">
        <v>286007.8</v>
      </c>
    </row>
    <row r="601" spans="1:4" x14ac:dyDescent="0.3">
      <c r="A601" s="1" t="str">
        <f>"01009301300"</f>
        <v>01009301300</v>
      </c>
      <c r="B601" s="1" t="str">
        <f>"ADRM HAMPTON LLC"</f>
        <v>ADRM HAMPTON LLC</v>
      </c>
      <c r="C601" s="1" t="str">
        <f>"HAMPTON RD BROADLAND PLC LOT 87"</f>
        <v>HAMPTON RD BROADLAND PLC LOT 87</v>
      </c>
      <c r="D601" s="1">
        <v>1930.14</v>
      </c>
    </row>
    <row r="602" spans="1:4" x14ac:dyDescent="0.3">
      <c r="A602" s="1" t="str">
        <f>"01007836700"</f>
        <v>01007836700</v>
      </c>
      <c r="B602" s="1" t="str">
        <f>"ADRM KELLNER LLC"</f>
        <v>ADRM KELLNER LLC</v>
      </c>
      <c r="C602" s="1" t="str">
        <f>"N KELLNER RD EASTVALE LOT 34"</f>
        <v>N KELLNER RD EASTVALE LOT 34</v>
      </c>
      <c r="D602" s="1">
        <v>1428.26</v>
      </c>
    </row>
    <row r="603" spans="1:4" x14ac:dyDescent="0.3">
      <c r="A603" s="1" t="str">
        <f>"01000860300"</f>
        <v>01000860300</v>
      </c>
      <c r="B603" s="1" t="str">
        <f>"ADRM NACE LLC"</f>
        <v>ADRM NACE LLC</v>
      </c>
      <c r="C603" s="1" t="str">
        <f>"415 NACE AVENUE HAMILTON PLACE LOT 170"</f>
        <v>415 NACE AVENUE HAMILTON PLACE LOT 170</v>
      </c>
      <c r="D603" s="1">
        <v>1055.33</v>
      </c>
    </row>
    <row r="604" spans="1:4" x14ac:dyDescent="0.3">
      <c r="A604" s="1" t="str">
        <f>"01001408000"</f>
        <v>01001408000</v>
      </c>
      <c r="B604" s="1" t="str">
        <f>"ADRM NACE LLC"</f>
        <v>ADRM NACE LLC</v>
      </c>
      <c r="C604" s="1" t="str">
        <f>"COR NACE &amp; CAMPBELL HAMILTON PLACE LOT 171"</f>
        <v>COR NACE &amp; CAMPBELL HAMILTON PLACE LOT 171</v>
      </c>
      <c r="D604" s="1">
        <v>158.77000000000001</v>
      </c>
    </row>
    <row r="605" spans="1:4" x14ac:dyDescent="0.3">
      <c r="A605" s="1" t="str">
        <f>"01004209700"</f>
        <v>01004209700</v>
      </c>
      <c r="B605" s="1" t="str">
        <f>"ADS HOMES LLC"</f>
        <v>ADS HOMES LLC</v>
      </c>
      <c r="C605" s="1" t="str">
        <f>"56 N OHIO AVE BULLITS OHIO AVE LOT 15"</f>
        <v>56 N OHIO AVE BULLITS OHIO AVE LOT 15</v>
      </c>
      <c r="D605" s="1">
        <v>4515.33</v>
      </c>
    </row>
    <row r="606" spans="1:4" x14ac:dyDescent="0.3">
      <c r="A606" s="1" t="str">
        <f>"01007828400"</f>
        <v>01007828400</v>
      </c>
      <c r="B606" s="1" t="str">
        <f>"ADS HOMES LLC"</f>
        <v>ADS HOMES LLC</v>
      </c>
      <c r="C606" s="1" t="str">
        <f>"742 S TERRACE AVE WESTLAND EXTENSION LOT 309"</f>
        <v>742 S TERRACE AVE WESTLAND EXTENSION LOT 309</v>
      </c>
      <c r="D606" s="1">
        <v>3194.95</v>
      </c>
    </row>
    <row r="607" spans="1:4" x14ac:dyDescent="0.3">
      <c r="A607" s="1" t="str">
        <f>"01018638100"</f>
        <v>01018638100</v>
      </c>
      <c r="B607" s="1" t="str">
        <f>"ADU-ADJEI PHILIP, ACKAH ADU-ADJEI JOSEPHINE"</f>
        <v>ADU-ADJEI PHILIP, ACKAH ADU-ADJEI JOSEPHINE</v>
      </c>
      <c r="C607" s="1" t="str">
        <f>"LAURELWOOD DR MEADS LAURELWD CONDO UNIT 2260-L BLDG 8"</f>
        <v>LAURELWOOD DR MEADS LAURELWD CONDO UNIT 2260-L BLDG 8</v>
      </c>
      <c r="D607" s="1">
        <v>428.99</v>
      </c>
    </row>
    <row r="608" spans="1:4" x14ac:dyDescent="0.3">
      <c r="A608" s="1" t="str">
        <f>"08001186200"</f>
        <v>08001186200</v>
      </c>
      <c r="B608" s="1" t="str">
        <f>"ADVAITH PROPERTIES LLC"</f>
        <v>ADVAITH PROPERTIES LLC</v>
      </c>
      <c r="C608" s="1" t="str">
        <f>"S CLEVELAND AVE R17 T2 1/4T2 7.553 ACRES"</f>
        <v>S CLEVELAND AVE R17 T2 1/4T2 7.553 ACRES</v>
      </c>
      <c r="D608" s="1">
        <v>75.98</v>
      </c>
    </row>
    <row r="609" spans="1:4" x14ac:dyDescent="0.3">
      <c r="A609" s="1" t="str">
        <f>"01007212000"</f>
        <v>01007212000</v>
      </c>
      <c r="B609" s="1" t="str">
        <f>"ADYE ALAN"</f>
        <v>ADYE ALAN</v>
      </c>
      <c r="C609" s="1" t="str">
        <f>"335 BLENHEIM RD NORTHRIDGE AMD LOT 101"</f>
        <v>335 BLENHEIM RD NORTHRIDGE AMD LOT 101</v>
      </c>
      <c r="D609" s="1">
        <v>171.6</v>
      </c>
    </row>
    <row r="610" spans="1:4" x14ac:dyDescent="0.3">
      <c r="A610" s="1" t="str">
        <f>"27300636900"</f>
        <v>27300636900</v>
      </c>
      <c r="B610" s="1" t="str">
        <f>"AERI PANKAJ, AERI ISHITA V"</f>
        <v>AERI PANKAJ, AERI ISHITA V</v>
      </c>
      <c r="C610" s="1" t="str">
        <f>"0000 ROUND TOWER LN DUBLINSHIRE SEC4 PH1 LOT 322"</f>
        <v>0000 ROUND TOWER LN DUBLINSHIRE SEC4 PH1 LOT 322</v>
      </c>
      <c r="D610" s="1">
        <v>5168.62</v>
      </c>
    </row>
    <row r="611" spans="1:4" x14ac:dyDescent="0.3">
      <c r="A611" s="1" t="str">
        <f>"51016039300"</f>
        <v>51016039300</v>
      </c>
      <c r="B611" s="1" t="str">
        <f>"AFAGHI MICHAEL, KHOSHARA FARIBA"</f>
        <v>AFAGHI MICHAEL, KHOSHARA FARIBA</v>
      </c>
      <c r="C611" s="1" t="str">
        <f>"4094 CLABBER RD SOUTHERN PINES SEC 9 LOT 1070"</f>
        <v>4094 CLABBER RD SOUTHERN PINES SEC 9 LOT 1070</v>
      </c>
      <c r="D611" s="1">
        <v>94.06</v>
      </c>
    </row>
    <row r="612" spans="1:4" x14ac:dyDescent="0.3">
      <c r="A612" s="1" t="str">
        <f>"01011307100"</f>
        <v>01011307100</v>
      </c>
      <c r="B612" s="1" t="str">
        <f>"AFAGHI MICHAEL, KHOSHARAI FARIBA"</f>
        <v>AFAGHI MICHAEL, KHOSHARAI FARIBA</v>
      </c>
      <c r="C612" s="1" t="str">
        <f>"177 DERING AVE S HIGH ST LOT 142"</f>
        <v>177 DERING AVE S HIGH ST LOT 142</v>
      </c>
      <c r="D612" s="1">
        <v>83.46</v>
      </c>
    </row>
    <row r="613" spans="1:4" x14ac:dyDescent="0.3">
      <c r="A613" s="1" t="str">
        <f>"56016242400"</f>
        <v>56016242400</v>
      </c>
      <c r="B613" s="1" t="str">
        <f>"AFAZ SADIA FARHANA"</f>
        <v>AFAZ SADIA FARHANA</v>
      </c>
      <c r="C613" s="1" t="str">
        <f>"SCIOTO DARBY EXECUTIVE DR ENTRY 287 0.015 ACRE"</f>
        <v>SCIOTO DARBY EXECUTIVE DR ENTRY 287 0.015 ACRE</v>
      </c>
      <c r="D613" s="1">
        <v>16.649999999999999</v>
      </c>
    </row>
    <row r="614" spans="1:4" x14ac:dyDescent="0.3">
      <c r="A614" s="1" t="str">
        <f>"56016242600"</f>
        <v>56016242600</v>
      </c>
      <c r="B614" s="1" t="str">
        <f>"AFAZ SADIA FARHANA"</f>
        <v>AFAZ SADIA FARHANA</v>
      </c>
      <c r="C614" s="1" t="str">
        <f>"SCIOTO DARBY CK RD ENTRY 547 1.040 ACRES"</f>
        <v>SCIOTO DARBY CK RD ENTRY 547 1.040 ACRES</v>
      </c>
      <c r="D614" s="1">
        <v>2180.37</v>
      </c>
    </row>
    <row r="615" spans="1:4" x14ac:dyDescent="0.3">
      <c r="A615" s="1" t="str">
        <f>"01028742200"</f>
        <v>01028742200</v>
      </c>
      <c r="B615" s="1" t="str">
        <f>"AFRICAN GLOBAL DEVELOPMENT INITIATIVE INC"</f>
        <v>AFRICAN GLOBAL DEVELOPMENT INITIATIVE INC</v>
      </c>
      <c r="C615" s="1" t="str">
        <f>"PRESERVE CROSSING         CONDOMINIUM 14TH AMD      BLDG 32 UNIT 32-6237     "</f>
        <v xml:space="preserve">PRESERVE CROSSING         CONDOMINIUM 14TH AMD      BLDG 32 UNIT 32-6237     </v>
      </c>
      <c r="D615" s="1">
        <v>4230.1000000000004</v>
      </c>
    </row>
    <row r="616" spans="1:4" x14ac:dyDescent="0.3">
      <c r="A616" s="1" t="str">
        <f>"01009439500"</f>
        <v>01009439500</v>
      </c>
      <c r="B616" s="1" t="str">
        <f>"AFRIDI PROPERTIES LLC"</f>
        <v>AFRIDI PROPERTIES LLC</v>
      </c>
      <c r="C616" s="1" t="str">
        <f>"1588 OAKLAND PK AVE .2596AC SUB 4&amp;5 "</f>
        <v xml:space="preserve">1588 OAKLAND PK AVE .2596AC SUB 4&amp;5 </v>
      </c>
      <c r="D616" s="1">
        <v>3592.3</v>
      </c>
    </row>
    <row r="617" spans="1:4" x14ac:dyDescent="0.3">
      <c r="A617" s="1" t="str">
        <f>"01025306900"</f>
        <v>01025306900</v>
      </c>
      <c r="B617" s="1" t="str">
        <f>"AGBORENOW HOMES LLC"</f>
        <v>AGBORENOW HOMES LLC</v>
      </c>
      <c r="C617" s="1" t="str">
        <f>"SHARON WOODS OFFICE CONDOMINIUM UNIT A"</f>
        <v>SHARON WOODS OFFICE CONDOMINIUM UNIT A</v>
      </c>
      <c r="D617" s="1">
        <v>12192.02</v>
      </c>
    </row>
    <row r="618" spans="1:4" x14ac:dyDescent="0.3">
      <c r="A618" s="1" t="str">
        <f>"01005076500"</f>
        <v>01005076500</v>
      </c>
      <c r="B618" s="1" t="str">
        <f>"AGDZ REAL ESTATE CORP"</f>
        <v>AGDZ REAL ESTATE CORP</v>
      </c>
      <c r="C618" s="1" t="str">
        <f>"38 INNIS AVE DURRETTS LOT 8-9"</f>
        <v>38 INNIS AVE DURRETTS LOT 8-9</v>
      </c>
      <c r="D618" s="1">
        <v>1468.96</v>
      </c>
    </row>
    <row r="619" spans="1:4" x14ac:dyDescent="0.3">
      <c r="A619" s="1" t="str">
        <f>"07000529100"</f>
        <v>07000529100</v>
      </c>
      <c r="B619" s="1" t="str">
        <f>"AGRIESTI ANTHONY J"</f>
        <v>AGRIESTI ANTHONY J</v>
      </c>
      <c r="C619" s="1" t="str">
        <f>"CLIFTON RD EAST CLEFT LOT 175"</f>
        <v>CLIFTON RD EAST CLEFT LOT 175</v>
      </c>
      <c r="D619" s="1">
        <v>933.19</v>
      </c>
    </row>
    <row r="620" spans="1:4" x14ac:dyDescent="0.3">
      <c r="A620" s="1" t="str">
        <f>"57018496100"</f>
        <v>57018496100</v>
      </c>
      <c r="B620" s="1" t="str">
        <f>"AGRIESTI ANTHONY J"</f>
        <v>AGRIESTI ANTHONY J</v>
      </c>
      <c r="C620" s="1" t="str">
        <f>"ROMONA PL SUNNY DELLS LOT 72"</f>
        <v>ROMONA PL SUNNY DELLS LOT 72</v>
      </c>
      <c r="D620" s="1">
        <v>609.53</v>
      </c>
    </row>
    <row r="621" spans="1:4" x14ac:dyDescent="0.3">
      <c r="A621" s="1" t="str">
        <f>"13000124800"</f>
        <v>13000124800</v>
      </c>
      <c r="B621" s="1" t="str">
        <f>"AGUILAR BRAVO"</f>
        <v>AGUILAR BRAVO</v>
      </c>
      <c r="C621" s="1" t="str">
        <f>"2125 FERRIS RD NORTH LINDEN 1 LOT 112"</f>
        <v>2125 FERRIS RD NORTH LINDEN 1 LOT 112</v>
      </c>
      <c r="D621" s="1">
        <v>3720.72</v>
      </c>
    </row>
    <row r="622" spans="1:4" x14ac:dyDescent="0.3">
      <c r="A622" s="1" t="str">
        <f>"01009334800"</f>
        <v>01009334800</v>
      </c>
      <c r="B622" s="1" t="str">
        <f>"AGUILAR J MANUEL"</f>
        <v>AGUILAR J MANUEL</v>
      </c>
      <c r="C622" s="1" t="str">
        <f>"OAKLANDPARK AVE OAK PARK LOT 2"</f>
        <v>OAKLANDPARK AVE OAK PARK LOT 2</v>
      </c>
      <c r="D622" s="1">
        <v>2638.4</v>
      </c>
    </row>
    <row r="623" spans="1:4" x14ac:dyDescent="0.3">
      <c r="A623" s="1" t="str">
        <f>"19000318300"</f>
        <v>19000318300</v>
      </c>
      <c r="B623" s="1" t="str">
        <f>"AGUILAR J MANUEL"</f>
        <v>AGUILAR J MANUEL</v>
      </c>
      <c r="C623" s="1" t="str">
        <f>"2630 DRAKE RD ACRES 1.916 R17 T1 1-4T3 "</f>
        <v xml:space="preserve">2630 DRAKE RD ACRES 1.916 R17 T1 1-4T3 </v>
      </c>
      <c r="D623" s="1">
        <v>2205.29</v>
      </c>
    </row>
    <row r="624" spans="1:4" x14ac:dyDescent="0.3">
      <c r="A624" s="1" t="str">
        <f>"01012431900"</f>
        <v>01012431900</v>
      </c>
      <c r="B624" s="1" t="str">
        <f>"AGUILAR PAULINO"</f>
        <v>AGUILAR PAULINO</v>
      </c>
      <c r="C624" s="1" t="str">
        <f>"LANCELOT RD SHERWOOD FOREST 1 LOT 34"</f>
        <v>LANCELOT RD SHERWOOD FOREST 1 LOT 34</v>
      </c>
      <c r="D624" s="1">
        <v>1686.52</v>
      </c>
    </row>
    <row r="625" spans="1:4" x14ac:dyDescent="0.3">
      <c r="A625" s="1" t="str">
        <f>"60018602500"</f>
        <v>60018602500</v>
      </c>
      <c r="B625" s="1" t="str">
        <f>"AGUILAR RAUL L"</f>
        <v>AGUILAR RAUL L</v>
      </c>
      <c r="C625" s="1" t="str">
        <f>"BLAREFIELD DR BRANDYWINE MEADOWS 4 LOT 229"</f>
        <v>BLAREFIELD DR BRANDYWINE MEADOWS 4 LOT 229</v>
      </c>
      <c r="D625" s="1">
        <v>2017.26</v>
      </c>
    </row>
    <row r="626" spans="1:4" x14ac:dyDescent="0.3">
      <c r="A626" s="1" t="str">
        <f>"04000769700"</f>
        <v>04000769700</v>
      </c>
      <c r="B626" s="1" t="str">
        <f>"AGUNGA RITA R"</f>
        <v>AGUNGA RITA R</v>
      </c>
      <c r="C626" s="1" t="str">
        <f>"BUCKEYE PARKWAY CROSSING AT GRANT RUN SEC 1   LOT 21"</f>
        <v>BUCKEYE PARKWAY CROSSING AT GRANT RUN SEC 1   LOT 21</v>
      </c>
      <c r="D626" s="1">
        <v>35.92</v>
      </c>
    </row>
    <row r="627" spans="1:4" x14ac:dyDescent="0.3">
      <c r="A627" s="1" t="str">
        <f>"11000269500"</f>
        <v>11000269500</v>
      </c>
      <c r="B627" s="1" t="str">
        <f>"AGYEI JOSEPH, AGYEI VIDA"</f>
        <v>AGYEI JOSEPH, AGYEI VIDA</v>
      </c>
      <c r="C627" s="1" t="str">
        <f>"CLEVELAND AVE BELMONT PLACE AMD 13"</f>
        <v>CLEVELAND AVE BELMONT PLACE AMD 13</v>
      </c>
      <c r="D627" s="1">
        <v>1323.4</v>
      </c>
    </row>
    <row r="628" spans="1:4" x14ac:dyDescent="0.3">
      <c r="A628" s="1" t="str">
        <f>"11000269100"</f>
        <v>11000269100</v>
      </c>
      <c r="B628" s="1" t="str">
        <f>"AGYEI JOSEPH, AGYEI VIDA"</f>
        <v>AGYEI JOSEPH, AGYEI VIDA</v>
      </c>
      <c r="C628" s="1" t="str">
        <f>"CLEVELAND AVE BELMONT PLACE AMD 11"</f>
        <v>CLEVELAND AVE BELMONT PLACE AMD 11</v>
      </c>
      <c r="D628" s="1">
        <v>1323.4</v>
      </c>
    </row>
    <row r="629" spans="1:4" x14ac:dyDescent="0.3">
      <c r="A629" s="1" t="str">
        <f>"11000269200"</f>
        <v>11000269200</v>
      </c>
      <c r="B629" s="1" t="str">
        <f>"AGYEI JOSEPH, AGYEI VIDA"</f>
        <v>AGYEI JOSEPH, AGYEI VIDA</v>
      </c>
      <c r="C629" s="1" t="str">
        <f>"CLEVELAND AVE BELMONT PLACE AMD 12"</f>
        <v>CLEVELAND AVE BELMONT PLACE AMD 12</v>
      </c>
      <c r="D629" s="1">
        <v>1323.4</v>
      </c>
    </row>
    <row r="630" spans="1:4" x14ac:dyDescent="0.3">
      <c r="A630" s="1" t="str">
        <f>"01024924800"</f>
        <v>01024924800</v>
      </c>
      <c r="B630" s="1" t="str">
        <f>"AGYEMAN STEPHEN BOAKYE, GYASI DORIS OSEI"</f>
        <v>AGYEMAN STEPHEN BOAKYE, GYASI DORIS OSEI</v>
      </c>
      <c r="C630" s="1" t="str">
        <f>"ABINGDON DRIVE FRAMINGHAM PLACE SECTION 1 LOT 282"</f>
        <v>ABINGDON DRIVE FRAMINGHAM PLACE SECTION 1 LOT 282</v>
      </c>
      <c r="D630" s="1">
        <v>169</v>
      </c>
    </row>
    <row r="631" spans="1:4" x14ac:dyDescent="0.3">
      <c r="A631" s="1" t="str">
        <f>"61022812600"</f>
        <v>61022812600</v>
      </c>
      <c r="B631" s="1" t="str">
        <f>"AGYEPONG THERESA, AGYEPONG AKWASI"</f>
        <v>AGYEPONG THERESA, AGYEPONG AKWASI</v>
      </c>
      <c r="C631" s="1" t="str">
        <f>"WORTHINGTON PARK PLACE SECTION 3 LOT 98"</f>
        <v>WORTHINGTON PARK PLACE SECTION 3 LOT 98</v>
      </c>
      <c r="D631" s="1">
        <v>385.74</v>
      </c>
    </row>
    <row r="632" spans="1:4" x14ac:dyDescent="0.3">
      <c r="A632" s="1" t="str">
        <f>"59018492400"</f>
        <v>59018492400</v>
      </c>
      <c r="B632" s="1" t="str">
        <f>"AHAMMAD AHSAN U, CHOWDHURY TASLIMA"</f>
        <v>AHAMMAD AHSAN U, CHOWDHURY TASLIMA</v>
      </c>
      <c r="C632" s="1" t="str">
        <f>"GRANDWOODS CIR RIVERSIDE GREEN S 4 LOT 307"</f>
        <v>GRANDWOODS CIR RIVERSIDE GREEN S 4 LOT 307</v>
      </c>
      <c r="D632" s="1">
        <v>2081.1</v>
      </c>
    </row>
    <row r="633" spans="1:4" x14ac:dyDescent="0.3">
      <c r="A633" s="1" t="str">
        <f>"19000397500"</f>
        <v>19000397500</v>
      </c>
      <c r="B633" s="1" t="str">
        <f>"AHMED ABDALLAH SAID, SHAK NOURA IDRESS"</f>
        <v>AHMED ABDALLAH SAID, SHAK NOURA IDRESS</v>
      </c>
      <c r="C633" s="1" t="str">
        <f>"PARK COURT NORTHGLEN LOT 215"</f>
        <v>PARK COURT NORTHGLEN LOT 215</v>
      </c>
      <c r="D633" s="1">
        <v>3085.72</v>
      </c>
    </row>
    <row r="634" spans="1:4" x14ac:dyDescent="0.3">
      <c r="A634" s="1" t="str">
        <f>"01005978100"</f>
        <v>01005978100</v>
      </c>
      <c r="B634" s="1" t="str">
        <f>"AHMED ABDULLAHI ALI"</f>
        <v>AHMED ABDULLAHI ALI</v>
      </c>
      <c r="C634" s="1" t="str">
        <f>"1281 E WEBER RD ALL 4&amp;11.43FT ES 3 LINDEN LOT 3-4"</f>
        <v>1281 E WEBER RD ALL 4&amp;11.43FT ES 3 LINDEN LOT 3-4</v>
      </c>
      <c r="D634" s="1">
        <v>1440.77</v>
      </c>
    </row>
    <row r="635" spans="1:4" x14ac:dyDescent="0.3">
      <c r="A635" s="1" t="str">
        <f>"19000315300"</f>
        <v>19000315300</v>
      </c>
      <c r="B635" s="1" t="str">
        <f>"AHMED ABDULLAHI ALI"</f>
        <v>AHMED ABDULLAHI ALI</v>
      </c>
      <c r="C635" s="1" t="str">
        <f>"WESTERVILLE RD R17 T1 1/4 T1-2 .366 ACRE LOT 8-9"</f>
        <v>WESTERVILLE RD R17 T1 1/4 T1-2 .366 ACRE LOT 8-9</v>
      </c>
      <c r="D635" s="1">
        <v>8453.68</v>
      </c>
    </row>
    <row r="636" spans="1:4" x14ac:dyDescent="0.3">
      <c r="A636" s="1" t="str">
        <f>"05000500400"</f>
        <v>05000500400</v>
      </c>
      <c r="B636" s="1" t="str">
        <f>"AHMED ANISO SHAYKH"</f>
        <v>AHMED ANISO SHAYKH</v>
      </c>
      <c r="C636" s="1" t="str">
        <f>"5288 DUTCHESS LANE AVERY ESTATES CONDO UNIT 61B"</f>
        <v>5288 DUTCHESS LANE AVERY ESTATES CONDO UNIT 61B</v>
      </c>
      <c r="D636" s="1">
        <v>222.48</v>
      </c>
    </row>
    <row r="637" spans="1:4" x14ac:dyDescent="0.3">
      <c r="A637" s="1" t="str">
        <f>"53017051200"</f>
        <v>53017051200</v>
      </c>
      <c r="B637" s="1" t="str">
        <f>"AHMED ASHA"</f>
        <v>AHMED ASHA</v>
      </c>
      <c r="C637" s="1" t="str">
        <f>"LIBERTY BELL LANE INDEPENDENCE VLG 1 LOT 78"</f>
        <v>LIBERTY BELL LANE INDEPENDENCE VLG 1 LOT 78</v>
      </c>
      <c r="D637" s="1">
        <v>3209.22</v>
      </c>
    </row>
    <row r="638" spans="1:4" x14ac:dyDescent="0.3">
      <c r="A638" s="1" t="str">
        <f>"56018906300"</f>
        <v>56018906300</v>
      </c>
      <c r="B638" s="1" t="str">
        <f>"AHMED FORHAD, TUZIN ARIFA J"</f>
        <v>AHMED FORHAD, TUZIN ARIFA J</v>
      </c>
      <c r="C638" s="1" t="str">
        <f>"RED WYNNE LA WYNNEOAK ESTATES LOT 117"</f>
        <v>RED WYNNE LA WYNNEOAK ESTATES LOT 117</v>
      </c>
      <c r="D638" s="1">
        <v>4430.99</v>
      </c>
    </row>
    <row r="639" spans="1:4" x14ac:dyDescent="0.3">
      <c r="A639" s="1" t="str">
        <f>"56021193300"</f>
        <v>56021193300</v>
      </c>
      <c r="B639" s="1" t="str">
        <f>"AHMED GOLAM, AHMED SHAMIMA"</f>
        <v>AHMED GOLAM, AHMED SHAMIMA</v>
      </c>
      <c r="C639" s="1" t="str">
        <f>"DRIFFIELD COURT SHANNONBROOK SEC 4 LOT 312"</f>
        <v>DRIFFIELD COURT SHANNONBROOK SEC 4 LOT 312</v>
      </c>
      <c r="D639" s="1">
        <v>6.6</v>
      </c>
    </row>
    <row r="640" spans="1:4" x14ac:dyDescent="0.3">
      <c r="A640" s="1" t="str">
        <f>"05000492800"</f>
        <v>05000492800</v>
      </c>
      <c r="B640" s="1" t="str">
        <f>"AHMED HODAN ABDI"</f>
        <v>AHMED HODAN ABDI</v>
      </c>
      <c r="C640" s="1" t="str">
        <f>"4854 LADY JANE AVE AVERY ESTATES CONDO UNIT 6B"</f>
        <v>4854 LADY JANE AVE AVERY ESTATES CONDO UNIT 6B</v>
      </c>
      <c r="D640" s="1">
        <v>4672.04</v>
      </c>
    </row>
    <row r="641" spans="1:4" x14ac:dyDescent="0.3">
      <c r="A641" s="1" t="str">
        <f>"20332753300"</f>
        <v>20332753300</v>
      </c>
      <c r="B641" s="1" t="str">
        <f>"AHMED ISTEAQ, ISLAM AFZAL, QAMER ARAISH ISLAM"</f>
        <v>AHMED ISTEAQ, ISLAM AFZAL, QAMER ARAISH ISLAM</v>
      </c>
      <c r="C641" s="1" t="str">
        <f>"RENNER PARK SECTION 3 LOT 121"</f>
        <v>RENNER PARK SECTION 3 LOT 121</v>
      </c>
      <c r="D641" s="1">
        <v>2267.9299999999998</v>
      </c>
    </row>
    <row r="642" spans="1:4" x14ac:dyDescent="0.3">
      <c r="A642" s="1" t="str">
        <f>"09000632700"</f>
        <v>09000632700</v>
      </c>
      <c r="B642" s="1" t="str">
        <f>"AHMED JAFAR"</f>
        <v>AHMED JAFAR</v>
      </c>
      <c r="C642" s="1" t="str">
        <f>"4145 VIRGINIA CIRCLE OLPP LOT 77 "</f>
        <v xml:space="preserve">4145 VIRGINIA CIRCLE OLPP LOT 77 </v>
      </c>
      <c r="D642" s="1">
        <v>3143.8</v>
      </c>
    </row>
    <row r="643" spans="1:4" x14ac:dyDescent="0.3">
      <c r="A643" s="1" t="str">
        <f>"61021777700"</f>
        <v>61021777700</v>
      </c>
      <c r="B643" s="1" t="str">
        <f>"AHMED MOHAMMED S, RASHID TASLIMA"</f>
        <v>AHMED MOHAMMED S, RASHID TASLIMA</v>
      </c>
      <c r="C643" s="1" t="str">
        <f>"SEVEN OAKS AT WORTHINGTON LOT 21"</f>
        <v>SEVEN OAKS AT WORTHINGTON LOT 21</v>
      </c>
      <c r="D643" s="1">
        <v>628.37</v>
      </c>
    </row>
    <row r="644" spans="1:4" x14ac:dyDescent="0.3">
      <c r="A644" s="1" t="str">
        <f>"60014619000"</f>
        <v>60014619000</v>
      </c>
      <c r="B644" s="1" t="str">
        <f>"AHMED MOHAMUD"</f>
        <v>AHMED MOHAMUD</v>
      </c>
      <c r="C644" s="1" t="str">
        <f>"2382 TAYMOUTH RD SCOTLAND LOT 98 "</f>
        <v xml:space="preserve">2382 TAYMOUTH RD SCOTLAND LOT 98 </v>
      </c>
      <c r="D644" s="1">
        <v>1055.3499999999999</v>
      </c>
    </row>
    <row r="645" spans="1:4" x14ac:dyDescent="0.3">
      <c r="A645" s="1" t="str">
        <f>"01023584300"</f>
        <v>01023584300</v>
      </c>
      <c r="B645" s="1" t="str">
        <f>"AHMED MUNIR"</f>
        <v>AHMED MUNIR</v>
      </c>
      <c r="C645" s="1" t="str">
        <f>"BLENDON PARK CONDOMINIUM 2ND AMD UNIT 37D"</f>
        <v>BLENDON PARK CONDOMINIUM 2ND AMD UNIT 37D</v>
      </c>
      <c r="D645" s="1">
        <v>84.03</v>
      </c>
    </row>
    <row r="646" spans="1:4" x14ac:dyDescent="0.3">
      <c r="A646" s="1" t="str">
        <f>"01014728700"</f>
        <v>01014728700</v>
      </c>
      <c r="B646" s="1" t="str">
        <f>"AHMED SAID ABDI"</f>
        <v>AHMED SAID ABDI</v>
      </c>
      <c r="C646" s="1" t="str">
        <f>"SAVILLE ROW HYDE PARK PLAT 1 LOT 66"</f>
        <v>SAVILLE ROW HYDE PARK PLAT 1 LOT 66</v>
      </c>
      <c r="D646" s="1">
        <v>1684.68</v>
      </c>
    </row>
    <row r="647" spans="1:4" x14ac:dyDescent="0.3">
      <c r="A647" s="1" t="str">
        <f>"56025055900"</f>
        <v>56025055900</v>
      </c>
      <c r="B647" s="1" t="str">
        <f>"AHMED SHARMARKE"</f>
        <v>AHMED SHARMARKE</v>
      </c>
      <c r="C647" s="1" t="str">
        <f>"FIELDCREST DRIVE THORNAPPLE HIGHLANDS SECTION 2 LOT 68"</f>
        <v>FIELDCREST DRIVE THORNAPPLE HIGHLANDS SECTION 2 LOT 68</v>
      </c>
      <c r="D647" s="1">
        <v>4328.0600000000004</v>
      </c>
    </row>
    <row r="648" spans="1:4" x14ac:dyDescent="0.3">
      <c r="A648" s="1" t="str">
        <f>"01004127500"</f>
        <v>01004127500</v>
      </c>
      <c r="B648" s="1" t="str">
        <f>"AHMED ZAHRA H"</f>
        <v>AHMED ZAHRA H</v>
      </c>
      <c r="C648" s="1" t="str">
        <f>"PLEASANT VIEW LOT 31 &amp; 32 "</f>
        <v xml:space="preserve">PLEASANT VIEW LOT 31 &amp; 32 </v>
      </c>
      <c r="D648" s="1">
        <v>368.07</v>
      </c>
    </row>
    <row r="649" spans="1:4" x14ac:dyDescent="0.3">
      <c r="A649" s="1" t="str">
        <f>"01005488600"</f>
        <v>01005488600</v>
      </c>
      <c r="B649" s="1" t="str">
        <f>"AHMED ZAHRA H"</f>
        <v>AHMED ZAHRA H</v>
      </c>
      <c r="C649" s="1" t="str">
        <f>"386 S CENTRAL AVE MONETTS CENTRAL AVE LOT 29"</f>
        <v>386 S CENTRAL AVE MONETTS CENTRAL AVE LOT 29</v>
      </c>
      <c r="D649" s="1">
        <v>1658.93</v>
      </c>
    </row>
    <row r="650" spans="1:4" x14ac:dyDescent="0.3">
      <c r="A650" s="1" t="str">
        <f>"57024716600"</f>
        <v>57024716600</v>
      </c>
      <c r="B650" s="1" t="str">
        <f>"AHMEDIN ABDULWASI"</f>
        <v>AHMEDIN ABDULWASI</v>
      </c>
      <c r="C650" s="1" t="str">
        <f>"ALKIRE PARK CONDOMINIUM 4TH AMD UNIT 38B"</f>
        <v>ALKIRE PARK CONDOMINIUM 4TH AMD UNIT 38B</v>
      </c>
      <c r="D650" s="1">
        <v>315.01</v>
      </c>
    </row>
    <row r="651" spans="1:4" x14ac:dyDescent="0.3">
      <c r="A651" s="1" t="str">
        <f>"01019430800"</f>
        <v>01019430800</v>
      </c>
      <c r="B651" s="1" t="str">
        <f>"AIFFA PROPERTIES LLC"</f>
        <v>AIFFA PROPERTIES LLC</v>
      </c>
      <c r="C651" s="1" t="str">
        <f>"5285-104 PORTLAND ST NORTHAMPTON VILLAGE CONDO PH1 BLDG 2 UNIT 40"</f>
        <v>5285-104 PORTLAND ST NORTHAMPTON VILLAGE CONDO PH1 BLDG 2 UNIT 40</v>
      </c>
      <c r="D651" s="1">
        <v>2371.2199999999998</v>
      </c>
    </row>
    <row r="652" spans="1:4" x14ac:dyDescent="0.3">
      <c r="A652" s="1" t="str">
        <f>"01021825100"</f>
        <v>01021825100</v>
      </c>
      <c r="B652" s="1" t="str">
        <f>"AIMS SUPPORTED LIVING INC"</f>
        <v>AIMS SUPPORTED LIVING INC</v>
      </c>
      <c r="C652" s="1" t="str">
        <f>"DEEWOOD DRIVE DEERFIELD VILLAGE PT LT 2=0.286 ACRE"</f>
        <v>DEEWOOD DRIVE DEERFIELD VILLAGE PT LT 2=0.286 ACRE</v>
      </c>
      <c r="D652" s="1">
        <v>4933.92</v>
      </c>
    </row>
    <row r="653" spans="1:4" x14ac:dyDescent="0.3">
      <c r="A653" s="1" t="str">
        <f>"06000262300"</f>
        <v>06000262300</v>
      </c>
      <c r="B653" s="1" t="str">
        <f>"AJAR LLC"</f>
        <v>AJAR LLC</v>
      </c>
      <c r="C653" s="1" t="str">
        <f>"BRICE RD HC HUBER PLAT 38 SEC 2  1046"</f>
        <v>BRICE RD HC HUBER PLAT 38 SEC 2  1046</v>
      </c>
      <c r="D653" s="1">
        <v>1461</v>
      </c>
    </row>
    <row r="654" spans="1:4" x14ac:dyDescent="0.3">
      <c r="A654" s="1" t="str">
        <f>"01028796900"</f>
        <v>01028796900</v>
      </c>
      <c r="B654" s="1" t="str">
        <f>"AK"</f>
        <v>AK</v>
      </c>
      <c r="C654" s="1" t="str">
        <f>"HAMPTONS AT NEW ALBANY    PARK CONDOMINIUM 14TH AMD BLDG 61 UNIT 61-7202     "</f>
        <v xml:space="preserve">HAMPTONS AT NEW ALBANY    PARK CONDOMINIUM 14TH AMD BLDG 61 UNIT 61-7202     </v>
      </c>
      <c r="D654" s="1">
        <v>199.9</v>
      </c>
    </row>
    <row r="655" spans="1:4" x14ac:dyDescent="0.3">
      <c r="A655" s="1" t="str">
        <f>"01008881900"</f>
        <v>01008881900</v>
      </c>
      <c r="B655" s="1" t="str">
        <f>"AK INVESTMENT STRATEGY LLC"</f>
        <v>AK INVESTMENT STRATEGY LLC</v>
      </c>
      <c r="C655" s="1" t="str">
        <f>"BYRON AVE CALDWELLS MAIN ST LOT 238-239-240"</f>
        <v>BYRON AVE CALDWELLS MAIN ST LOT 238-239-240</v>
      </c>
      <c r="D655" s="1">
        <v>1607.43</v>
      </c>
    </row>
    <row r="656" spans="1:4" x14ac:dyDescent="0.3">
      <c r="A656" s="1" t="str">
        <f>"57018129700"</f>
        <v>57018129700</v>
      </c>
      <c r="B656" s="1" t="str">
        <f>"AK3 LIMITED"</f>
        <v>AK3 LIMITED</v>
      </c>
      <c r="C656" s="1" t="str">
        <f>"WESTHAVEN ST RESB&amp;EXT WEST COMM 1 LOTS 35 &amp; 36"</f>
        <v>WESTHAVEN ST RESB&amp;EXT WEST COMM 1 LOTS 35 &amp; 36</v>
      </c>
      <c r="D656" s="1">
        <v>6058.12</v>
      </c>
    </row>
    <row r="657" spans="1:4" x14ac:dyDescent="0.3">
      <c r="A657" s="1" t="str">
        <f>"13001191100"</f>
        <v>13001191100</v>
      </c>
      <c r="B657" s="1" t="str">
        <f>"AKEEL INVESTMENT LIMITED"</f>
        <v>AKEEL INVESTMENT LIMITED</v>
      </c>
      <c r="C657" s="1" t="str">
        <f>"WESTERVILLE RD R18 T1 1-4TWP 2 0.416 ACRE"</f>
        <v>WESTERVILLE RD R18 T1 1-4TWP 2 0.416 ACRE</v>
      </c>
      <c r="D657" s="1">
        <v>3835.18</v>
      </c>
    </row>
    <row r="658" spans="1:4" x14ac:dyDescent="0.3">
      <c r="A658" s="1" t="str">
        <f>"19000513800"</f>
        <v>19000513800</v>
      </c>
      <c r="B658" s="1" t="str">
        <f>"AKEEL INVESTMENT LIMITED"</f>
        <v>AKEEL INVESTMENT LIMITED</v>
      </c>
      <c r="C658" s="1" t="str">
        <f>"WESTERVILLE RD R17 T1 1-4TWP2 1.219 ACRES"</f>
        <v>WESTERVILLE RD R17 T1 1-4TWP2 1.219 ACRES</v>
      </c>
      <c r="D658" s="1">
        <v>4534.13</v>
      </c>
    </row>
    <row r="659" spans="1:4" x14ac:dyDescent="0.3">
      <c r="A659" s="1" t="str">
        <f>"01009875900"</f>
        <v>01009875900</v>
      </c>
      <c r="B659" s="1" t="str">
        <f>"AKEEMTNA LLC"</f>
        <v>AKEEMTNA LLC</v>
      </c>
      <c r="C659" s="1" t="str">
        <f>"26TH AVE DUXBERRY PARK LOT 111"</f>
        <v>26TH AVE DUXBERRY PARK LOT 111</v>
      </c>
      <c r="D659" s="1">
        <v>588.29</v>
      </c>
    </row>
    <row r="660" spans="1:4" x14ac:dyDescent="0.3">
      <c r="A660" s="1" t="str">
        <f>"57016478400"</f>
        <v>57016478400</v>
      </c>
      <c r="B660" s="1" t="str">
        <f>"AKERS JAMELLE C"</f>
        <v>AKERS JAMELLE C</v>
      </c>
      <c r="C660" s="1" t="str">
        <f>"HARDESTY HEIGHTS CONDOMINIUM T UNIT T-10"</f>
        <v>HARDESTY HEIGHTS CONDOMINIUM T UNIT T-10</v>
      </c>
      <c r="D660" s="1">
        <v>1211.24</v>
      </c>
    </row>
    <row r="661" spans="1:4" x14ac:dyDescent="0.3">
      <c r="A661" s="1" t="str">
        <f>"01027252600"</f>
        <v>01027252600</v>
      </c>
      <c r="B661" s="1" t="str">
        <f>"AKGERMAN BURAK"</f>
        <v>AKGERMAN BURAK</v>
      </c>
      <c r="C661" s="1" t="str">
        <f>"NEW ALBANY PARK           CONDOMINIUM 11TH AMD      BLDG 28 UNIT 28-7046     "</f>
        <v xml:space="preserve">NEW ALBANY PARK           CONDOMINIUM 11TH AMD      BLDG 28 UNIT 28-7046     </v>
      </c>
      <c r="D661" s="1">
        <v>2393.8000000000002</v>
      </c>
    </row>
    <row r="662" spans="1:4" x14ac:dyDescent="0.3">
      <c r="A662" s="1" t="str">
        <f>"60018867300"</f>
        <v>60018867300</v>
      </c>
      <c r="B662" s="1" t="str">
        <f>"AKIDEL INVESTMENT CO LLC"</f>
        <v>AKIDEL INVESTMENT CO LLC</v>
      </c>
      <c r="C662" s="1" t="str">
        <f>"COOPER BLUFF DR COOPER BLUFF 9 CON 2 UNIT 3030"</f>
        <v>COOPER BLUFF DR COOPER BLUFF 9 CON 2 UNIT 3030</v>
      </c>
      <c r="D662" s="1">
        <v>2788.38</v>
      </c>
    </row>
    <row r="663" spans="1:4" x14ac:dyDescent="0.3">
      <c r="A663" s="1" t="str">
        <f>"60019883300"</f>
        <v>60019883300</v>
      </c>
      <c r="B663" s="1" t="str">
        <f>"AKIDEL INVESTMENT CO LLC"</f>
        <v>AKIDEL INVESTMENT CO LLC</v>
      </c>
      <c r="C663" s="1" t="str">
        <f>"GRANADA HILLS DR COOPERWOODS CONDO UNIT 3111 BLDG 5"</f>
        <v>GRANADA HILLS DR COOPERWOODS CONDO UNIT 3111 BLDG 5</v>
      </c>
      <c r="D663" s="1">
        <v>2932.84</v>
      </c>
    </row>
    <row r="664" spans="1:4" x14ac:dyDescent="0.3">
      <c r="A664" s="1" t="str">
        <f>"01019529300"</f>
        <v>01019529300</v>
      </c>
      <c r="B664" s="1" t="str">
        <f>"AKIDEL INVESTMENT CO LLC"</f>
        <v>AKIDEL INVESTMENT CO LLC</v>
      </c>
      <c r="C664" s="1" t="str">
        <f>"SPRUCEFIELD CT TOWN HOMES CONDOMINIUM UNIT 2101"</f>
        <v>SPRUCEFIELD CT TOWN HOMES CONDOMINIUM UNIT 2101</v>
      </c>
      <c r="D664" s="1">
        <v>1302.98</v>
      </c>
    </row>
    <row r="665" spans="1:4" x14ac:dyDescent="0.3">
      <c r="A665" s="1" t="str">
        <f>"60019881700"</f>
        <v>60019881700</v>
      </c>
      <c r="B665" s="1" t="str">
        <f>"AKIDEL INVESTMENT COMPANY LLC"</f>
        <v>AKIDEL INVESTMENT COMPANY LLC</v>
      </c>
      <c r="C665" s="1" t="str">
        <f>"GRANADA HILLS DR COOPERWOODS CONDO UNIT 3083 BLDG 3"</f>
        <v>GRANADA HILLS DR COOPERWOODS CONDO UNIT 3083 BLDG 3</v>
      </c>
      <c r="D665" s="1">
        <v>1438.66</v>
      </c>
    </row>
    <row r="666" spans="1:4" x14ac:dyDescent="0.3">
      <c r="A666" s="1" t="str">
        <f>"01018125800"</f>
        <v>01018125800</v>
      </c>
      <c r="B666" s="1" t="str">
        <f>"AKIDEL INVESTMENT COMPANY LLC"</f>
        <v>AKIDEL INVESTMENT COMPANY LLC</v>
      </c>
      <c r="C666" s="1" t="str">
        <f>"FORTIN COURT CONDO UNIT 5 "</f>
        <v xml:space="preserve">FORTIN COURT CONDO UNIT 5 </v>
      </c>
      <c r="D666" s="1">
        <v>1111.95</v>
      </c>
    </row>
    <row r="667" spans="1:4" x14ac:dyDescent="0.3">
      <c r="A667" s="1" t="str">
        <f>"53017378400"</f>
        <v>53017378400</v>
      </c>
      <c r="B667" s="1" t="str">
        <f>"AKOMEAH FELIX"</f>
        <v>AKOMEAH FELIX</v>
      </c>
      <c r="C667" s="1" t="str">
        <f>"TEAPOT CT INDEPENDENCE VLG SC4 LOT 292"</f>
        <v>TEAPOT CT INDEPENDENCE VLG SC4 LOT 292</v>
      </c>
      <c r="D667" s="1">
        <v>1797.28</v>
      </c>
    </row>
    <row r="668" spans="1:4" x14ac:dyDescent="0.3">
      <c r="A668" s="1" t="str">
        <f>"01008893600"</f>
        <v>01008893600</v>
      </c>
      <c r="B668" s="1" t="str">
        <f>"AKOSILE CLEMENT"</f>
        <v>AKOSILE CLEMENT</v>
      </c>
      <c r="C668" s="1" t="str">
        <f>"WAVERLY ST MAIN ST TERR LOT 302"</f>
        <v>WAVERLY ST MAIN ST TERR LOT 302</v>
      </c>
      <c r="D668" s="1">
        <v>1461.89</v>
      </c>
    </row>
    <row r="669" spans="1:4" x14ac:dyDescent="0.3">
      <c r="A669" s="1" t="str">
        <f>"01003207900"</f>
        <v>01003207900</v>
      </c>
      <c r="B669" s="1" t="str">
        <f>"AKTION ENTERPRISES LLC"</f>
        <v>AKTION ENTERPRISES LLC</v>
      </c>
      <c r="C669" s="1" t="str">
        <f>"75 N CENTRAL AVE W S CENTRAL AVE SULLIVANT SUB 7"</f>
        <v>75 N CENTRAL AVE W S CENTRAL AVE SULLIVANT SUB 7</v>
      </c>
      <c r="D669" s="1">
        <v>1085.92</v>
      </c>
    </row>
    <row r="670" spans="1:4" x14ac:dyDescent="0.3">
      <c r="A670" s="1" t="str">
        <f>"60016952900"</f>
        <v>60016952900</v>
      </c>
      <c r="B670" s="1" t="str">
        <f>"AKUETEH DANIEL, AKUETEH ESTHER"</f>
        <v>AKUETEH DANIEL, AKUETEH ESTHER</v>
      </c>
      <c r="C670" s="1" t="str">
        <f>"BLOSSOM AVE PINEWOOD COLONY LOT 34"</f>
        <v>BLOSSOM AVE PINEWOOD COLONY LOT 34</v>
      </c>
      <c r="D670" s="1">
        <v>2901.93</v>
      </c>
    </row>
    <row r="671" spans="1:4" x14ac:dyDescent="0.3">
      <c r="A671" s="1" t="str">
        <f>"01003045800"</f>
        <v>01003045800</v>
      </c>
      <c r="B671" s="1" t="str">
        <f>"AKUNNE CHRISTOPHER C"</f>
        <v>AKUNNE CHRISTOPHER C</v>
      </c>
      <c r="C671" s="1" t="str">
        <f>"148 N 22ND ST WINNERS 1ST PT LTS 1-2"</f>
        <v>148 N 22ND ST WINNERS 1ST PT LTS 1-2</v>
      </c>
      <c r="D671" s="1">
        <v>3188.4</v>
      </c>
    </row>
    <row r="672" spans="1:4" x14ac:dyDescent="0.3">
      <c r="A672" s="1" t="str">
        <f>"01007255200"</f>
        <v>01007255200</v>
      </c>
      <c r="B672" s="1" t="str">
        <f>"AL KAMHAWI NIZAR H, AL KAMHAWI RIHAB R"</f>
        <v>AL KAMHAWI NIZAR H, AL KAMHAWI RIHAB R</v>
      </c>
      <c r="C672" s="1" t="str">
        <f>"744 E HUDSON ST HOMECROFT LOT 9-10-11"</f>
        <v>744 E HUDSON ST HOMECROFT LOT 9-10-11</v>
      </c>
      <c r="D672" s="1">
        <v>43.58</v>
      </c>
    </row>
    <row r="673" spans="1:4" x14ac:dyDescent="0.3">
      <c r="A673" s="1" t="str">
        <f>"01009847600"</f>
        <v>01009847600</v>
      </c>
      <c r="B673" s="1" t="str">
        <f>"AL KHATIB HUSSEIN"</f>
        <v>AL KHATIB HUSSEIN</v>
      </c>
      <c r="C673" s="1" t="str">
        <f>"HUDSON ST R18 T1 1-4 TWP4 .436 ACRES NEW SURVEY LOT 24"</f>
        <v>HUDSON ST R18 T1 1-4 TWP4 .436 ACRES NEW SURVEY LOT 24</v>
      </c>
      <c r="D673" s="1">
        <v>1396</v>
      </c>
    </row>
    <row r="674" spans="1:4" x14ac:dyDescent="0.3">
      <c r="A674" s="1" t="str">
        <f>"01011440100"</f>
        <v>01011440100</v>
      </c>
      <c r="B674" s="1" t="str">
        <f>"AL SAEDI ABDULKAREEM"</f>
        <v>AL SAEDI ABDULKAREEM</v>
      </c>
      <c r="C674" s="1" t="str">
        <f>"LINWOOD AVE MARION PARK LOT 9"</f>
        <v>LINWOOD AVE MARION PARK LOT 9</v>
      </c>
      <c r="D674" s="1">
        <v>102.35</v>
      </c>
    </row>
    <row r="675" spans="1:4" x14ac:dyDescent="0.3">
      <c r="A675" s="1" t="str">
        <f>"16100017200"</f>
        <v>16100017200</v>
      </c>
      <c r="B675" s="1" t="str">
        <f>"AL W ENTERPRISES"</f>
        <v>AL W ENTERPRISES</v>
      </c>
      <c r="C675" s="1" t="str">
        <f>"MAIN ST URBANCREST 28-29 BLK 9 "</f>
        <v xml:space="preserve">MAIN ST URBANCREST 28-29 BLK 9 </v>
      </c>
      <c r="D675" s="1">
        <v>1809.03</v>
      </c>
    </row>
    <row r="676" spans="1:4" x14ac:dyDescent="0.3">
      <c r="A676" s="1" t="str">
        <f>"01009496200"</f>
        <v>01009496200</v>
      </c>
      <c r="B676" s="1" t="str">
        <f>"ALABRAN WILLIAM M"</f>
        <v>ALABRAN WILLIAM M</v>
      </c>
      <c r="C676" s="1" t="str">
        <f>"COMO AVE RAMSDELL LOT 7-8-9"</f>
        <v>COMO AVE RAMSDELL LOT 7-8-9</v>
      </c>
      <c r="D676" s="1">
        <v>4748.33</v>
      </c>
    </row>
    <row r="677" spans="1:4" x14ac:dyDescent="0.3">
      <c r="A677" s="1" t="str">
        <f>"01002809100"</f>
        <v>01002809100</v>
      </c>
      <c r="B677" s="1" t="str">
        <f>"ALACHAN OVIDIO HERRERA"</f>
        <v>ALACHAN OVIDIO HERRERA</v>
      </c>
      <c r="C677" s="1" t="str">
        <f>"64 BREHL AVE N L DOREN CENTRAL AVE LOT 54"</f>
        <v>64 BREHL AVE N L DOREN CENTRAL AVE LOT 54</v>
      </c>
      <c r="D677" s="1">
        <v>2848.35</v>
      </c>
    </row>
    <row r="678" spans="1:4" x14ac:dyDescent="0.3">
      <c r="A678" s="1" t="str">
        <f>"01002456000"</f>
        <v>01002456000</v>
      </c>
      <c r="B678" s="1" t="str">
        <f>"ALAHZAR KING"</f>
        <v>ALAHZAR KING</v>
      </c>
      <c r="C678" s="1" t="str">
        <f>"1434-6 N 5TH ST           NEW INDIANOLA             LOT 209-10               "</f>
        <v xml:space="preserve">1434-6 N 5TH ST           NEW INDIANOLA             LOT 209-10               </v>
      </c>
      <c r="D678" s="1">
        <v>251.23</v>
      </c>
    </row>
    <row r="679" spans="1:4" x14ac:dyDescent="0.3">
      <c r="A679" s="1" t="str">
        <f>"27300980100"</f>
        <v>27300980100</v>
      </c>
      <c r="B679" s="1" t="str">
        <f>"ALAM SHAFI K, KHONDAKER SABRINA A"</f>
        <v>ALAM SHAFI K, KHONDAKER SABRINA A</v>
      </c>
      <c r="C679" s="1" t="str">
        <f>"QUIN ABBEY COURT W MUIRFIELD VILLAGE PH 44 SEC 3 LOT 2160"</f>
        <v>QUIN ABBEY COURT W MUIRFIELD VILLAGE PH 44 SEC 3 LOT 2160</v>
      </c>
      <c r="D679" s="1">
        <v>167.79</v>
      </c>
    </row>
    <row r="680" spans="1:4" x14ac:dyDescent="0.3">
      <c r="A680" s="1" t="str">
        <f>"01023534000"</f>
        <v>01023534000</v>
      </c>
      <c r="B680" s="1" t="str">
        <f>"ALAMO RICHELLE L"</f>
        <v>ALAMO RICHELLE L</v>
      </c>
      <c r="C680" s="1" t="str">
        <f>"BROOKWELL DRIVE BROOKBEND LOT 39"</f>
        <v>BROOKWELL DRIVE BROOKBEND LOT 39</v>
      </c>
      <c r="D680" s="1">
        <v>2200</v>
      </c>
    </row>
    <row r="681" spans="1:4" x14ac:dyDescent="0.3">
      <c r="A681" s="1" t="str">
        <f>"57023084400"</f>
        <v>57023084400</v>
      </c>
      <c r="B681" s="1" t="str">
        <f>"ALARMANAZI DIA EDDINE, KROMA HANAN"</f>
        <v>ALARMANAZI DIA EDDINE, KROMA HANAN</v>
      </c>
      <c r="C681" s="1" t="str">
        <f>"CLIPPER LANDING DR CHESAPEAKE FARMS SECTION 2 LOT 149"</f>
        <v>CLIPPER LANDING DR CHESAPEAKE FARMS SECTION 2 LOT 149</v>
      </c>
      <c r="D681" s="1">
        <v>4688.21</v>
      </c>
    </row>
    <row r="682" spans="1:4" x14ac:dyDescent="0.3">
      <c r="A682" s="1" t="str">
        <f>"07001246800"</f>
        <v>07001246800</v>
      </c>
      <c r="B682" s="1" t="str">
        <f>"AL-ASADI SHAHED LOAY, AL-ASADI LOAY"</f>
        <v>AL-ASADI SHAHED LOAY, AL-ASADI LOAY</v>
      </c>
      <c r="C682" s="1" t="str">
        <f>"1292 LA ROCHELLE DR TROUVILLE PK CONDO LOT B11-U"</f>
        <v>1292 LA ROCHELLE DR TROUVILLE PK CONDO LOT B11-U</v>
      </c>
      <c r="D682" s="1">
        <v>4090.1</v>
      </c>
    </row>
    <row r="683" spans="1:4" x14ac:dyDescent="0.3">
      <c r="A683" s="1" t="str">
        <f>"01004490800"</f>
        <v>01004490800</v>
      </c>
      <c r="B683" s="1" t="str">
        <f>"ALAURA JOSEPH S"</f>
        <v>ALAURA JOSEPH S</v>
      </c>
      <c r="C683" s="1" t="str">
        <f>"1986-88 FARMONT GLENWOOD HTS LOT 55"</f>
        <v>1986-88 FARMONT GLENWOOD HTS LOT 55</v>
      </c>
      <c r="D683" s="1">
        <v>1223.97</v>
      </c>
    </row>
    <row r="684" spans="1:4" x14ac:dyDescent="0.3">
      <c r="A684" s="1" t="str">
        <f>"01002292500"</f>
        <v>01002292500</v>
      </c>
      <c r="B684" s="1" t="str">
        <f>"ALAURA JOSEPH S"</f>
        <v>ALAURA JOSEPH S</v>
      </c>
      <c r="C684" s="1" t="str">
        <f>"261 NO 22ND ST BEATTY &amp; HANES LOT 13"</f>
        <v>261 NO 22ND ST BEATTY &amp; HANES LOT 13</v>
      </c>
      <c r="D684" s="1">
        <v>1504.52</v>
      </c>
    </row>
    <row r="685" spans="1:4" x14ac:dyDescent="0.3">
      <c r="A685" s="1" t="str">
        <f>"01006280700"</f>
        <v>01006280700</v>
      </c>
      <c r="B685" s="1" t="str">
        <f>"ALAURA JOSEPH S"</f>
        <v>ALAURA JOSEPH S</v>
      </c>
      <c r="C685" s="1" t="str">
        <f>"1475 MYRTLE AVE WALDON LOT 183"</f>
        <v>1475 MYRTLE AVE WALDON LOT 183</v>
      </c>
      <c r="D685" s="1">
        <v>909.95</v>
      </c>
    </row>
    <row r="686" spans="1:4" x14ac:dyDescent="0.3">
      <c r="A686" s="1" t="str">
        <f>"03000099200"</f>
        <v>03000099200</v>
      </c>
      <c r="B686" s="1" t="str">
        <f>"ALBAN JAMES E, ALBAN PATRICIA L"</f>
        <v>ALBAN JAMES E, ALBAN PATRICIA L</v>
      </c>
      <c r="C686" s="1" t="str">
        <f>"800-804 THOMAS RD LOT 282 &amp; PT 283 NORTHWEST BLVD 4"</f>
        <v>800-804 THOMAS RD LOT 282 &amp; PT 283 NORTHWEST BLVD 4</v>
      </c>
      <c r="D686" s="1">
        <v>918.88</v>
      </c>
    </row>
    <row r="687" spans="1:4" x14ac:dyDescent="0.3">
      <c r="A687" s="1" t="str">
        <f>"53013987200"</f>
        <v>53013987200</v>
      </c>
      <c r="B687" s="1" t="str">
        <f>"ALBAN SHARON K"</f>
        <v>ALBAN SHARON K</v>
      </c>
      <c r="C687" s="1" t="str">
        <f>"STAVELY CT AMBERLY LOT 168"</f>
        <v>STAVELY CT AMBERLY LOT 168</v>
      </c>
      <c r="D687" s="1">
        <v>298.81</v>
      </c>
    </row>
    <row r="688" spans="1:4" x14ac:dyDescent="0.3">
      <c r="A688" s="1" t="str">
        <f>"01008898300"</f>
        <v>01008898300</v>
      </c>
      <c r="B688" s="1" t="str">
        <f>"ALBAUGH TIMOTHY O"</f>
        <v>ALBAUGH TIMOTHY O</v>
      </c>
      <c r="C688" s="1" t="str">
        <f>"608 S WAVERLY ST MAIN ST TERRACE LOT 306"</f>
        <v>608 S WAVERLY ST MAIN ST TERRACE LOT 306</v>
      </c>
      <c r="D688" s="1">
        <v>925.15</v>
      </c>
    </row>
    <row r="689" spans="1:4" x14ac:dyDescent="0.3">
      <c r="A689" s="1" t="str">
        <f>"24100045900"</f>
        <v>24100045900</v>
      </c>
      <c r="B689" s="1" t="str">
        <f>"ALBAUGH TIMOTHY O, ALBAUGH DORIS J"</f>
        <v>ALBAUGH TIMOTHY O, ALBAUGH DORIS J</v>
      </c>
      <c r="C689" s="1" t="str">
        <f>"HUBBARD DR SOUTH LAKE DARBY ESTATES 2 LOT 525"</f>
        <v>HUBBARD DR SOUTH LAKE DARBY ESTATES 2 LOT 525</v>
      </c>
      <c r="D689" s="1">
        <v>2696.32</v>
      </c>
    </row>
    <row r="690" spans="1:4" x14ac:dyDescent="0.3">
      <c r="A690" s="1" t="str">
        <f>"01024940500"</f>
        <v>01024940500</v>
      </c>
      <c r="B690" s="1" t="str">
        <f>"ALBERT ELIZABETH, HAWKINS WILLIAM"</f>
        <v>ALBERT ELIZABETH, HAWKINS WILLIAM</v>
      </c>
      <c r="C690" s="1" t="str">
        <f>"THE VILLAGE AT BLACKLICK CREEK CONDOMINIUM 4TH AMD BLDG 9 UNIT 9-103"</f>
        <v>THE VILLAGE AT BLACKLICK CREEK CONDOMINIUM 4TH AMD BLDG 9 UNIT 9-103</v>
      </c>
      <c r="D690" s="1">
        <v>1715.88</v>
      </c>
    </row>
    <row r="691" spans="1:4" x14ac:dyDescent="0.3">
      <c r="A691" s="1" t="str">
        <f>"01000634900"</f>
        <v>01000634900</v>
      </c>
      <c r="B691" s="1" t="str">
        <f>"ALBRECHT KELLY E"</f>
        <v>ALBRECHT KELLY E</v>
      </c>
      <c r="C691" s="1" t="str">
        <f>"S WAYNE AVE BELLAIRE EX LOT 364 AL VAC"</f>
        <v>S WAYNE AVE BELLAIRE EX LOT 364 AL VAC</v>
      </c>
      <c r="D691" s="1">
        <v>338.21</v>
      </c>
    </row>
    <row r="692" spans="1:4" x14ac:dyDescent="0.3">
      <c r="A692" s="1" t="str">
        <f>"01009051200"</f>
        <v>01009051200</v>
      </c>
      <c r="B692" s="1" t="str">
        <f>"ALBRITTON LOVITA U"</f>
        <v>ALBRITTON LOVITA U</v>
      </c>
      <c r="C692" s="1" t="str">
        <f>"LOWELL RD EASTMINSTER LOT 289 &amp; PT VAC AL"</f>
        <v>LOWELL RD EASTMINSTER LOT 289 &amp; PT VAC AL</v>
      </c>
      <c r="D692" s="1">
        <v>1680.47</v>
      </c>
    </row>
    <row r="693" spans="1:4" x14ac:dyDescent="0.3">
      <c r="A693" s="1" t="str">
        <f>"13000668600"</f>
        <v>13000668600</v>
      </c>
      <c r="B693" s="1" t="str">
        <f>"ALCANTAR RIGOBERTO"</f>
        <v>ALCANTAR RIGOBERTO</v>
      </c>
      <c r="C693" s="1" t="str">
        <f>"LAMONT AVE W 1/2 ELMORE 76 "</f>
        <v xml:space="preserve">LAMONT AVE W 1/2 ELMORE 76 </v>
      </c>
      <c r="D693" s="1">
        <v>2597.36</v>
      </c>
    </row>
    <row r="694" spans="1:4" x14ac:dyDescent="0.3">
      <c r="A694" s="1" t="str">
        <f>"13000669100"</f>
        <v>13000669100</v>
      </c>
      <c r="B694" s="1" t="str">
        <f>"ALCANTAR RIGOBERTO"</f>
        <v>ALCANTAR RIGOBERTO</v>
      </c>
      <c r="C694" s="1" t="str">
        <f>"LAMONT AVE 117.10FT S E ELMORE 88 "</f>
        <v xml:space="preserve">LAMONT AVE 117.10FT S E ELMORE 88 </v>
      </c>
      <c r="D694" s="1">
        <v>3249.87</v>
      </c>
    </row>
    <row r="695" spans="1:4" x14ac:dyDescent="0.3">
      <c r="A695" s="1" t="str">
        <f>"01012733300"</f>
        <v>01012733300</v>
      </c>
      <c r="B695" s="1" t="str">
        <f>"ALDALLA JORGE"</f>
        <v>ALDALLA JORGE</v>
      </c>
      <c r="C695" s="1" t="str">
        <f>"LITTLE JOHN AVE SHERWOOD FOREST 2 LOT 17"</f>
        <v>LITTLE JOHN AVE SHERWOOD FOREST 2 LOT 17</v>
      </c>
      <c r="D695" s="1">
        <v>1643.33</v>
      </c>
    </row>
    <row r="696" spans="1:4" x14ac:dyDescent="0.3">
      <c r="A696" s="1" t="str">
        <f>"01012185100"</f>
        <v>01012185100</v>
      </c>
      <c r="B696" s="1" t="str">
        <f>"ALDANA CARLOS"</f>
        <v>ALDANA CARLOS</v>
      </c>
      <c r="C696" s="1" t="str">
        <f>"MIDLAND AVE RAINBOW LOT 140"</f>
        <v>MIDLAND AVE RAINBOW LOT 140</v>
      </c>
      <c r="D696" s="1">
        <v>7.12</v>
      </c>
    </row>
    <row r="697" spans="1:4" x14ac:dyDescent="0.3">
      <c r="A697" s="1" t="str">
        <f>"01012216500"</f>
        <v>01012216500</v>
      </c>
      <c r="B697" s="1" t="str">
        <f>"ALDANA CARLOS E"</f>
        <v>ALDANA CARLOS E</v>
      </c>
      <c r="C697" s="1" t="str">
        <f>"GEORGIAN DR GEORGIAN HTS LOT 38"</f>
        <v>GEORGIAN DR GEORGIAN HTS LOT 38</v>
      </c>
      <c r="D697" s="1">
        <v>117.91</v>
      </c>
    </row>
    <row r="698" spans="1:4" x14ac:dyDescent="0.3">
      <c r="A698" s="1" t="str">
        <f>"01005746500"</f>
        <v>01005746500</v>
      </c>
      <c r="B698" s="1" t="str">
        <f>"ALDEN AVENUE LLC"</f>
        <v>ALDEN AVENUE LLC</v>
      </c>
      <c r="C698" s="1" t="str">
        <f>"467 ALDEN AVE INDIANOLA ASUMMIT LOT 12-13 BLK 20"</f>
        <v>467 ALDEN AVE INDIANOLA ASUMMIT LOT 12-13 BLK 20</v>
      </c>
      <c r="D698" s="1">
        <v>989</v>
      </c>
    </row>
    <row r="699" spans="1:4" x14ac:dyDescent="0.3">
      <c r="A699" s="1" t="str">
        <f>"53021125200"</f>
        <v>53021125200</v>
      </c>
      <c r="B699" s="1" t="str">
        <f>"ALDO'S CONSTRUCTION LLC"</f>
        <v>ALDO'S CONSTRUCTION LLC</v>
      </c>
      <c r="C699" s="1" t="str">
        <f>"OVERTON WAY INDEPENDENCE SQUARE SEC 3 LOT 113"</f>
        <v>OVERTON WAY INDEPENDENCE SQUARE SEC 3 LOT 113</v>
      </c>
      <c r="D699" s="1">
        <v>1742.66</v>
      </c>
    </row>
    <row r="700" spans="1:4" x14ac:dyDescent="0.3">
      <c r="A700" s="1" t="str">
        <f>"56021504600"</f>
        <v>56021504600</v>
      </c>
      <c r="B700" s="1" t="str">
        <f>"ALDRIDGE SHERI L"</f>
        <v>ALDRIDGE SHERI L</v>
      </c>
      <c r="C700" s="1" t="str">
        <f>"BRESSLER DRIVE SOUTH WESTWIND LOT 4"</f>
        <v>BRESSLER DRIVE SOUTH WESTWIND LOT 4</v>
      </c>
      <c r="D700" s="1">
        <v>282.60000000000002</v>
      </c>
    </row>
    <row r="701" spans="1:4" x14ac:dyDescent="0.3">
      <c r="A701" s="1" t="str">
        <f>"56018897300"</f>
        <v>56018897300</v>
      </c>
      <c r="B701" s="1" t="str">
        <f>"ALECUSAN GEORGE S, ALECUSAN LIZABETH M"</f>
        <v>ALECUSAN GEORGE S, ALECUSAN LIZABETH M</v>
      </c>
      <c r="C701" s="1" t="str">
        <f>"WYNNETREE CT WYNNEOAK ESTATES LOT 27"</f>
        <v>WYNNETREE CT WYNNEOAK ESTATES LOT 27</v>
      </c>
      <c r="D701" s="1">
        <v>735.87</v>
      </c>
    </row>
    <row r="702" spans="1:4" x14ac:dyDescent="0.3">
      <c r="A702" s="1" t="str">
        <f>"01003110000"</f>
        <v>01003110000</v>
      </c>
      <c r="B702" s="1" t="str">
        <f>"ALEMANY MIGUEL A"</f>
        <v>ALEMANY MIGUEL A</v>
      </c>
      <c r="C702" s="1" t="str">
        <f>"S GRUBB ST FRANKLINTON LOT 74"</f>
        <v>S GRUBB ST FRANKLINTON LOT 74</v>
      </c>
      <c r="D702" s="1">
        <v>148.88999999999999</v>
      </c>
    </row>
    <row r="703" spans="1:4" x14ac:dyDescent="0.3">
      <c r="A703" s="1" t="str">
        <f>"01010913500"</f>
        <v>01010913500</v>
      </c>
      <c r="B703" s="1" t="str">
        <f>"ALEMU ABRAHAM"</f>
        <v>ALEMU ABRAHAM</v>
      </c>
      <c r="C703" s="1" t="str">
        <f>"BRENTNELL BLVD ARLINGTON PARK TRACT 2 LOT 10 BLOCK H"</f>
        <v>BRENTNELL BLVD ARLINGTON PARK TRACT 2 LOT 10 BLOCK H</v>
      </c>
      <c r="D703" s="1">
        <v>1021.22</v>
      </c>
    </row>
    <row r="704" spans="1:4" x14ac:dyDescent="0.3">
      <c r="A704" s="1" t="str">
        <f>"02500478300"</f>
        <v>02500478300</v>
      </c>
      <c r="B704" s="1" t="str">
        <f>"ALESSIO CHRISTINE K"</f>
        <v>ALESSIO CHRISTINE K</v>
      </c>
      <c r="C704" s="1" t="str">
        <f>"393 CANFORD PLACE IMPERIAL RISE NO 3 LOT 218"</f>
        <v>393 CANFORD PLACE IMPERIAL RISE NO 3 LOT 218</v>
      </c>
      <c r="D704" s="1">
        <v>5888.33</v>
      </c>
    </row>
    <row r="705" spans="1:4" x14ac:dyDescent="0.3">
      <c r="A705" s="1" t="str">
        <f>"01022757100"</f>
        <v>01022757100</v>
      </c>
      <c r="B705" s="1" t="str">
        <f>"ALEXANDER BESSIE TTEE"</f>
        <v>ALEXANDER BESSIE TTEE</v>
      </c>
      <c r="C705" s="1" t="str">
        <f>"BETHANY DRIVE WEST ALBANY SEC 1 LOT 27"</f>
        <v>BETHANY DRIVE WEST ALBANY SEC 1 LOT 27</v>
      </c>
      <c r="D705" s="1">
        <v>280.77999999999997</v>
      </c>
    </row>
    <row r="706" spans="1:4" x14ac:dyDescent="0.3">
      <c r="A706" s="1" t="str">
        <f>"17000373900"</f>
        <v>17000373900</v>
      </c>
      <c r="B706" s="1" t="str">
        <f>"ALEXANDER DARRYL G JR, ALEXANDER TANIQUA"</f>
        <v>ALEXANDER DARRYL G JR, ALEXANDER TANIQUA</v>
      </c>
      <c r="C706" s="1" t="str">
        <f>"PRAIRIE WILLOW DRIVE WILLOW BROOK CROSSING SOUTH LOT 53"</f>
        <v>PRAIRIE WILLOW DRIVE WILLOW BROOK CROSSING SOUTH LOT 53</v>
      </c>
      <c r="D706" s="1">
        <v>676.98</v>
      </c>
    </row>
    <row r="707" spans="1:4" x14ac:dyDescent="0.3">
      <c r="A707" s="1" t="str">
        <f>"01004584400"</f>
        <v>01004584400</v>
      </c>
      <c r="B707" s="1" t="str">
        <f>"ALEXANDER DAVID &amp; COMPANY LLC"</f>
        <v>ALEXANDER DAVID &amp; COMPANY LLC</v>
      </c>
      <c r="C707" s="1" t="str">
        <f>"1244-48 E MOUND ST 125 FT SE ALLEMANIA LOT 19"</f>
        <v>1244-48 E MOUND ST 125 FT SE ALLEMANIA LOT 19</v>
      </c>
      <c r="D707" s="1">
        <v>1003.51</v>
      </c>
    </row>
    <row r="708" spans="1:4" x14ac:dyDescent="0.3">
      <c r="A708" s="1" t="str">
        <f>"01006711800"</f>
        <v>01006711800</v>
      </c>
      <c r="B708" s="1" t="str">
        <f>"ALEXANDER DEVELOPMENT GROUP LLC"</f>
        <v>ALEXANDER DEVELOPMENT GROUP LLC</v>
      </c>
      <c r="C708" s="1" t="str">
        <f>"164 N 22ND ST WINNERS 1ST LOT 28-29"</f>
        <v>164 N 22ND ST WINNERS 1ST LOT 28-29</v>
      </c>
      <c r="D708" s="1">
        <v>3668.08</v>
      </c>
    </row>
    <row r="709" spans="1:4" x14ac:dyDescent="0.3">
      <c r="A709" s="1" t="str">
        <f>"01001434600"</f>
        <v>01001434600</v>
      </c>
      <c r="B709" s="1" t="str">
        <f>"ALEXANDER DEVELOPMENT GROUP LLC"</f>
        <v>ALEXANDER DEVELOPMENT GROUP LLC</v>
      </c>
      <c r="C709" s="1" t="str">
        <f>"171 N MONROE AVE EAST GROVE 75'WS LOTS 53 &amp; 56"</f>
        <v>171 N MONROE AVE EAST GROVE 75'WS LOTS 53 &amp; 56</v>
      </c>
      <c r="D709" s="1">
        <v>600</v>
      </c>
    </row>
    <row r="710" spans="1:4" x14ac:dyDescent="0.3">
      <c r="A710" s="1" t="str">
        <f>"01003361700"</f>
        <v>01003361700</v>
      </c>
      <c r="B710" s="1" t="str">
        <f>"ALEXANDER DEVELOPMENT GROUP LLC"</f>
        <v>ALEXANDER DEVELOPMENT GROUP LLC</v>
      </c>
      <c r="C710" s="1" t="str">
        <f>"180 TALMADGE ST 17.5 X75FT SW COR E GROVE LOT 56"</f>
        <v>180 TALMADGE ST 17.5 X75FT SW COR E GROVE LOT 56</v>
      </c>
      <c r="D710" s="1">
        <v>507</v>
      </c>
    </row>
    <row r="711" spans="1:4" x14ac:dyDescent="0.3">
      <c r="A711" s="1" t="str">
        <f>"01009692000"</f>
        <v>01009692000</v>
      </c>
      <c r="B711" s="1" t="str">
        <f>"ALEXANDER DEVELOPMENT GROUP LLC"</f>
        <v>ALEXANDER DEVELOPMENT GROUP LLC</v>
      </c>
      <c r="C711" s="1" t="str">
        <f>"830 ATCHESON ST JONES ADD 13.85' LOTS 40-41"</f>
        <v>830 ATCHESON ST JONES ADD 13.85' LOTS 40-41</v>
      </c>
      <c r="D711" s="1">
        <v>580.83000000000004</v>
      </c>
    </row>
    <row r="712" spans="1:4" x14ac:dyDescent="0.3">
      <c r="A712" s="1" t="str">
        <f>"01009690800"</f>
        <v>01009690800</v>
      </c>
      <c r="B712" s="1" t="str">
        <f>"ALEXANDER DEVELOPMENT GROUP LLC"</f>
        <v>ALEXANDER DEVELOPMENT GROUP LLC</v>
      </c>
      <c r="C712" s="1" t="str">
        <f>"820 ATCHESON ST RICHARD JONES LOT 40-41"</f>
        <v>820 ATCHESON ST RICHARD JONES LOT 40-41</v>
      </c>
      <c r="D712" s="1">
        <v>404</v>
      </c>
    </row>
    <row r="713" spans="1:4" x14ac:dyDescent="0.3">
      <c r="A713" s="1" t="str">
        <f>"51524189900"</f>
        <v>51524189900</v>
      </c>
      <c r="B713" s="1" t="str">
        <f>"ALEXANDER ERIK, ALEXANDER JESSICA"</f>
        <v>ALEXANDER ERIK, ALEXANDER JESSICA</v>
      </c>
      <c r="C713" s="1" t="str">
        <f>"TOURMALINE DRIVE WOODS AT JEFFERSON SECTION 5 LOT 277"</f>
        <v>TOURMALINE DRIVE WOODS AT JEFFERSON SECTION 5 LOT 277</v>
      </c>
      <c r="D713" s="1">
        <v>2932.23</v>
      </c>
    </row>
    <row r="714" spans="1:4" x14ac:dyDescent="0.3">
      <c r="A714" s="1" t="str">
        <f>"57022546800"</f>
        <v>57022546800</v>
      </c>
      <c r="B714" s="1" t="str">
        <f>"ALEXANDER ERIK, ALEXANDER JESSICA"</f>
        <v>ALEXANDER ERIK, ALEXANDER JESSICA</v>
      </c>
      <c r="C714" s="1" t="str">
        <f>"OYSTER BAY WAY WESTCHESTER SEC4 PT2 LOT 140"</f>
        <v>OYSTER BAY WAY WESTCHESTER SEC4 PT2 LOT 140</v>
      </c>
      <c r="D714" s="1">
        <v>2015.51</v>
      </c>
    </row>
    <row r="715" spans="1:4" x14ac:dyDescent="0.3">
      <c r="A715" s="1" t="str">
        <f>"01002609100"</f>
        <v>01002609100</v>
      </c>
      <c r="B715" s="1" t="str">
        <f>"ALEXANDER GV LLC"</f>
        <v>ALEXANDER GV LLC</v>
      </c>
      <c r="C715" s="1" t="str">
        <f>"178 ALEXANDER ST 81FT.E.E.CHAS MINISTER AMD LOT 6"</f>
        <v>178 ALEXANDER ST 81FT.E.E.CHAS MINISTER AMD LOT 6</v>
      </c>
      <c r="D715" s="1">
        <v>3522.15</v>
      </c>
    </row>
    <row r="716" spans="1:4" x14ac:dyDescent="0.3">
      <c r="A716" s="1" t="str">
        <f>"02000290400"</f>
        <v>02000290400</v>
      </c>
      <c r="B716" s="1" t="str">
        <f>"ALEXANDER JAIMIE B, HUNTER ROBERT D JR"</f>
        <v>ALEXANDER JAIMIE B, HUNTER ROBERT D JR</v>
      </c>
      <c r="C716" s="1" t="str">
        <f>"171 S ARDMORE RD ARDMORE 73 "</f>
        <v xml:space="preserve">171 S ARDMORE RD ARDMORE 73 </v>
      </c>
      <c r="D716" s="1">
        <v>625.33000000000004</v>
      </c>
    </row>
    <row r="717" spans="1:4" x14ac:dyDescent="0.3">
      <c r="A717" s="1" t="str">
        <f>"01010209200"</f>
        <v>01010209200</v>
      </c>
      <c r="B717" s="1" t="str">
        <f>"ALEXANDER LINDA F"</f>
        <v>ALEXANDER LINDA F</v>
      </c>
      <c r="C717" s="1" t="str">
        <f>"BYRON AVE LIV-MOOR HTS LOT 34"</f>
        <v>BYRON AVE LIV-MOOR HTS LOT 34</v>
      </c>
      <c r="D717" s="1">
        <v>1843.82</v>
      </c>
    </row>
    <row r="718" spans="1:4" x14ac:dyDescent="0.3">
      <c r="A718" s="1" t="str">
        <f>"01011212100"</f>
        <v>01011212100</v>
      </c>
      <c r="B718" s="1" t="str">
        <f>"ALEXANDER PATRICK, ALEXANDER BONNIE C"</f>
        <v>ALEXANDER PATRICK, ALEXANDER BONNIE C</v>
      </c>
      <c r="C718" s="1" t="str">
        <f>"2227 WATKINS RD R22 T4 SEC 1 0.90ACRE PARCEL 17"</f>
        <v>2227 WATKINS RD R22 T4 SEC 1 0.90ACRE PARCEL 17</v>
      </c>
      <c r="D718" s="1">
        <v>82.35</v>
      </c>
    </row>
    <row r="719" spans="1:4" x14ac:dyDescent="0.3">
      <c r="A719" s="1" t="str">
        <f>"27301194500"</f>
        <v>27301194500</v>
      </c>
      <c r="B719" s="1" t="str">
        <f>"ALEXANDRUNAS JILL E TTEE"</f>
        <v>ALEXANDRUNAS JILL E TTEE</v>
      </c>
      <c r="C719" s="1" t="str">
        <f>"MANOR AT CRAUGHWELL VILLAGE CONDOMINIUM BLDG 3 UNIT 6151"</f>
        <v>MANOR AT CRAUGHWELL VILLAGE CONDOMINIUM BLDG 3 UNIT 6151</v>
      </c>
      <c r="D719" s="1">
        <v>1952.23</v>
      </c>
    </row>
    <row r="720" spans="1:4" x14ac:dyDescent="0.3">
      <c r="A720" s="1" t="str">
        <f>"15200029800"</f>
        <v>15200029800</v>
      </c>
      <c r="B720" s="1" t="str">
        <f>"ALFORD ROBERT"</f>
        <v>ALFORD ROBERT</v>
      </c>
      <c r="C720" s="1" t="str">
        <f>"LISLE AVE COLUMBUS TERRACE LOT 719"</f>
        <v>LISLE AVE COLUMBUS TERRACE LOT 719</v>
      </c>
      <c r="D720" s="1">
        <v>495.39</v>
      </c>
    </row>
    <row r="721" spans="1:4" x14ac:dyDescent="0.3">
      <c r="A721" s="1" t="str">
        <f>"15200030000"</f>
        <v>15200030000</v>
      </c>
      <c r="B721" s="1" t="str">
        <f>"ALFORD ROBERT"</f>
        <v>ALFORD ROBERT</v>
      </c>
      <c r="C721" s="1" t="str">
        <f>"LISLE AVE COLUMBUS TERRACE 721"</f>
        <v>LISLE AVE COLUMBUS TERRACE 721</v>
      </c>
      <c r="D721" s="1">
        <v>235.9</v>
      </c>
    </row>
    <row r="722" spans="1:4" x14ac:dyDescent="0.3">
      <c r="A722" s="1" t="str">
        <f>"04000483900"</f>
        <v>04000483900</v>
      </c>
      <c r="B722" s="1" t="str">
        <f>"ALFORD ROBIN A"</f>
        <v>ALFORD ROBIN A</v>
      </c>
      <c r="C722" s="1" t="str">
        <f>"3840 QUEEN ANNE PL CONDOMINIUM UNIT A12 AUBURN VILLAGE"</f>
        <v>3840 QUEEN ANNE PL CONDOMINIUM UNIT A12 AUBURN VILLAGE</v>
      </c>
      <c r="D722" s="1">
        <v>41.06</v>
      </c>
    </row>
    <row r="723" spans="1:4" x14ac:dyDescent="0.3">
      <c r="A723" s="1" t="str">
        <f>"01002247400"</f>
        <v>01002247400</v>
      </c>
      <c r="B723" s="1" t="str">
        <f>"ALFRED MAURICE T TR ( MAURICE T ALFRED TRUST )"</f>
        <v>ALFRED MAURICE T TR ( MAURICE T ALFRED TRUST )</v>
      </c>
      <c r="C723" s="1" t="str">
        <f>"1092 E RICH ST R C HOFFMAN LOT 2"</f>
        <v>1092 E RICH ST R C HOFFMAN LOT 2</v>
      </c>
      <c r="D723" s="1">
        <v>779.94</v>
      </c>
    </row>
    <row r="724" spans="1:4" x14ac:dyDescent="0.3">
      <c r="A724" s="1" t="str">
        <f>"11300213700"</f>
        <v>11300213700</v>
      </c>
      <c r="B724" s="1" t="str">
        <f>"ALI ABDISALAM"</f>
        <v>ALI ABDISALAM</v>
      </c>
      <c r="C724" s="1" t="str">
        <f>"MINERVA PARK PHASE 1 LOT 26"</f>
        <v>MINERVA PARK PHASE 1 LOT 26</v>
      </c>
      <c r="D724" s="1">
        <v>3774.07</v>
      </c>
    </row>
    <row r="725" spans="1:4" x14ac:dyDescent="0.3">
      <c r="A725" s="1" t="str">
        <f>"57016790000"</f>
        <v>57016790000</v>
      </c>
      <c r="B725" s="1" t="str">
        <f>"ALI ABDIWALI, FARAH FADUMO"</f>
        <v>ALI ABDIWALI, FARAH FADUMO</v>
      </c>
      <c r="C725" s="1" t="str">
        <f>"RIVER BD3 RESUB RESF VALLEYWOOD DRIVE LOT 10"</f>
        <v>RIVER BD3 RESUB RESF VALLEYWOOD DRIVE LOT 10</v>
      </c>
      <c r="D725" s="1">
        <v>2999.1</v>
      </c>
    </row>
    <row r="726" spans="1:4" x14ac:dyDescent="0.3">
      <c r="A726" s="1" t="str">
        <f>"60018516600"</f>
        <v>60018516600</v>
      </c>
      <c r="B726" s="1" t="str">
        <f>"ALI ADAN OMAR"</f>
        <v>ALI ADAN OMAR</v>
      </c>
      <c r="C726" s="1" t="str">
        <f>"WINDRIDGE DR WOODBRIDGE CONDO TWO UNIT 2764"</f>
        <v>WINDRIDGE DR WOODBRIDGE CONDO TWO UNIT 2764</v>
      </c>
      <c r="D726" s="1">
        <v>3262.18</v>
      </c>
    </row>
    <row r="727" spans="1:4" x14ac:dyDescent="0.3">
      <c r="A727" s="1" t="str">
        <f>"60016291800"</f>
        <v>60016291800</v>
      </c>
      <c r="B727" s="1" t="str">
        <f>"ALI AHMAD H"</f>
        <v>ALI AHMAD H</v>
      </c>
      <c r="C727" s="1" t="str">
        <f>"PYRENEES CT SUNBURY HEIGHTS PUD DIST NO1 LOT 97"</f>
        <v>PYRENEES CT SUNBURY HEIGHTS PUD DIST NO1 LOT 97</v>
      </c>
      <c r="D727" s="1">
        <v>2725.83</v>
      </c>
    </row>
    <row r="728" spans="1:4" x14ac:dyDescent="0.3">
      <c r="A728" s="1" t="str">
        <f>"01016616800"</f>
        <v>01016616800</v>
      </c>
      <c r="B728" s="1" t="str">
        <f>"ALI AHMED"</f>
        <v>ALI AHMED</v>
      </c>
      <c r="C728" s="1" t="str">
        <f>"5109 RANSTEAD CT RITTENHOUSE SQ CON 4 BLDG 5 UNIT 9"</f>
        <v>5109 RANSTEAD CT RITTENHOUSE SQ CON 4 BLDG 5 UNIT 9</v>
      </c>
      <c r="D728" s="1">
        <v>2002.91</v>
      </c>
    </row>
    <row r="729" spans="1:4" x14ac:dyDescent="0.3">
      <c r="A729" s="1" t="str">
        <f>"04001670700"</f>
        <v>04001670700</v>
      </c>
      <c r="B729" s="1" t="str">
        <f>"ALI AHMET HASAHN"</f>
        <v>ALI AHMET HASAHN</v>
      </c>
      <c r="C729" s="1" t="str">
        <f>"FARMSTEAD PHASE 2 LOT 83"</f>
        <v>FARMSTEAD PHASE 2 LOT 83</v>
      </c>
      <c r="D729" s="1">
        <v>6987.74</v>
      </c>
    </row>
    <row r="730" spans="1:4" x14ac:dyDescent="0.3">
      <c r="A730" s="1" t="str">
        <f>"60015355000"</f>
        <v>60015355000</v>
      </c>
      <c r="B730" s="1" t="str">
        <f>"ALI ALI B"</f>
        <v>ALI ALI B</v>
      </c>
      <c r="C730" s="1" t="str">
        <f>"VALLEY PARK AVE PARKRIDGE VILLAGE LOT 60"</f>
        <v>VALLEY PARK AVE PARKRIDGE VILLAGE LOT 60</v>
      </c>
      <c r="D730" s="1">
        <v>2586.5</v>
      </c>
    </row>
    <row r="731" spans="1:4" x14ac:dyDescent="0.3">
      <c r="A731" s="1" t="str">
        <f>"01018526000"</f>
        <v>01018526000</v>
      </c>
      <c r="B731" s="1" t="str">
        <f>"ALI ASIYA"</f>
        <v>ALI ASIYA</v>
      </c>
      <c r="C731" s="1" t="str">
        <f>"MORSETOWN CT BRENTWOOD CONDO UNIT 4246 BLDG 5"</f>
        <v>MORSETOWN CT BRENTWOOD CONDO UNIT 4246 BLDG 5</v>
      </c>
      <c r="D731" s="1">
        <v>529.17999999999995</v>
      </c>
    </row>
    <row r="732" spans="1:4" x14ac:dyDescent="0.3">
      <c r="A732" s="1" t="str">
        <f>"01018530000"</f>
        <v>01018530000</v>
      </c>
      <c r="B732" s="1" t="str">
        <f>"ALI ASIYA"</f>
        <v>ALI ASIYA</v>
      </c>
      <c r="C732" s="1" t="str">
        <f>"MORSETOWN CT BRENTWOOD CONDO UNIT 4231 BLDG 9"</f>
        <v>MORSETOWN CT BRENTWOOD CONDO UNIT 4231 BLDG 9</v>
      </c>
      <c r="D732" s="1">
        <v>765.66</v>
      </c>
    </row>
    <row r="733" spans="1:4" x14ac:dyDescent="0.3">
      <c r="A733" s="1" t="str">
        <f>"52028900900"</f>
        <v>52028900900</v>
      </c>
      <c r="B733" s="1" t="str">
        <f>"ALI HALIMA, ALI OMAR"</f>
        <v>ALI HALIMA, ALI OMAR</v>
      </c>
      <c r="C733" s="1" t="str">
        <f>"TOWNE PARK SECTION 3 LOT 337"</f>
        <v>TOWNE PARK SECTION 3 LOT 337</v>
      </c>
      <c r="D733" s="1">
        <v>7709.63</v>
      </c>
    </row>
    <row r="734" spans="1:4" x14ac:dyDescent="0.3">
      <c r="A734" s="1" t="str">
        <f>"52027756900"</f>
        <v>52027756900</v>
      </c>
      <c r="B734" s="1" t="str">
        <f>"ALI IMAN"</f>
        <v>ALI IMAN</v>
      </c>
      <c r="C734" s="1" t="str">
        <f>"2711 KANTIAN DRIVE TOWNE PARK SECTION 1 LOT 153"</f>
        <v>2711 KANTIAN DRIVE TOWNE PARK SECTION 1 LOT 153</v>
      </c>
      <c r="D734" s="1">
        <v>5970.47</v>
      </c>
    </row>
    <row r="735" spans="1:4" x14ac:dyDescent="0.3">
      <c r="A735" s="1" t="str">
        <f>"52027758300"</f>
        <v>52027758300</v>
      </c>
      <c r="B735" s="1" t="str">
        <f>"ALI IMAN"</f>
        <v>ALI IMAN</v>
      </c>
      <c r="C735" s="1" t="str">
        <f>"2716 RINALDI DRIVE TOWNE PARK SECTION 1 LOT 167"</f>
        <v>2716 RINALDI DRIVE TOWNE PARK SECTION 1 LOT 167</v>
      </c>
      <c r="D735" s="1">
        <v>5854.51</v>
      </c>
    </row>
    <row r="736" spans="1:4" x14ac:dyDescent="0.3">
      <c r="A736" s="1" t="str">
        <f>"05000453900"</f>
        <v>05000453900</v>
      </c>
      <c r="B736" s="1" t="str">
        <f>"ALI JIHAN"</f>
        <v>ALI JIHAN</v>
      </c>
      <c r="C736" s="1" t="str">
        <f>"2796 BOHLEN DRIVE BROOKFIELD VILLAGE SECTION 3 LOT 203"</f>
        <v>2796 BOHLEN DRIVE BROOKFIELD VILLAGE SECTION 3 LOT 203</v>
      </c>
      <c r="D736" s="1">
        <v>234.3</v>
      </c>
    </row>
    <row r="737" spans="1:4" x14ac:dyDescent="0.3">
      <c r="A737" s="1" t="str">
        <f>"19100042400"</f>
        <v>19100042400</v>
      </c>
      <c r="B737" s="1" t="str">
        <f>"ALI LIBAN"</f>
        <v>ALI LIBAN</v>
      </c>
      <c r="C737" s="1" t="str">
        <f>"MINNESOTA AVE LEONARD PARK 7 BLK D"</f>
        <v>MINNESOTA AVE LEONARD PARK 7 BLK D</v>
      </c>
      <c r="D737" s="1">
        <v>808.14</v>
      </c>
    </row>
    <row r="738" spans="1:4" x14ac:dyDescent="0.3">
      <c r="A738" s="1" t="str">
        <f>"11000253500"</f>
        <v>11000253500</v>
      </c>
      <c r="B738" s="1" t="str">
        <f>"ALI MARYAN, MOHAMUD AYAN"</f>
        <v>ALI MARYAN, MOHAMUD AYAN</v>
      </c>
      <c r="C738" s="1" t="str">
        <f>"CLARIDON RD CLEVELAND HTS 2 307 "</f>
        <v xml:space="preserve">CLARIDON RD CLEVELAND HTS 2 307 </v>
      </c>
      <c r="D738" s="1">
        <v>417.55</v>
      </c>
    </row>
    <row r="739" spans="1:4" x14ac:dyDescent="0.3">
      <c r="A739" s="1" t="str">
        <f>"01017124700"</f>
        <v>01017124700</v>
      </c>
      <c r="B739" s="1" t="str">
        <f>"ALI OMAR"</f>
        <v>ALI OMAR</v>
      </c>
      <c r="C739" s="1" t="str">
        <f>"CHATEAU MORSE CONDO LOT 4355 "</f>
        <v xml:space="preserve">CHATEAU MORSE CONDO LOT 4355 </v>
      </c>
      <c r="D739" s="1">
        <v>708.19</v>
      </c>
    </row>
    <row r="740" spans="1:4" x14ac:dyDescent="0.3">
      <c r="A740" s="1" t="str">
        <f>"08000895100"</f>
        <v>08000895100</v>
      </c>
      <c r="B740" s="1" t="str">
        <f>"ALI PROPERTY HOLDING LLC"</f>
        <v>ALI PROPERTY HOLDING LLC</v>
      </c>
      <c r="C740" s="1" t="str">
        <f>"267 CROSS WIND DR WESTERVILLE CONDO TOWNHMS II UNIT H"</f>
        <v>267 CROSS WIND DR WESTERVILLE CONDO TOWNHMS II UNIT H</v>
      </c>
      <c r="D740" s="1">
        <v>1397.79</v>
      </c>
    </row>
    <row r="741" spans="1:4" x14ac:dyDescent="0.3">
      <c r="A741" s="1" t="str">
        <f>"14000470600"</f>
        <v>14000470600</v>
      </c>
      <c r="B741" s="1" t="str">
        <f>"ALIYA INVESTMENTS 3 LLC"</f>
        <v>ALIYA INVESTMENTS 3 LLC</v>
      </c>
      <c r="C741" s="1" t="str">
        <f>"LOWELL DR PLEASANT VIEW ACRES LOT 29"</f>
        <v>LOWELL DR PLEASANT VIEW ACRES LOT 29</v>
      </c>
      <c r="D741" s="1">
        <v>30.33</v>
      </c>
    </row>
    <row r="742" spans="1:4" x14ac:dyDescent="0.3">
      <c r="A742" s="1" t="str">
        <f>"01001343800"</f>
        <v>01001343800</v>
      </c>
      <c r="B742" s="1" t="str">
        <f>"ALJAMAL ZEINAB, ALBLAST TAWFIG I"</f>
        <v>ALJAMAL ZEINAB, ALBLAST TAWFIG I</v>
      </c>
      <c r="C742" s="1" t="str">
        <f>"862 E MAIN &amp; 865 E CHERRY PARSONS 2ND SUB LOT 26-27"</f>
        <v>862 E MAIN &amp; 865 E CHERRY PARSONS 2ND SUB LOT 26-27</v>
      </c>
      <c r="D742" s="1">
        <v>2901.22</v>
      </c>
    </row>
    <row r="743" spans="1:4" x14ac:dyDescent="0.3">
      <c r="A743" s="1" t="str">
        <f>"01001689200"</f>
        <v>01001689200</v>
      </c>
      <c r="B743" s="1" t="str">
        <f>"ALJAMAL ZEINAB, ALBLAST TAWFIG I"</f>
        <v>ALJAMAL ZEINAB, ALBLAST TAWFIG I</v>
      </c>
      <c r="C743" s="1" t="str">
        <f>"864 E MAIN ST 90 FT S END LOT 25 PARSONS 2ND SUB"</f>
        <v>864 E MAIN ST 90 FT S END LOT 25 PARSONS 2ND SUB</v>
      </c>
      <c r="D743" s="1">
        <v>806.28</v>
      </c>
    </row>
    <row r="744" spans="1:4" x14ac:dyDescent="0.3">
      <c r="A744" s="1" t="str">
        <f>"01001394000"</f>
        <v>01001394000</v>
      </c>
      <c r="B744" s="1" t="str">
        <f>"ALJAMAL ZEINAB, ALBLAST TAWFIG I"</f>
        <v>ALJAMAL ZEINAB, ALBLAST TAWFIG I</v>
      </c>
      <c r="C744" s="1" t="str">
        <f>"307-9 18TH ST 70FT N END PARSONS 2ND SUB 25"</f>
        <v>307-9 18TH ST 70FT N END PARSONS 2ND SUB 25</v>
      </c>
      <c r="D744" s="1">
        <v>512.67999999999995</v>
      </c>
    </row>
    <row r="745" spans="1:4" x14ac:dyDescent="0.3">
      <c r="A745" s="1" t="str">
        <f>"01014593500"</f>
        <v>01014593500</v>
      </c>
      <c r="B745" s="1" t="str">
        <f>"ALJIBOURI AMER, MALIH RASHA"</f>
        <v>ALJIBOURI AMER, MALIH RASHA</v>
      </c>
      <c r="C745" s="1" t="str">
        <f>"FOREST PARK E SEC 4 LOT 552 "</f>
        <v xml:space="preserve">FOREST PARK E SEC 4 LOT 552 </v>
      </c>
      <c r="D745" s="1">
        <v>2027.12</v>
      </c>
    </row>
    <row r="746" spans="1:4" x14ac:dyDescent="0.3">
      <c r="A746" s="1" t="str">
        <f>"01010837900"</f>
        <v>01010837900</v>
      </c>
      <c r="B746" s="1" t="str">
        <f>"ALL CITY AUTO WRECKING INC"</f>
        <v>ALL CITY AUTO WRECKING INC</v>
      </c>
      <c r="C746" s="1" t="str">
        <f>"1547 JOYCE AVE ACRES 3.93 ATCHESON P-T A-C"</f>
        <v>1547 JOYCE AVE ACRES 3.93 ATCHESON P-T A-C</v>
      </c>
      <c r="D746" s="1">
        <v>170.71</v>
      </c>
    </row>
    <row r="747" spans="1:4" x14ac:dyDescent="0.3">
      <c r="A747" s="1" t="str">
        <f>"01010818200"</f>
        <v>01010818200</v>
      </c>
      <c r="B747" s="1" t="str">
        <f>"ALL CITY AUTO WRECKING INC"</f>
        <v>ALL CITY AUTO WRECKING INC</v>
      </c>
      <c r="C747" s="1" t="str">
        <f>"1441 JOYCE AVE R18 T1 1/4T4 1.987 ACRES"</f>
        <v>1441 JOYCE AVE R18 T1 1/4T4 1.987 ACRES</v>
      </c>
      <c r="D747" s="1">
        <v>2116.94</v>
      </c>
    </row>
    <row r="748" spans="1:4" x14ac:dyDescent="0.3">
      <c r="A748" s="1" t="str">
        <f>"01002739500"</f>
        <v>01002739500</v>
      </c>
      <c r="B748" s="1" t="str">
        <f>"ALL HOUSES REAPIR, LLC, KAMAL HAMAD AND LALE NABI"</f>
        <v>ALL HOUSES REAPIR, LLC, KAMAL HAMAD AND LALE NABI</v>
      </c>
      <c r="C748" s="1" t="str">
        <f>"1966 E 5TH AVE PARSONS LOT 88-89-90"</f>
        <v>1966 E 5TH AVE PARSONS LOT 88-89-90</v>
      </c>
      <c r="D748" s="1">
        <v>114.24</v>
      </c>
    </row>
    <row r="749" spans="1:4" x14ac:dyDescent="0.3">
      <c r="A749" s="1" t="str">
        <f>"01002739300"</f>
        <v>01002739300</v>
      </c>
      <c r="B749" s="1" t="str">
        <f>"ALL HOUSES REPAIR, LLC, KAMAL HAMAD AND LALE NABI"</f>
        <v>ALL HOUSES REPAIR, LLC, KAMAL HAMAD AND LALE NABI</v>
      </c>
      <c r="C749" s="1" t="str">
        <f>"1950 E 5TH AVE PARSONS ADD LOTS 85-87"</f>
        <v>1950 E 5TH AVE PARSONS ADD LOTS 85-87</v>
      </c>
      <c r="D749" s="1">
        <v>2733.79</v>
      </c>
    </row>
    <row r="750" spans="1:4" x14ac:dyDescent="0.3">
      <c r="A750" s="1" t="str">
        <f>"01019846800"</f>
        <v>01019846800</v>
      </c>
      <c r="B750" s="1" t="str">
        <f>"ALL IN A DAY CHILDCARE CENTER LLC"</f>
        <v>ALL IN A DAY CHILDCARE CENTER LLC</v>
      </c>
      <c r="C750" s="1" t="str">
        <f>"REFUGEE RD 21-12-49 1.815 ACS"</f>
        <v>REFUGEE RD 21-12-49 1.815 ACS</v>
      </c>
      <c r="D750" s="1">
        <v>10281.379999999999</v>
      </c>
    </row>
    <row r="751" spans="1:4" x14ac:dyDescent="0.3">
      <c r="A751" s="1" t="str">
        <f>"19000190200"</f>
        <v>19000190200</v>
      </c>
      <c r="B751" s="1" t="str">
        <f>"ALL N 1 RENOVATION LLC"</f>
        <v>ALL N 1 RENOVATION LLC</v>
      </c>
      <c r="C751" s="1" t="str">
        <f>"2795 PURDUE AVE S 1/2 OF N 1/2 E LINDEN 3RD 85"</f>
        <v>2795 PURDUE AVE S 1/2 OF N 1/2 E LINDEN 3RD 85</v>
      </c>
      <c r="D751" s="1">
        <v>1056.79</v>
      </c>
    </row>
    <row r="752" spans="1:4" x14ac:dyDescent="0.3">
      <c r="A752" s="1" t="str">
        <f>"01006931800"</f>
        <v>01006931800</v>
      </c>
      <c r="B752" s="1" t="str">
        <f>"ALL OHIO PROPERTIES LLC"</f>
        <v>ALL OHIO PROPERTIES LLC</v>
      </c>
      <c r="C752" s="1" t="str">
        <f>"EDWIN ST PLEASANT HOME SITES LOT 22"</f>
        <v>EDWIN ST PLEASANT HOME SITES LOT 22</v>
      </c>
      <c r="D752" s="1">
        <v>1043.05</v>
      </c>
    </row>
    <row r="753" spans="1:4" x14ac:dyDescent="0.3">
      <c r="A753" s="1" t="str">
        <f>"01019055800"</f>
        <v>01019055800</v>
      </c>
      <c r="B753" s="1" t="str">
        <f>"ALL SEASONS MEDICAL CLINIC INC"</f>
        <v>ALL SEASONS MEDICAL CLINIC INC</v>
      </c>
      <c r="C753" s="1" t="str">
        <f>"2290 S HAMILTON RD R21 T12 S21-27-28 .644 ACRE"</f>
        <v>2290 S HAMILTON RD R21 T12 S21-27-28 .644 ACRE</v>
      </c>
      <c r="D753" s="1">
        <v>8587.59</v>
      </c>
    </row>
    <row r="754" spans="1:4" x14ac:dyDescent="0.3">
      <c r="A754" s="1" t="str">
        <f>"06000686100"</f>
        <v>06000686100</v>
      </c>
      <c r="B754" s="1" t="str">
        <f>"ALLEN A WAYNE, ALLEN TERESA A"</f>
        <v>ALLEN A WAYNE, ALLEN TERESA A</v>
      </c>
      <c r="C754" s="1" t="str">
        <f>"BRIGHTSTONE DR HIGHLANDS OF REYN LOT 2"</f>
        <v>BRIGHTSTONE DR HIGHLANDS OF REYN LOT 2</v>
      </c>
      <c r="D754" s="1">
        <v>323.37</v>
      </c>
    </row>
    <row r="755" spans="1:4" x14ac:dyDescent="0.3">
      <c r="A755" s="1" t="str">
        <f>"07001051400"</f>
        <v>07001051400</v>
      </c>
      <c r="B755" s="1" t="str">
        <f>"ALLEN AMBER M"</f>
        <v>ALLEN AMBER M</v>
      </c>
      <c r="C755" s="1" t="str">
        <f>"4241 GAVIN LANE WILLIAMSBURG ESTATES LOT 14"</f>
        <v>4241 GAVIN LANE WILLIAMSBURG ESTATES LOT 14</v>
      </c>
      <c r="D755" s="1">
        <v>494.8</v>
      </c>
    </row>
    <row r="756" spans="1:4" x14ac:dyDescent="0.3">
      <c r="A756" s="1" t="str">
        <f>"01004806900"</f>
        <v>01004806900</v>
      </c>
      <c r="B756" s="1" t="str">
        <f>"ALLEN AND ALLEN"</f>
        <v>ALLEN AND ALLEN</v>
      </c>
      <c r="C756" s="1" t="str">
        <f>"374 W 3RD AVE             BOOTH                     SUB 8                    "</f>
        <v xml:space="preserve">374 W 3RD AVE             BOOTH                     SUB 8                    </v>
      </c>
      <c r="D756" s="1">
        <v>6066.16</v>
      </c>
    </row>
    <row r="757" spans="1:4" x14ac:dyDescent="0.3">
      <c r="A757" s="1" t="str">
        <f>"01026166100"</f>
        <v>01026166100</v>
      </c>
      <c r="B757" s="1" t="str">
        <f>"ALLEN ANNE"</f>
        <v>ALLEN ANNE</v>
      </c>
      <c r="C757" s="1" t="str">
        <f>"THE CONDOMINIUM AT WINCHESTER COVE 1ST AMD BLDG 32 UNIT 4298"</f>
        <v>THE CONDOMINIUM AT WINCHESTER COVE 1ST AMD BLDG 32 UNIT 4298</v>
      </c>
      <c r="D757" s="1">
        <v>2700.67</v>
      </c>
    </row>
    <row r="758" spans="1:4" x14ac:dyDescent="0.3">
      <c r="A758" s="1" t="str">
        <f>"61019782300"</f>
        <v>61019782300</v>
      </c>
      <c r="B758" s="1" t="str">
        <f>"ALLEN ANNE M, SCHROER MICHAEL T"</f>
        <v>ALLEN ANNE M, SCHROER MICHAEL T</v>
      </c>
      <c r="C758" s="1" t="str">
        <f>"BUCKPOINT LA DEER CREEK SEC 2 LOT 71"</f>
        <v>BUCKPOINT LA DEER CREEK SEC 2 LOT 71</v>
      </c>
      <c r="D758" s="1">
        <v>74.930000000000007</v>
      </c>
    </row>
    <row r="759" spans="1:4" x14ac:dyDescent="0.3">
      <c r="A759" s="1" t="str">
        <f>"05000852800"</f>
        <v>05000852800</v>
      </c>
      <c r="B759" s="1" t="str">
        <f>"ALLEN ANTHONY J, ALLEN MARY L"</f>
        <v>ALLEN ANTHONY J, ALLEN MARY L</v>
      </c>
      <c r="C759" s="1" t="str">
        <f>"WOODSVIEW WAY HOFFMAN FARMS SECTION 3 PHASE 1 LOT 173"</f>
        <v>WOODSVIEW WAY HOFFMAN FARMS SECTION 3 PHASE 1 LOT 173</v>
      </c>
      <c r="D759" s="1">
        <v>451.8</v>
      </c>
    </row>
    <row r="760" spans="1:4" x14ac:dyDescent="0.3">
      <c r="A760" s="1" t="str">
        <f>"01001907000"</f>
        <v>01001907000</v>
      </c>
      <c r="B760" s="1" t="str">
        <f>"ALLEN CATHERINE M"</f>
        <v>ALLEN CATHERINE M</v>
      </c>
      <c r="C760" s="1" t="str">
        <f>"816 BERKLEY RD E LINEN PLACE LOT 64"</f>
        <v>816 BERKLEY RD E LINEN PLACE LOT 64</v>
      </c>
      <c r="D760" s="1">
        <v>1573.01</v>
      </c>
    </row>
    <row r="761" spans="1:4" x14ac:dyDescent="0.3">
      <c r="A761" s="1" t="str">
        <f>"61020663000"</f>
        <v>61020663000</v>
      </c>
      <c r="B761" s="1" t="str">
        <f>"ALLEN DONNA"</f>
        <v>ALLEN DONNA</v>
      </c>
      <c r="C761" s="1" t="str">
        <f>"OLDSBURY PLACE WORTHINGTON GREEN SEC 2 LOT 92"</f>
        <v>OLDSBURY PLACE WORTHINGTON GREEN SEC 2 LOT 92</v>
      </c>
      <c r="D761" s="1">
        <v>135.69</v>
      </c>
    </row>
    <row r="762" spans="1:4" x14ac:dyDescent="0.3">
      <c r="A762" s="1" t="str">
        <f>"01012177500"</f>
        <v>01012177500</v>
      </c>
      <c r="B762" s="1" t="str">
        <f>"ALLEN DONNA, HORNE SHERRI"</f>
        <v>ALLEN DONNA, HORNE SHERRI</v>
      </c>
      <c r="C762" s="1" t="str">
        <f>"WHITETHORNE AVE RAINBOW LOT 57"</f>
        <v>WHITETHORNE AVE RAINBOW LOT 57</v>
      </c>
      <c r="D762" s="1">
        <v>1273.92</v>
      </c>
    </row>
    <row r="763" spans="1:4" x14ac:dyDescent="0.3">
      <c r="A763" s="1" t="str">
        <f>"21300157300"</f>
        <v>21300157300</v>
      </c>
      <c r="B763" s="1" t="str">
        <f>"ALLEN JENNIFER LYNN TTEE"</f>
        <v>ALLEN JENNIFER LYNN TTEE</v>
      </c>
      <c r="C763" s="1" t="str">
        <f>"MCVEY BLVD BROOKSIDE ESTATES 5 LOT 1"</f>
        <v>MCVEY BLVD BROOKSIDE ESTATES 5 LOT 1</v>
      </c>
      <c r="D763" s="1">
        <v>456.81</v>
      </c>
    </row>
    <row r="764" spans="1:4" x14ac:dyDescent="0.3">
      <c r="A764" s="1" t="str">
        <f>"01016747000"</f>
        <v>01016747000</v>
      </c>
      <c r="B764" s="1" t="str">
        <f>"ALLEN JOHN 4TH"</f>
        <v>ALLEN JOHN 4TH</v>
      </c>
      <c r="C764" s="1" t="str">
        <f>"WOODLAND AVE ARLINGTON PARK AMVET SEC LOT 19"</f>
        <v>WOODLAND AVE ARLINGTON PARK AMVET SEC LOT 19</v>
      </c>
      <c r="D764" s="1">
        <v>859.24</v>
      </c>
    </row>
    <row r="765" spans="1:4" x14ac:dyDescent="0.3">
      <c r="A765" s="1" t="str">
        <f>"60019859800"</f>
        <v>60019859800</v>
      </c>
      <c r="B765" s="1" t="str">
        <f>"ALLEN JUDITH M"</f>
        <v>ALLEN JUDITH M</v>
      </c>
      <c r="C765" s="1" t="str">
        <f>"KILLOWEN CT CANONGATE SEC 3 LOT 183"</f>
        <v>KILLOWEN CT CANONGATE SEC 3 LOT 183</v>
      </c>
      <c r="D765" s="1">
        <v>2040.18</v>
      </c>
    </row>
    <row r="766" spans="1:4" x14ac:dyDescent="0.3">
      <c r="A766" s="1" t="str">
        <f>"57023697800"</f>
        <v>57023697800</v>
      </c>
      <c r="B766" s="1" t="str">
        <f>"ALLEN KATHLEEN"</f>
        <v>ALLEN KATHLEEN</v>
      </c>
      <c r="C766" s="1" t="str">
        <f>"EMERALD WAY DRIVE WILLOW CREEK SEC 2 PART 4  LOT 619"</f>
        <v>EMERALD WAY DRIVE WILLOW CREEK SEC 2 PART 4  LOT 619</v>
      </c>
      <c r="D766" s="1">
        <v>3386.25</v>
      </c>
    </row>
    <row r="767" spans="1:4" x14ac:dyDescent="0.3">
      <c r="A767" s="1" t="str">
        <f>"07000932500"</f>
        <v>07000932500</v>
      </c>
      <c r="B767" s="1" t="str">
        <f>"ALLEN LOIS H"</f>
        <v>ALLEN LOIS H</v>
      </c>
      <c r="C767" s="1" t="str">
        <f>"3355 SOMERFORD RD MILLWOOD 22 BLK 293"</f>
        <v>3355 SOMERFORD RD MILLWOOD 22 BLK 293</v>
      </c>
      <c r="D767" s="1">
        <v>5113.7700000000004</v>
      </c>
    </row>
    <row r="768" spans="1:4" x14ac:dyDescent="0.3">
      <c r="A768" s="1" t="str">
        <f>"53023664600"</f>
        <v>53023664600</v>
      </c>
      <c r="B768" s="1" t="str">
        <f>"ALLEN LORI ANN, ALLEN JON SCOTT A"</f>
        <v>ALLEN LORI ANN, ALLEN JON SCOTT A</v>
      </c>
      <c r="C768" s="1" t="str">
        <f>"WATERFORD HARBOUR CONDOMINIUM 4TH AMD BLDG 25 UNIT 4458"</f>
        <v>WATERFORD HARBOUR CONDOMINIUM 4TH AMD BLDG 25 UNIT 4458</v>
      </c>
      <c r="D768" s="1">
        <v>1383.76</v>
      </c>
    </row>
    <row r="769" spans="1:4" x14ac:dyDescent="0.3">
      <c r="A769" s="1" t="str">
        <f>"01014727900"</f>
        <v>01014727900</v>
      </c>
      <c r="B769" s="1" t="str">
        <f>"ALLEN M CELESTE"</f>
        <v>ALLEN M CELESTE</v>
      </c>
      <c r="C769" s="1" t="str">
        <f>"CHESFORD RD HYDE PARK PLAT 1 LOT 58"</f>
        <v>CHESFORD RD HYDE PARK PLAT 1 LOT 58</v>
      </c>
      <c r="D769" s="1">
        <v>3038.78</v>
      </c>
    </row>
    <row r="770" spans="1:4" x14ac:dyDescent="0.3">
      <c r="A770" s="1" t="str">
        <f>"24000139500"</f>
        <v>24000139500</v>
      </c>
      <c r="B770" s="1" t="str">
        <f>"ALLEN MICHAEL"</f>
        <v>ALLEN MICHAEL</v>
      </c>
      <c r="C770" s="1" t="str">
        <f>"MIX AVE WEST COLUMBUS PARK LOTS 340-4 &amp; 470-4"</f>
        <v>MIX AVE WEST COLUMBUS PARK LOTS 340-4 &amp; 470-4</v>
      </c>
      <c r="D770" s="1">
        <v>942.4</v>
      </c>
    </row>
    <row r="771" spans="1:4" x14ac:dyDescent="0.3">
      <c r="A771" s="1" t="str">
        <f>"24000288700"</f>
        <v>24000288700</v>
      </c>
      <c r="B771" s="1" t="str">
        <f>"ALLEN ROBERT T, ALLEN TAMMY"</f>
        <v>ALLEN ROBERT T, ALLEN TAMMY</v>
      </c>
      <c r="C771" s="1" t="str">
        <f>"GREENER AVE GARDEN HTS 39 "</f>
        <v xml:space="preserve">GREENER AVE GARDEN HTS 39 </v>
      </c>
      <c r="D771" s="1">
        <v>143.28</v>
      </c>
    </row>
    <row r="772" spans="1:4" x14ac:dyDescent="0.3">
      <c r="A772" s="1" t="str">
        <f>"01010750400"</f>
        <v>01010750400</v>
      </c>
      <c r="B772" s="1" t="str">
        <f>"ALLEN SAMANTHA J, DAVIS CHAD C"</f>
        <v>ALLEN SAMANTHA J, DAVIS CHAD C</v>
      </c>
      <c r="C772" s="1" t="str">
        <f>"LATHAM CT GORE LOT 22"</f>
        <v>LATHAM CT GORE LOT 22</v>
      </c>
      <c r="D772" s="1">
        <v>487.92</v>
      </c>
    </row>
    <row r="773" spans="1:4" x14ac:dyDescent="0.3">
      <c r="A773" s="1" t="str">
        <f>"01010117300"</f>
        <v>01010117300</v>
      </c>
      <c r="B773" s="1" t="str">
        <f>"ALLEN SUNDERLAND JUSTIN LYMAN"</f>
        <v>ALLEN SUNDERLAND JUSTIN LYMAN</v>
      </c>
      <c r="C773" s="1" t="str">
        <f>"ROSWELL DR BERWICK MANOR LOT 227"</f>
        <v>ROSWELL DR BERWICK MANOR LOT 227</v>
      </c>
      <c r="D773" s="1">
        <v>1467.2</v>
      </c>
    </row>
    <row r="774" spans="1:4" x14ac:dyDescent="0.3">
      <c r="A774" s="1" t="str">
        <f>"13000154800"</f>
        <v>13000154800</v>
      </c>
      <c r="B774" s="1" t="str">
        <f>"ALLEN THOMAS"</f>
        <v>ALLEN THOMAS</v>
      </c>
      <c r="C774" s="1" t="str">
        <f>"2119 ELMORE AVE ELMORE LOT 46"</f>
        <v>2119 ELMORE AVE ELMORE LOT 46</v>
      </c>
      <c r="D774" s="1">
        <v>1344.87</v>
      </c>
    </row>
    <row r="775" spans="1:4" x14ac:dyDescent="0.3">
      <c r="A775" s="1" t="str">
        <f>"01011174700"</f>
        <v>01011174700</v>
      </c>
      <c r="B775" s="1" t="str">
        <f>"ALLEN TINA M"</f>
        <v>ALLEN TINA M</v>
      </c>
      <c r="C775" s="1" t="str">
        <f>"LAWRENCE DR DELLBOURNE LOT 21"</f>
        <v>LAWRENCE DR DELLBOURNE LOT 21</v>
      </c>
      <c r="D775" s="1">
        <v>1309</v>
      </c>
    </row>
    <row r="776" spans="1:4" x14ac:dyDescent="0.3">
      <c r="A776" s="1" t="str">
        <f>"22000226700"</f>
        <v>22000226700</v>
      </c>
      <c r="B776" s="1" t="str">
        <f>"ALLEN TYLER D, ALLEN JESSICA L"</f>
        <v>ALLEN TYLER D, ALLEN JESSICA L</v>
      </c>
      <c r="C776" s="1" t="str">
        <f>"SMOTHERS RD R16 T2 SEC2 L5 2.500 ACRES (TRACT B)"</f>
        <v>SMOTHERS RD R16 T2 SEC2 L5 2.500 ACRES (TRACT B)</v>
      </c>
      <c r="D776" s="1">
        <v>7228.69</v>
      </c>
    </row>
    <row r="777" spans="1:4" x14ac:dyDescent="0.3">
      <c r="A777" s="1" t="str">
        <f>"17000306700"</f>
        <v>17000306700</v>
      </c>
      <c r="B777" s="1" t="str">
        <f>"ALLEY MELANIE"</f>
        <v>ALLEY MELANIE</v>
      </c>
      <c r="C777" s="1" t="str">
        <f>"BUNKER RIDGE COURT BLACKLICK RIDGE SECTION 2 PART 1 LOT 118"</f>
        <v>BUNKER RIDGE COURT BLACKLICK RIDGE SECTION 2 PART 1 LOT 118</v>
      </c>
      <c r="D777" s="1">
        <v>333</v>
      </c>
    </row>
    <row r="778" spans="1:4" x14ac:dyDescent="0.3">
      <c r="A778" s="1" t="str">
        <f>"53015659100"</f>
        <v>53015659100</v>
      </c>
      <c r="B778" s="1" t="str">
        <f>"ALLEY STEVEN M"</f>
        <v>ALLEY STEVEN M</v>
      </c>
      <c r="C778" s="1" t="str">
        <f>"3370 SPANGLER RD .4 AC R21 T11 S7 "</f>
        <v xml:space="preserve">3370 SPANGLER RD .4 AC R21 T11 S7 </v>
      </c>
      <c r="D778" s="1">
        <v>25.62</v>
      </c>
    </row>
    <row r="779" spans="1:4" x14ac:dyDescent="0.3">
      <c r="A779" s="1" t="str">
        <f>"53015661900"</f>
        <v>53015661900</v>
      </c>
      <c r="B779" s="1" t="str">
        <f>"ALLEY STEVEN M"</f>
        <v>ALLEY STEVEN M</v>
      </c>
      <c r="C779" s="1" t="str">
        <f>"1 ACRE R21 T11 S4  "</f>
        <v xml:space="preserve">1 ACRE R21 T11 S4  </v>
      </c>
      <c r="D779" s="1">
        <v>84.61</v>
      </c>
    </row>
    <row r="780" spans="1:4" x14ac:dyDescent="0.3">
      <c r="A780" s="1" t="str">
        <f>"59020032300"</f>
        <v>59020032300</v>
      </c>
      <c r="B780" s="1" t="str">
        <f>"ALLI SARAYU, ALLI SURENDRA"</f>
        <v>ALLI SARAYU, ALLI SURENDRA</v>
      </c>
      <c r="C780" s="1" t="str">
        <f>"HEDGEROW ROAD ENCLAVE CONDO UNIT 2241D"</f>
        <v>HEDGEROW ROAD ENCLAVE CONDO UNIT 2241D</v>
      </c>
      <c r="D780" s="1">
        <v>3343.15</v>
      </c>
    </row>
    <row r="781" spans="1:4" x14ac:dyDescent="0.3">
      <c r="A781" s="1" t="str">
        <f>"01018688400"</f>
        <v>01018688400</v>
      </c>
      <c r="B781" s="1" t="str">
        <f>"ALLISON BROWN LLC"</f>
        <v>ALLISON BROWN LLC</v>
      </c>
      <c r="C781" s="1" t="str">
        <f>"SUNAPPLE WAY APPLEWAY EAST CONDO UNIT 1741 BLDG 14"</f>
        <v>SUNAPPLE WAY APPLEWAY EAST CONDO UNIT 1741 BLDG 14</v>
      </c>
      <c r="D781" s="1">
        <v>1163.32</v>
      </c>
    </row>
    <row r="782" spans="1:4" x14ac:dyDescent="0.3">
      <c r="A782" s="1" t="str">
        <f>"02500120500"</f>
        <v>02500120500</v>
      </c>
      <c r="B782" s="1" t="str">
        <f>"ALLISON NANCY L"</f>
        <v>ALLISON NANCY L</v>
      </c>
      <c r="C782" s="1" t="str">
        <f>"409MARQUIS CT ROYAL MANOR 23 "</f>
        <v xml:space="preserve">409MARQUIS CT ROYAL MANOR 23 </v>
      </c>
      <c r="D782" s="1">
        <v>2269.14</v>
      </c>
    </row>
    <row r="783" spans="1:4" x14ac:dyDescent="0.3">
      <c r="A783" s="1" t="str">
        <f>"01007258300"</f>
        <v>01007258300</v>
      </c>
      <c r="B783" s="1" t="str">
        <f>"ALLMAN FELICIA"</f>
        <v>ALLMAN FELICIA</v>
      </c>
      <c r="C783" s="1" t="str">
        <f>"HIAWATHIA ALMADA LOT 596"</f>
        <v>HIAWATHIA ALMADA LOT 596</v>
      </c>
      <c r="D783" s="1">
        <v>1387.8</v>
      </c>
    </row>
    <row r="784" spans="1:4" x14ac:dyDescent="0.3">
      <c r="A784" s="1" t="str">
        <f>"18000423200"</f>
        <v>18000423200</v>
      </c>
      <c r="B784" s="1" t="str">
        <f>"ALLMENDINGER ROBERT J, ALLMENDINGER LESLIE A"</f>
        <v>ALLMENDINGER ROBERT J, ALLMENDINGER LESLIE A</v>
      </c>
      <c r="C784" s="1" t="str">
        <f>"RUTLEDGE DR N QUALSTAN EAST 18 "</f>
        <v xml:space="preserve">RUTLEDGE DR N QUALSTAN EAST 18 </v>
      </c>
      <c r="D784" s="1">
        <v>3114.19</v>
      </c>
    </row>
    <row r="785" spans="1:4" x14ac:dyDescent="0.3">
      <c r="A785" s="1" t="str">
        <f>"04001038100"</f>
        <v>04001038100</v>
      </c>
      <c r="B785" s="1" t="str">
        <f>"ALLMON MARK D, ALLMON MARIANNE S"</f>
        <v>ALLMON MARK D, ALLMON MARIANNE S</v>
      </c>
      <c r="C785" s="1" t="str">
        <f>"5163 WINTER CREEK DRIVE CREEKSIDE SECTION 1 LOT 12"</f>
        <v>5163 WINTER CREEK DRIVE CREEKSIDE SECTION 1 LOT 12</v>
      </c>
      <c r="D785" s="1">
        <v>7235.59</v>
      </c>
    </row>
    <row r="786" spans="1:4" x14ac:dyDescent="0.3">
      <c r="A786" s="1" t="str">
        <f>"01029052100"</f>
        <v>01029052100</v>
      </c>
      <c r="B786" s="1" t="str">
        <f>"ALM JOHN D, ALM KATHERINE R"</f>
        <v>ALM JOHN D, ALM KATHERINE R</v>
      </c>
      <c r="C786" s="1" t="str">
        <f>"THE WOODS AT SUGAR RUN CONDOMINIUM (15TH AMD) UNIT 33-5422"</f>
        <v>THE WOODS AT SUGAR RUN CONDOMINIUM (15TH AMD) UNIT 33-5422</v>
      </c>
      <c r="D786" s="1">
        <v>341.69</v>
      </c>
    </row>
    <row r="787" spans="1:4" x14ac:dyDescent="0.3">
      <c r="A787" s="1" t="str">
        <f>"01005916800"</f>
        <v>01005916800</v>
      </c>
      <c r="B787" s="1" t="str">
        <f>"ALM MANAGEMENT LLC"</f>
        <v>ALM MANAGEMENT LLC</v>
      </c>
      <c r="C787" s="1" t="str">
        <f>"2805 WESTERVILLE RD LINDEN TERRACE LOT 56 &amp; LOT 57"</f>
        <v>2805 WESTERVILLE RD LINDEN TERRACE LOT 56 &amp; LOT 57</v>
      </c>
      <c r="D787" s="1">
        <v>5105.2700000000004</v>
      </c>
    </row>
    <row r="788" spans="1:4" x14ac:dyDescent="0.3">
      <c r="A788" s="1" t="str">
        <f>"01011328900"</f>
        <v>01011328900</v>
      </c>
      <c r="B788" s="1" t="str">
        <f>"ALMASOODI HASAN, ALMASOODI ALI"</f>
        <v>ALMASOODI HASAN, ALMASOODI ALI</v>
      </c>
      <c r="C788" s="1" t="str">
        <f>"2110-2114 GROVEPORT RD STAMBAUGH LOTS 1-3"</f>
        <v>2110-2114 GROVEPORT RD STAMBAUGH LOTS 1-3</v>
      </c>
      <c r="D788" s="1">
        <v>1004.6</v>
      </c>
    </row>
    <row r="789" spans="1:4" x14ac:dyDescent="0.3">
      <c r="A789" s="1" t="str">
        <f>"01011461500"</f>
        <v>01011461500</v>
      </c>
      <c r="B789" s="1" t="str">
        <f>"ALMIS REALTY LLC"</f>
        <v>ALMIS REALTY LLC</v>
      </c>
      <c r="C789" s="1" t="str">
        <f>"ELWOOD AVE SOUTHGATE LOT 113"</f>
        <v>ELWOOD AVE SOUTHGATE LOT 113</v>
      </c>
      <c r="D789" s="1">
        <v>702.45</v>
      </c>
    </row>
    <row r="790" spans="1:4" x14ac:dyDescent="0.3">
      <c r="A790" s="1" t="str">
        <f>"06000673500"</f>
        <v>06000673500</v>
      </c>
      <c r="B790" s="1" t="str">
        <f>"ALMIS REALTY LLC"</f>
        <v>ALMIS REALTY LLC</v>
      </c>
      <c r="C790" s="1" t="str">
        <f>"N RODEBAUGH RD TIMBER CREEK EAST LOT 1"</f>
        <v>N RODEBAUGH RD TIMBER CREEK EAST LOT 1</v>
      </c>
      <c r="D790" s="1">
        <v>146.47999999999999</v>
      </c>
    </row>
    <row r="791" spans="1:4" x14ac:dyDescent="0.3">
      <c r="A791" s="1" t="str">
        <f>"01011203700"</f>
        <v>01011203700</v>
      </c>
      <c r="B791" s="1" t="str">
        <f>"ALMIS REALTY LLC"</f>
        <v>ALMIS REALTY LLC</v>
      </c>
      <c r="C791" s="1" t="str">
        <f>"ELWOOD AVE ALICE MARION LOT 8"</f>
        <v>ELWOOD AVE ALICE MARION LOT 8</v>
      </c>
      <c r="D791" s="1">
        <v>578.22</v>
      </c>
    </row>
    <row r="792" spans="1:4" x14ac:dyDescent="0.3">
      <c r="A792" s="1" t="str">
        <f>"01011461000"</f>
        <v>01011461000</v>
      </c>
      <c r="B792" s="1" t="str">
        <f>"ALMIS REALTY LLC"</f>
        <v>ALMIS REALTY LLC</v>
      </c>
      <c r="C792" s="1" t="str">
        <f>"ELWOOD AVE SOUTHGATE ADDITION LOT 108"</f>
        <v>ELWOOD AVE SOUTHGATE ADDITION LOT 108</v>
      </c>
      <c r="D792" s="1">
        <v>702.45</v>
      </c>
    </row>
    <row r="793" spans="1:4" x14ac:dyDescent="0.3">
      <c r="A793" s="1" t="str">
        <f>"19100033200"</f>
        <v>19100033200</v>
      </c>
      <c r="B793" s="1" t="str">
        <f>"ALMIS REALTY LLC"</f>
        <v>ALMIS REALTY LLC</v>
      </c>
      <c r="C793" s="1" t="str">
        <f>"MIFFLIN BLVD LEONARD PARK 31 BLK B"</f>
        <v>MIFFLIN BLVD LEONARD PARK 31 BLK B</v>
      </c>
      <c r="D793" s="1">
        <v>724.71</v>
      </c>
    </row>
    <row r="794" spans="1:4" x14ac:dyDescent="0.3">
      <c r="A794" s="1" t="str">
        <f>"01011203800"</f>
        <v>01011203800</v>
      </c>
      <c r="B794" s="1" t="str">
        <f>"ALMIS REALTY LLC"</f>
        <v>ALMIS REALTY LLC</v>
      </c>
      <c r="C794" s="1" t="str">
        <f>"ELWOOD AVE ALICE MARION LOT 9"</f>
        <v>ELWOOD AVE ALICE MARION LOT 9</v>
      </c>
      <c r="D794" s="1">
        <v>578.22</v>
      </c>
    </row>
    <row r="795" spans="1:4" x14ac:dyDescent="0.3">
      <c r="A795" s="1" t="str">
        <f>"01005618800"</f>
        <v>01005618800</v>
      </c>
      <c r="B795" s="1" t="str">
        <f>"ALMOG CAPITAL LLC"</f>
        <v>ALMOG CAPITAL LLC</v>
      </c>
      <c r="C795" s="1" t="str">
        <f>"536-8 MITHOFF ST ALL 23 W 1/2 24 A &amp; J S TUART 23-24"</f>
        <v>536-8 MITHOFF ST ALL 23 W 1/2 24 A &amp; J S TUART 23-24</v>
      </c>
      <c r="D795" s="1">
        <v>2555.86</v>
      </c>
    </row>
    <row r="796" spans="1:4" x14ac:dyDescent="0.3">
      <c r="A796" s="1" t="str">
        <f>"01004224700"</f>
        <v>01004224700</v>
      </c>
      <c r="B796" s="1" t="str">
        <f>"ALMONTE DOLLY"</f>
        <v>ALMONTE DOLLY</v>
      </c>
      <c r="C796" s="1" t="str">
        <f>"3190 E MAIN ST CRESCENT HEIGHTS LOT 102"</f>
        <v>3190 E MAIN ST CRESCENT HEIGHTS LOT 102</v>
      </c>
      <c r="D796" s="1">
        <v>2173.75</v>
      </c>
    </row>
    <row r="797" spans="1:4" x14ac:dyDescent="0.3">
      <c r="A797" s="1" t="str">
        <f>"53017200700"</f>
        <v>53017200700</v>
      </c>
      <c r="B797" s="1" t="str">
        <f>"ALMONTE DOLLY M"</f>
        <v>ALMONTE DOLLY M</v>
      </c>
      <c r="C797" s="1" t="str">
        <f>"2871-873 UNITED CT INDEPENDENCE VLGE 2 LOT 100"</f>
        <v>2871-873 UNITED CT INDEPENDENCE VLGE 2 LOT 100</v>
      </c>
      <c r="D797" s="1">
        <v>3900.62</v>
      </c>
    </row>
    <row r="798" spans="1:4" x14ac:dyDescent="0.3">
      <c r="A798" s="1" t="str">
        <f>"55015614700"</f>
        <v>55015614700</v>
      </c>
      <c r="B798" s="1" t="str">
        <f>"ALMONTE DOLLY M"</f>
        <v>ALMONTE DOLLY M</v>
      </c>
      <c r="C798" s="1" t="str">
        <f>"1168 MANOR DR IDLEWILD MANOR EXT LOTS 7-9"</f>
        <v>1168 MANOR DR IDLEWILD MANOR EXT LOTS 7-9</v>
      </c>
      <c r="D798" s="1">
        <v>2911.77</v>
      </c>
    </row>
    <row r="799" spans="1:4" x14ac:dyDescent="0.3">
      <c r="A799" s="1" t="str">
        <f>"01001547200"</f>
        <v>01001547200</v>
      </c>
      <c r="B799" s="1" t="str">
        <f>"ALMONTE RICARDO"</f>
        <v>ALMONTE RICARDO</v>
      </c>
      <c r="C799" s="1" t="str">
        <f>"982 16TH AVE DREXEL PARK LOTS 234 &amp; 235"</f>
        <v>982 16TH AVE DREXEL PARK LOTS 234 &amp; 235</v>
      </c>
      <c r="D799" s="1">
        <v>2352.81</v>
      </c>
    </row>
    <row r="800" spans="1:4" x14ac:dyDescent="0.3">
      <c r="A800" s="1" t="str">
        <f>"02000251100"</f>
        <v>02000251100</v>
      </c>
      <c r="B800" s="1" t="str">
        <f>"ALMOS BREANN G, ALMOS DAVID K"</f>
        <v>ALMOS BREANN G, ALMOS DAVID K</v>
      </c>
      <c r="C800" s="1" t="str">
        <f>"751 S REMINGTON RD RIDERS LOT 326 &amp; S 1/2 325"</f>
        <v>751 S REMINGTON RD RIDERS LOT 326 &amp; S 1/2 325</v>
      </c>
      <c r="D800" s="1">
        <v>1277.3499999999999</v>
      </c>
    </row>
    <row r="801" spans="1:4" x14ac:dyDescent="0.3">
      <c r="A801" s="1" t="str">
        <f>"21300183400"</f>
        <v>21300183400</v>
      </c>
      <c r="B801" s="1" t="str">
        <f>"ALO ELIZABETH A"</f>
        <v>ALO ELIZABETH A</v>
      </c>
      <c r="C801" s="1" t="str">
        <f>"CANDLEWOOD DR WORTHINGTON HILLS 2 LOT 238"</f>
        <v>CANDLEWOOD DR WORTHINGTON HILLS 2 LOT 238</v>
      </c>
      <c r="D801" s="1">
        <v>685.82</v>
      </c>
    </row>
    <row r="802" spans="1:4" x14ac:dyDescent="0.3">
      <c r="A802" s="1" t="str">
        <f>"01005367300"</f>
        <v>01005367300</v>
      </c>
      <c r="B802" s="1" t="str">
        <f>"ALOHA CAPITAL LLC"</f>
        <v>ALOHA CAPITAL LLC</v>
      </c>
      <c r="C802" s="1" t="str">
        <f>"2485-2489 INDIANOLA GEO WILLIAMS LT380 &amp; 5'NS LT381"</f>
        <v>2485-2489 INDIANOLA GEO WILLIAMS LT380 &amp; 5'NS LT381</v>
      </c>
      <c r="D802" s="1">
        <v>1792.65</v>
      </c>
    </row>
    <row r="803" spans="1:4" x14ac:dyDescent="0.3">
      <c r="A803" s="1" t="str">
        <f>"01001516400"</f>
        <v>01001516400</v>
      </c>
      <c r="B803" s="1" t="str">
        <f>"ALOMARI SULIMAN, DEEK MOHAMMED E"</f>
        <v>ALOMARI SULIMAN, DEEK MOHAMMED E</v>
      </c>
      <c r="C803" s="1" t="str">
        <f>"W KIMBERLY PW 0.991 ACRES LOT 2 "</f>
        <v xml:space="preserve">W KIMBERLY PW 0.991 ACRES LOT 2 </v>
      </c>
      <c r="D803" s="1">
        <v>2479.4699999999998</v>
      </c>
    </row>
    <row r="804" spans="1:4" x14ac:dyDescent="0.3">
      <c r="A804" s="1" t="str">
        <f>"09000820600"</f>
        <v>09000820600</v>
      </c>
      <c r="B804" s="1" t="str">
        <f>"ALS INVESTMENTS LLC"</f>
        <v>ALS INVESTMENTS LLC</v>
      </c>
      <c r="C804" s="1" t="str">
        <f>"190 S HAMILTON RD         R21 T12 1/2S4             5.046 ACRES              "</f>
        <v xml:space="preserve">190 S HAMILTON RD         R21 T12 1/2S4             5.046 ACRES              </v>
      </c>
      <c r="D804" s="1">
        <v>31219.26</v>
      </c>
    </row>
    <row r="805" spans="1:4" x14ac:dyDescent="0.3">
      <c r="A805" s="1" t="str">
        <f>"02500318400"</f>
        <v>02500318400</v>
      </c>
      <c r="B805" s="1" t="str">
        <f>"ALSAADA EHAB"</f>
        <v>ALSAADA EHAB</v>
      </c>
      <c r="C805" s="1" t="str">
        <f>"476 CLARK STATE ROAD GAHANNA HEIGHTS LOT 10"</f>
        <v>476 CLARK STATE ROAD GAHANNA HEIGHTS LOT 10</v>
      </c>
      <c r="D805" s="1">
        <v>6377.59</v>
      </c>
    </row>
    <row r="806" spans="1:4" x14ac:dyDescent="0.3">
      <c r="A806" s="1" t="str">
        <f>"56021443600"</f>
        <v>56021443600</v>
      </c>
      <c r="B806" s="1" t="str">
        <f>"ALSEPT ROY R"</f>
        <v>ALSEPT ROY R</v>
      </c>
      <c r="C806" s="1" t="str">
        <f>".ROSSCREEK VILLAGE SECTION 3 LOT 239"</f>
        <v>.ROSSCREEK VILLAGE SECTION 3 LOT 239</v>
      </c>
      <c r="D806" s="1">
        <v>2810.68</v>
      </c>
    </row>
    <row r="807" spans="1:4" x14ac:dyDescent="0.3">
      <c r="A807" s="1" t="str">
        <f>"18400092300"</f>
        <v>18400092300</v>
      </c>
      <c r="B807" s="1" t="str">
        <f>"ALSPACH PAUL E, ALSPACH CELIA A"</f>
        <v>ALSPACH PAUL E, ALSPACH CELIA A</v>
      </c>
      <c r="C807" s="1" t="str">
        <f>"GROVEPORT-WINCHESTER PIKE AC .6 CHAS F LAMBS 5"</f>
        <v>GROVEPORT-WINCHESTER PIKE AC .6 CHAS F LAMBS 5</v>
      </c>
      <c r="D807" s="1">
        <v>247.81</v>
      </c>
    </row>
    <row r="808" spans="1:4" x14ac:dyDescent="0.3">
      <c r="A808" s="1" t="str">
        <f>"09000644700"</f>
        <v>09000644700</v>
      </c>
      <c r="B808" s="1" t="str">
        <f>"ALSPAUGH KEITH A"</f>
        <v>ALSPAUGH KEITH A</v>
      </c>
      <c r="C808" s="1" t="str">
        <f>"4027 RICKENBACKER AVE OLP LOT 197 "</f>
        <v xml:space="preserve">4027 RICKENBACKER AVE OLP LOT 197 </v>
      </c>
      <c r="D808" s="1">
        <v>983.28</v>
      </c>
    </row>
    <row r="809" spans="1:4" x14ac:dyDescent="0.3">
      <c r="A809" s="1" t="str">
        <f>"01009900700"</f>
        <v>01009900700</v>
      </c>
      <c r="B809" s="1" t="str">
        <f>"ALSTON MICHAEL R, PEGUES-TUCKER BEVERLY J, ALSTON ANITA J"</f>
        <v>ALSTON MICHAEL R, PEGUES-TUCKER BEVERLY J, ALSTON ANITA J</v>
      </c>
      <c r="C809" s="1" t="str">
        <f>"BLAKE AVE NORLEA PARK LOT 98-99"</f>
        <v>BLAKE AVE NORLEA PARK LOT 98-99</v>
      </c>
      <c r="D809" s="1">
        <v>2306.4699999999998</v>
      </c>
    </row>
    <row r="810" spans="1:4" x14ac:dyDescent="0.3">
      <c r="A810" s="1" t="str">
        <f>"01005874200"</f>
        <v>01005874200</v>
      </c>
      <c r="B810" s="1" t="str">
        <f>"ALTHOFF DAVID C, ALTHOFF VICKI J"</f>
        <v>ALTHOFF DAVID C, ALTHOFF VICKI J</v>
      </c>
      <c r="C810" s="1" t="str">
        <f>"69 MEDBROOK WAY EX 3 FT TRI S W COR NORTHMOOR LOT 56"</f>
        <v>69 MEDBROOK WAY EX 3 FT TRI S W COR NORTHMOOR LOT 56</v>
      </c>
      <c r="D810" s="1">
        <v>7296.34</v>
      </c>
    </row>
    <row r="811" spans="1:4" x14ac:dyDescent="0.3">
      <c r="A811" s="1" t="str">
        <f>"01012064600"</f>
        <v>01012064600</v>
      </c>
      <c r="B811" s="1" t="str">
        <f>"ALTHOFF VICTORIA M, ALTHOFF DAVID C SR"</f>
        <v>ALTHOFF VICTORIA M, ALTHOFF DAVID C SR</v>
      </c>
      <c r="C811" s="1" t="str">
        <f>"EVALINE DR CLINTON ESTATES 3 LOT 129"</f>
        <v>EVALINE DR CLINTON ESTATES 3 LOT 129</v>
      </c>
      <c r="D811" s="1">
        <v>3733.65</v>
      </c>
    </row>
    <row r="812" spans="1:4" x14ac:dyDescent="0.3">
      <c r="A812" s="1" t="str">
        <f>"02500077700"</f>
        <v>02500077700</v>
      </c>
      <c r="B812" s="1" t="str">
        <f>"ALTHOFF ZACH"</f>
        <v>ALTHOFF ZACH</v>
      </c>
      <c r="C812" s="1" t="str">
        <f>"124 SERRAN DR ROCKY FORK HTS 79-80 "</f>
        <v xml:space="preserve">124 SERRAN DR ROCKY FORK HTS 79-80 </v>
      </c>
      <c r="D812" s="1">
        <v>352.97</v>
      </c>
    </row>
    <row r="813" spans="1:4" x14ac:dyDescent="0.3">
      <c r="A813" s="1" t="str">
        <f>"01008227500"</f>
        <v>01008227500</v>
      </c>
      <c r="B813" s="1" t="str">
        <f>"ALTMAN DAVID E JR, ALTMAN LOUISE M"</f>
        <v>ALTMAN DAVID E JR, ALTMAN LOUISE M</v>
      </c>
      <c r="C813" s="1" t="str">
        <f>"3174 REIS AV ENOCHS &amp; MCKEES N BROADWAY L 44"</f>
        <v>3174 REIS AV ENOCHS &amp; MCKEES N BROADWAY L 44</v>
      </c>
      <c r="D813" s="1">
        <v>1165.71</v>
      </c>
    </row>
    <row r="814" spans="1:4" x14ac:dyDescent="0.3">
      <c r="A814" s="1" t="str">
        <f>"01011005500"</f>
        <v>01011005500</v>
      </c>
      <c r="B814" s="1" t="str">
        <f>"ALVAND MANAGEMENT LTD"</f>
        <v>ALVAND MANAGEMENT LTD</v>
      </c>
      <c r="C814" s="1" t="str">
        <f>"1586 GRANVILLE RD R18 T2 1/4 T4 LOT SUB 4 .575 ACRE"</f>
        <v>1586 GRANVILLE RD R18 T2 1/4 T4 LOT SUB 4 .575 ACRE</v>
      </c>
      <c r="D814" s="1">
        <v>554.13</v>
      </c>
    </row>
    <row r="815" spans="1:4" x14ac:dyDescent="0.3">
      <c r="A815" s="1" t="str">
        <f>"60017034200"</f>
        <v>60017034200</v>
      </c>
      <c r="B815" s="1" t="str">
        <f>"ALVARADO LEYLA R"</f>
        <v>ALVARADO LEYLA R</v>
      </c>
      <c r="C815" s="1" t="str">
        <f>"ELLA CT COOPER WOODS SEC 2 LOT 141"</f>
        <v>ELLA CT COOPER WOODS SEC 2 LOT 141</v>
      </c>
      <c r="D815" s="1">
        <v>435.19</v>
      </c>
    </row>
    <row r="816" spans="1:4" x14ac:dyDescent="0.3">
      <c r="A816" s="1" t="str">
        <f>"51022875800"</f>
        <v>51022875800</v>
      </c>
      <c r="B816" s="1" t="str">
        <f>"ALVAREZ BELKYS, ALVAREZ RAFAEL"</f>
        <v>ALVAREZ BELKYS, ALVAREZ RAFAEL</v>
      </c>
      <c r="C816" s="1" t="str">
        <f>"RENDEZVOUS LANE CROSS POINTE SEC 2 LOT 67"</f>
        <v>RENDEZVOUS LANE CROSS POINTE SEC 2 LOT 67</v>
      </c>
      <c r="D816" s="1">
        <v>4105.42</v>
      </c>
    </row>
    <row r="817" spans="1:4" x14ac:dyDescent="0.3">
      <c r="A817" s="1" t="str">
        <f>"57015402100"</f>
        <v>57015402100</v>
      </c>
      <c r="B817" s="1" t="str">
        <f>"ALVAREZ CORTEZ JAIME TTEE"</f>
        <v>ALVAREZ CORTEZ JAIME TTEE</v>
      </c>
      <c r="C817" s="1" t="str">
        <f>"3359 ROBIN HILL CR RIVER BEND SEC 4 LOT 438"</f>
        <v>3359 ROBIN HILL CR RIVER BEND SEC 4 LOT 438</v>
      </c>
      <c r="D817" s="1">
        <v>1482.37</v>
      </c>
    </row>
    <row r="818" spans="1:4" x14ac:dyDescent="0.3">
      <c r="A818" s="1" t="str">
        <f>"57022496400"</f>
        <v>57022496400</v>
      </c>
      <c r="B818" s="1" t="str">
        <f>"ALVAREZ JAIME E TTEE"</f>
        <v>ALVAREZ JAIME E TTEE</v>
      </c>
      <c r="C818" s="1" t="str">
        <f>"HIGH CREEK DRIVE ROCKY CREEK SEC 1 LOT 21"</f>
        <v>HIGH CREEK DRIVE ROCKY CREEK SEC 1 LOT 21</v>
      </c>
      <c r="D818" s="1">
        <v>1444.96</v>
      </c>
    </row>
    <row r="819" spans="1:4" x14ac:dyDescent="0.3">
      <c r="A819" s="1" t="str">
        <f>"24000162100"</f>
        <v>24000162100</v>
      </c>
      <c r="B819" s="1" t="str">
        <f>"ALVAREZ JAIME E TTEE"</f>
        <v>ALVAREZ JAIME E TTEE</v>
      </c>
      <c r="C819" s="1" t="str">
        <f>"W BROAD ST ALTON LOTS 36-37 &amp; VAC R/W"</f>
        <v>W BROAD ST ALTON LOTS 36-37 &amp; VAC R/W</v>
      </c>
      <c r="D819" s="1">
        <v>564.11</v>
      </c>
    </row>
    <row r="820" spans="1:4" x14ac:dyDescent="0.3">
      <c r="A820" s="1" t="str">
        <f>"24000277400"</f>
        <v>24000277400</v>
      </c>
      <c r="B820" s="1" t="str">
        <f>"ALVAREZ JAIME E TTEE"</f>
        <v>ALVAREZ JAIME E TTEE</v>
      </c>
      <c r="C820" s="1" t="str">
        <f>"POSTLE BLVD ROME HTS 222 "</f>
        <v xml:space="preserve">POSTLE BLVD ROME HTS 222 </v>
      </c>
      <c r="D820" s="1">
        <v>1629.39</v>
      </c>
    </row>
    <row r="821" spans="1:4" x14ac:dyDescent="0.3">
      <c r="A821" s="1" t="str">
        <f>"01013747300"</f>
        <v>01013747300</v>
      </c>
      <c r="B821" s="1" t="str">
        <f>"ALVAREZ MARYORY ASTRID"</f>
        <v>ALVAREZ MARYORY ASTRID</v>
      </c>
      <c r="C821" s="1" t="str">
        <f>"5769 OLENTANGY RD R19 T2 S4 0.816 ACRES"</f>
        <v>5769 OLENTANGY RD R19 T2 S4 0.816 ACRES</v>
      </c>
      <c r="D821" s="1">
        <v>2059.23</v>
      </c>
    </row>
    <row r="822" spans="1:4" x14ac:dyDescent="0.3">
      <c r="A822" s="1" t="str">
        <f>"01012523900"</f>
        <v>01012523900</v>
      </c>
      <c r="B822" s="1" t="str">
        <f>"ALVERSON JOSEPH, ALVERSON TIRA"</f>
        <v>ALVERSON JOSEPH, ALVERSON TIRA</v>
      </c>
      <c r="C822" s="1" t="str">
        <f>"GROVEWOOD DR SOUTHFIELD 2ND LOT 44"</f>
        <v>GROVEWOOD DR SOUTHFIELD 2ND LOT 44</v>
      </c>
      <c r="D822" s="1">
        <v>943.87</v>
      </c>
    </row>
    <row r="823" spans="1:4" x14ac:dyDescent="0.3">
      <c r="A823" s="1" t="str">
        <f>"08000448800"</f>
        <v>08000448800</v>
      </c>
      <c r="B823" s="1" t="str">
        <f>"ALVES LLEWELLYN B, ALVES FRANCESCA A"</f>
        <v>ALVES LLEWELLYN B, ALVES FRANCESCA A</v>
      </c>
      <c r="C823" s="1" t="str">
        <f>"HUBERVILLAGE BLVD HERBERT C HUBER PLAT 49 SEC 8 L 2358"</f>
        <v>HUBERVILLAGE BLVD HERBERT C HUBER PLAT 49 SEC 8 L 2358</v>
      </c>
      <c r="D823" s="1">
        <v>3368.64</v>
      </c>
    </row>
    <row r="824" spans="1:4" x14ac:dyDescent="0.3">
      <c r="A824" s="1" t="str">
        <f>"01009818400"</f>
        <v>01009818400</v>
      </c>
      <c r="B824" s="1" t="str">
        <f>"ALVES MARTHA V TR"</f>
        <v>ALVES MARTHA V TR</v>
      </c>
      <c r="C824" s="1" t="str">
        <f>"NORRIS DR MAIZE MANOR LOT 3"</f>
        <v>NORRIS DR MAIZE MANOR LOT 3</v>
      </c>
      <c r="D824" s="1">
        <v>3759.84</v>
      </c>
    </row>
    <row r="825" spans="1:4" x14ac:dyDescent="0.3">
      <c r="A825" s="1" t="str">
        <f>"01004369100"</f>
        <v>01004369100</v>
      </c>
      <c r="B825" s="1" t="str">
        <f>"ALVIS INC"</f>
        <v>ALVIS INC</v>
      </c>
      <c r="C825" s="1" t="str">
        <f>"971 BRYDEN RD PARSONS 4TH LOT 8"</f>
        <v>971 BRYDEN RD PARSONS 4TH LOT 8</v>
      </c>
      <c r="D825" s="1">
        <v>5171.09</v>
      </c>
    </row>
    <row r="826" spans="1:4" x14ac:dyDescent="0.3">
      <c r="A826" s="1" t="str">
        <f>"01003694600"</f>
        <v>01003694600</v>
      </c>
      <c r="B826" s="1" t="str">
        <f>"ALYNATA PROPERTIES LTD"</f>
        <v>ALYNATA PROPERTIES LTD</v>
      </c>
      <c r="C826" s="1" t="str">
        <f>"1195-1197 BRYDEN RD 1 FT E S 9 &amp; ALL 10 HANKINS SUB 9-10"</f>
        <v>1195-1197 BRYDEN RD 1 FT E S 9 &amp; ALL 10 HANKINS SUB 9-10</v>
      </c>
      <c r="D826" s="1">
        <v>5653.88</v>
      </c>
    </row>
    <row r="827" spans="1:4" x14ac:dyDescent="0.3">
      <c r="A827" s="1" t="str">
        <f>"57027810800"</f>
        <v>57027810800</v>
      </c>
      <c r="B827" s="1" t="str">
        <f>"ALZAMARA BAHALDIN"</f>
        <v>ALZAMARA BAHALDIN</v>
      </c>
      <c r="C827" s="1" t="str">
        <f>"NORTON RD ENTRY 1474 1.790 ACRES"</f>
        <v>NORTON RD ENTRY 1474 1.790 ACRES</v>
      </c>
      <c r="D827" s="1">
        <v>629.83000000000004</v>
      </c>
    </row>
    <row r="828" spans="1:4" x14ac:dyDescent="0.3">
      <c r="A828" s="1" t="str">
        <f>"12000027200"</f>
        <v>12000027200</v>
      </c>
      <c r="B828" s="1" t="str">
        <f>"ALZAMARA MUAYAD"</f>
        <v>ALZAMARA MUAYAD</v>
      </c>
      <c r="C828" s="1" t="str">
        <f>"6590 DAVIS RD .8723 ACRE ENTRY 6640"</f>
        <v>6590 DAVIS RD .8723 ACRE ENTRY 6640</v>
      </c>
      <c r="D828" s="1">
        <v>3495.73</v>
      </c>
    </row>
    <row r="829" spans="1:4" x14ac:dyDescent="0.3">
      <c r="A829" s="1" t="str">
        <f>"59019688300"</f>
        <v>59019688300</v>
      </c>
      <c r="B829" s="1" t="str">
        <f>"ALZUWAID JARRAH"</f>
        <v>ALZUWAID JARRAH</v>
      </c>
      <c r="C829" s="1" t="str">
        <f>"SHILOH DR SHILOH STA CONDO IV UNIT 5316 BLDG 13"</f>
        <v>SHILOH DR SHILOH STA CONDO IV UNIT 5316 BLDG 13</v>
      </c>
      <c r="D829" s="1">
        <v>1622.15</v>
      </c>
    </row>
    <row r="830" spans="1:4" x14ac:dyDescent="0.3">
      <c r="A830" s="1" t="str">
        <f>"01003882000"</f>
        <v>01003882000</v>
      </c>
      <c r="B830" s="1" t="str">
        <f>"AM DEVELOPMENTS LLC"</f>
        <v>AM DEVELOPMENTS LLC</v>
      </c>
      <c r="C830" s="1" t="str">
        <f>"50 HAWKES AVE SINCLAIR LOT 129"</f>
        <v>50 HAWKES AVE SINCLAIR LOT 129</v>
      </c>
      <c r="D830" s="1">
        <v>3213.33</v>
      </c>
    </row>
    <row r="831" spans="1:4" x14ac:dyDescent="0.3">
      <c r="A831" s="1" t="str">
        <f>"14000490400"</f>
        <v>14000490400</v>
      </c>
      <c r="B831" s="1" t="str">
        <f>"AMADOR SANDRA"</f>
        <v>AMADOR SANDRA</v>
      </c>
      <c r="C831" s="1" t="str">
        <f>"822-824 DERRER RD PTS LOTS 26 27 BLK 7 ROSARY 2"</f>
        <v>822-824 DERRER RD PTS LOTS 26 27 BLK 7 ROSARY 2</v>
      </c>
      <c r="D831" s="1">
        <v>4232.6000000000004</v>
      </c>
    </row>
    <row r="832" spans="1:4" x14ac:dyDescent="0.3">
      <c r="A832" s="1" t="str">
        <f>"01007558200"</f>
        <v>01007558200</v>
      </c>
      <c r="B832" s="1" t="str">
        <f>"AMAGBAKHEN SAMUEL, AMAGBAKHEN PRETTY J"</f>
        <v>AMAGBAKHEN SAMUEL, AMAGBAKHEN PRETTY J</v>
      </c>
      <c r="C832" s="1" t="str">
        <f>"GERBERT RD HOMESTEAD HTS LOT 245"</f>
        <v>GERBERT RD HOMESTEAD HTS LOT 245</v>
      </c>
      <c r="D832" s="1">
        <v>1100</v>
      </c>
    </row>
    <row r="833" spans="1:4" x14ac:dyDescent="0.3">
      <c r="A833" s="1" t="str">
        <f>"57014982700"</f>
        <v>57014982700</v>
      </c>
      <c r="B833" s="1" t="str">
        <f>"AMAGBAKHEN SAMUEL, AMAGBAKHEN PRETTY J"</f>
        <v>AMAGBAKHEN SAMUEL, AMAGBAKHEN PRETTY J</v>
      </c>
      <c r="C833" s="1" t="str">
        <f>"HELMSDALE DR WESTSHIRE ESTATES LOT 26"</f>
        <v>HELMSDALE DR WESTSHIRE ESTATES LOT 26</v>
      </c>
      <c r="D833" s="1">
        <v>2200</v>
      </c>
    </row>
    <row r="834" spans="1:4" x14ac:dyDescent="0.3">
      <c r="A834" s="1" t="str">
        <f>"01003375900"</f>
        <v>01003375900</v>
      </c>
      <c r="B834" s="1" t="str">
        <f>"AMAGBAKHEN SAMUEL, AMAGBAKHEN PRETTY JAHTEJIRI"</f>
        <v>AMAGBAKHEN SAMUEL, AMAGBAKHEN PRETTY JAHTEJIRI</v>
      </c>
      <c r="C834" s="1" t="str">
        <f>"1193 E 16TH AVE LOUIS HTS LOT 179"</f>
        <v>1193 E 16TH AVE LOUIS HTS LOT 179</v>
      </c>
      <c r="D834" s="1">
        <v>1100</v>
      </c>
    </row>
    <row r="835" spans="1:4" x14ac:dyDescent="0.3">
      <c r="A835" s="1" t="str">
        <f>"04001606200"</f>
        <v>04001606200</v>
      </c>
      <c r="B835" s="1" t="str">
        <f>"AMAGBAKHEN SAMUEL, AMAGBAKHEN PRETTY JAHTEJIRI"</f>
        <v>AMAGBAKHEN SAMUEL, AMAGBAKHEN PRETTY JAHTEJIRI</v>
      </c>
      <c r="C835" s="1" t="str">
        <f>"AUTUMN GROVE SECTION 3 LOT 83"</f>
        <v>AUTUMN GROVE SECTION 3 LOT 83</v>
      </c>
      <c r="D835" s="1">
        <v>3850</v>
      </c>
    </row>
    <row r="836" spans="1:4" x14ac:dyDescent="0.3">
      <c r="A836" s="1" t="str">
        <f>"01005081500"</f>
        <v>01005081500</v>
      </c>
      <c r="B836" s="1" t="str">
        <f>"AMANA PROPERTIES LTD"</f>
        <v>AMANA PROPERTIES LTD</v>
      </c>
      <c r="C836" s="1" t="str">
        <f>"1603 GREENWAY AVE WOODLAND PARK SUB 74"</f>
        <v>1603 GREENWAY AVE WOODLAND PARK SUB 74</v>
      </c>
      <c r="D836" s="1">
        <v>2583.87</v>
      </c>
    </row>
    <row r="837" spans="1:4" x14ac:dyDescent="0.3">
      <c r="A837" s="1" t="str">
        <f>"01001705300"</f>
        <v>01001705300</v>
      </c>
      <c r="B837" s="1" t="str">
        <f>"AMANA PROPERTIES LTD"</f>
        <v>AMANA PROPERTIES LTD</v>
      </c>
      <c r="C837" s="1" t="str">
        <f>"237-9MIAMIAVE6FTSS 62&amp;ALL63KNAPPDEWITT&amp; HOFFMAN LOT 32-63"</f>
        <v>237-9MIAMIAVE6FTSS 62&amp;ALL63KNAPPDEWITT&amp; HOFFMAN LOT 32-63</v>
      </c>
      <c r="D837" s="1">
        <v>563.08000000000004</v>
      </c>
    </row>
    <row r="838" spans="1:4" x14ac:dyDescent="0.3">
      <c r="A838" s="1" t="str">
        <f>"01017119400"</f>
        <v>01017119400</v>
      </c>
      <c r="B838" s="1" t="str">
        <f>"AMANKWA STELLA"</f>
        <v>AMANKWA STELLA</v>
      </c>
      <c r="C838" s="1" t="str">
        <f>"CHATEAU MORSE CONDO LOT 3199 "</f>
        <v xml:space="preserve">CHATEAU MORSE CONDO LOT 3199 </v>
      </c>
      <c r="D838" s="1">
        <v>688.72</v>
      </c>
    </row>
    <row r="839" spans="1:4" x14ac:dyDescent="0.3">
      <c r="A839" s="1" t="str">
        <f>"53018663900"</f>
        <v>53018663900</v>
      </c>
      <c r="B839" s="1" t="str">
        <f>"AMANOVA ANNA"</f>
        <v>AMANOVA ANNA</v>
      </c>
      <c r="C839" s="1" t="str">
        <f>"ARROWSMITH DR INDEPEND VIL E SEC 5 LOT 329-A"</f>
        <v>ARROWSMITH DR INDEPEND VIL E SEC 5 LOT 329-A</v>
      </c>
      <c r="D839" s="1">
        <v>2732.85</v>
      </c>
    </row>
    <row r="840" spans="1:4" x14ac:dyDescent="0.3">
      <c r="A840" s="1" t="str">
        <f>"01001587000"</f>
        <v>01001587000</v>
      </c>
      <c r="B840" s="1" t="str">
        <f>"AMAYA ELISUA A HERRERA, OTERO ARDON MANUEL DE JESUS"</f>
        <v>AMAYA ELISUA A HERRERA, OTERO ARDON MANUEL DE JESUS</v>
      </c>
      <c r="C840" s="1" t="str">
        <f>"292 EUREKA AVE ALL OF 255 &amp;N1/2 OF 254 BELLAIRE EX"</f>
        <v>292 EUREKA AVE ALL OF 255 &amp;N1/2 OF 254 BELLAIRE EX</v>
      </c>
      <c r="D840" s="1">
        <v>2234.39</v>
      </c>
    </row>
    <row r="841" spans="1:4" x14ac:dyDescent="0.3">
      <c r="A841" s="1" t="str">
        <f>"01005683100"</f>
        <v>01005683100</v>
      </c>
      <c r="B841" s="1" t="str">
        <f>"AMAYA PEREZ CINDY VANESSA, LUCAS RIVAS YELSIN CATALINO"</f>
        <v>AMAYA PEREZ CINDY VANESSA, LUCAS RIVAS YELSIN CATALINO</v>
      </c>
      <c r="C841" s="1" t="str">
        <f>"141 GUILFORD AVE GUILFORD PARK LOT 121"</f>
        <v>141 GUILFORD AVE GUILFORD PARK LOT 121</v>
      </c>
      <c r="D841" s="1">
        <v>1937.55</v>
      </c>
    </row>
    <row r="842" spans="1:4" x14ac:dyDescent="0.3">
      <c r="A842" s="1" t="str">
        <f>"08000216700"</f>
        <v>08000216700</v>
      </c>
      <c r="B842" s="1" t="str">
        <f>"AMBROSE EDWARD J TR"</f>
        <v>AMBROSE EDWARD J TR</v>
      </c>
      <c r="C842" s="1" t="str">
        <f>"ACRES .233 BUCK 22  "</f>
        <v xml:space="preserve">ACRES .233 BUCK 22  </v>
      </c>
      <c r="D842" s="1">
        <v>268.11</v>
      </c>
    </row>
    <row r="843" spans="1:4" x14ac:dyDescent="0.3">
      <c r="A843" s="1" t="str">
        <f>"01006349300"</f>
        <v>01006349300</v>
      </c>
      <c r="B843" s="1" t="str">
        <f>"AMBROSE EDWARD J TR"</f>
        <v>AMBROSE EDWARD J TR</v>
      </c>
      <c r="C843" s="1" t="str">
        <f>"2774 AUDUBON RD WEBER PARK PL #3 LOT 88A"</f>
        <v>2774 AUDUBON RD WEBER PARK PL #3 LOT 88A</v>
      </c>
      <c r="D843" s="1">
        <v>103.8</v>
      </c>
    </row>
    <row r="844" spans="1:4" x14ac:dyDescent="0.3">
      <c r="A844" s="1" t="str">
        <f>"19000317700"</f>
        <v>19000317700</v>
      </c>
      <c r="B844" s="1" t="str">
        <f>"AMBROSE EDWARD J TR"</f>
        <v>AMBROSE EDWARD J TR</v>
      </c>
      <c r="C844" s="1" t="str">
        <f>"DEUNUE AVE .344 ARS 75X200FT EE R17T1 1-4T3L 9 SUB10"</f>
        <v>DEUNUE AVE .344 ARS 75X200FT EE R17T1 1-4T3L 9 SUB10</v>
      </c>
      <c r="D844" s="1">
        <v>135.69999999999999</v>
      </c>
    </row>
    <row r="845" spans="1:4" x14ac:dyDescent="0.3">
      <c r="A845" s="1" t="str">
        <f>"08000210900"</f>
        <v>08000210900</v>
      </c>
      <c r="B845" s="1" t="str">
        <f>"AMBROSE EDWARD J TTEE"</f>
        <v>AMBROSE EDWARD J TTEE</v>
      </c>
      <c r="C845" s="1" t="str">
        <f>"ELECTRIC AVE SOUTHVIEW 4 "</f>
        <v xml:space="preserve">ELECTRIC AVE SOUTHVIEW 4 </v>
      </c>
      <c r="D845" s="1">
        <v>259.64</v>
      </c>
    </row>
    <row r="846" spans="1:4" x14ac:dyDescent="0.3">
      <c r="A846" s="1" t="str">
        <f>"01002332000"</f>
        <v>01002332000</v>
      </c>
      <c r="B846" s="1" t="str">
        <f>"AMBROSE JEREMY"</f>
        <v>AMBROSE JEREMY</v>
      </c>
      <c r="C846" s="1" t="str">
        <f>"818-20S CHAMPION AVE ALL234&amp;13FT NS235 OLD ORCHARD LOT235-4"</f>
        <v>818-20S CHAMPION AVE ALL234&amp;13FT NS235 OLD ORCHARD LOT235-4</v>
      </c>
      <c r="D846" s="1">
        <v>2946.25</v>
      </c>
    </row>
    <row r="847" spans="1:4" x14ac:dyDescent="0.3">
      <c r="A847" s="1" t="str">
        <f>"01005999500"</f>
        <v>01005999500</v>
      </c>
      <c r="B847" s="1" t="str">
        <f>"AMBRROSE EDWARD J, AMBRROSE KAREN L"</f>
        <v>AMBRROSE EDWARD J, AMBRROSE KAREN L</v>
      </c>
      <c r="C847" s="1" t="str">
        <f>"1309 GENNESSEE AVE LINDEN LOT 830"</f>
        <v>1309 GENNESSEE AVE LINDEN LOT 830</v>
      </c>
      <c r="D847" s="1">
        <v>98.65</v>
      </c>
    </row>
    <row r="848" spans="1:4" x14ac:dyDescent="0.3">
      <c r="A848" s="1" t="str">
        <f>"01014289200"</f>
        <v>01014289200</v>
      </c>
      <c r="B848" s="1" t="str">
        <f>"AMBURGEY RHONDA L"</f>
        <v>AMBURGEY RHONDA L</v>
      </c>
      <c r="C848" s="1" t="str">
        <f>"CHRISTLERDW SOUTHERNPINESSEC5 LOT 425"</f>
        <v>CHRISTLERDW SOUTHERNPINESSEC5 LOT 425</v>
      </c>
      <c r="D848" s="1">
        <v>762.69</v>
      </c>
    </row>
    <row r="849" spans="1:4" x14ac:dyDescent="0.3">
      <c r="A849" s="1" t="str">
        <f>"01016724200"</f>
        <v>01016724200</v>
      </c>
      <c r="B849" s="1" t="str">
        <f>"AMERICAN IRA LLC"</f>
        <v>AMERICAN IRA LLC</v>
      </c>
      <c r="C849" s="1" t="str">
        <f>"VENDOME DR AMVET HOMESTD SUB 1 LOT 13 BLK F"</f>
        <v>VENDOME DR AMVET HOMESTD SUB 1 LOT 13 BLK F</v>
      </c>
      <c r="D849" s="1">
        <v>89.91</v>
      </c>
    </row>
    <row r="850" spans="1:4" x14ac:dyDescent="0.3">
      <c r="A850" s="1" t="str">
        <f>"12099925800"</f>
        <v>12099925800</v>
      </c>
      <c r="B850" s="1" t="str">
        <f>"AMERICAN TRANSMISSION SYSTEMS INC"</f>
        <v>AMERICAN TRANSMISSION SYSTEMS INC</v>
      </c>
      <c r="C850" s="1" t="str">
        <f>"UTILITY - PERSONAL ELECTRIC "</f>
        <v xml:space="preserve">UTILITY - PERSONAL ELECTRIC </v>
      </c>
      <c r="D850" s="1">
        <v>2506.2600000000002</v>
      </c>
    </row>
    <row r="851" spans="1:4" x14ac:dyDescent="0.3">
      <c r="A851" s="1" t="str">
        <f>"27399925800"</f>
        <v>27399925800</v>
      </c>
      <c r="B851" s="1" t="str">
        <f>"AMERICAN TRANSMISSION SYSTEMS INC"</f>
        <v>AMERICAN TRANSMISSION SYSTEMS INC</v>
      </c>
      <c r="C851" s="1" t="str">
        <f>"UTILITY - PERSONAL ELECTRIC "</f>
        <v xml:space="preserve">UTILITY - PERSONAL ELECTRIC </v>
      </c>
      <c r="D851" s="1">
        <v>3797.77</v>
      </c>
    </row>
    <row r="852" spans="1:4" x14ac:dyDescent="0.3">
      <c r="A852" s="1" t="str">
        <f>"23299925800"</f>
        <v>23299925800</v>
      </c>
      <c r="B852" s="1" t="str">
        <f>"AMERICAN TRANSMISSION SYSTEMS INC"</f>
        <v>AMERICAN TRANSMISSION SYSTEMS INC</v>
      </c>
      <c r="C852" s="1" t="str">
        <f>"UTILITY - PERSONAL ELECTRIC "</f>
        <v xml:space="preserve">UTILITY - PERSONAL ELECTRIC </v>
      </c>
      <c r="D852" s="1">
        <v>958.66</v>
      </c>
    </row>
    <row r="853" spans="1:4" x14ac:dyDescent="0.3">
      <c r="A853" s="1" t="str">
        <f>"27099925800"</f>
        <v>27099925800</v>
      </c>
      <c r="B853" s="1" t="str">
        <f>"AMERICAN TRANSMISSION SYSTEMS INC"</f>
        <v>AMERICAN TRANSMISSION SYSTEMS INC</v>
      </c>
      <c r="C853" s="1" t="str">
        <f>"UTILITY - PERSONAL ELECTRIC "</f>
        <v xml:space="preserve">UTILITY - PERSONAL ELECTRIC </v>
      </c>
      <c r="D853" s="1">
        <v>524.03</v>
      </c>
    </row>
    <row r="854" spans="1:4" x14ac:dyDescent="0.3">
      <c r="A854" s="1" t="str">
        <f>"16099925800"</f>
        <v>16099925800</v>
      </c>
      <c r="B854" s="1" t="str">
        <f>"AMERICAN TRANSMISSION SYSTEMS INC"</f>
        <v>AMERICAN TRANSMISSION SYSTEMS INC</v>
      </c>
      <c r="C854" s="1" t="str">
        <f>"UTILITY - PERSONAL ELECTRIC "</f>
        <v xml:space="preserve">UTILITY - PERSONAL ELECTRIC </v>
      </c>
      <c r="D854" s="1">
        <v>137.04</v>
      </c>
    </row>
    <row r="855" spans="1:4" x14ac:dyDescent="0.3">
      <c r="A855" s="1" t="str">
        <f>"23099925800"</f>
        <v>23099925800</v>
      </c>
      <c r="B855" s="1" t="str">
        <f>"AMERICAN TRANSMISSION SYSTEMS INC"</f>
        <v>AMERICAN TRANSMISSION SYSTEMS INC</v>
      </c>
      <c r="C855" s="1" t="str">
        <f>"UTILITY - PERSONAL ELECTRIC "</f>
        <v xml:space="preserve">UTILITY - PERSONAL ELECTRIC </v>
      </c>
      <c r="D855" s="1">
        <v>1753.75</v>
      </c>
    </row>
    <row r="856" spans="1:4" x14ac:dyDescent="0.3">
      <c r="A856" s="1" t="str">
        <f>"01015505200"</f>
        <v>01015505200</v>
      </c>
      <c r="B856" s="1" t="str">
        <f>"AMERICAS SPORT AND NUTRITION LLC"</f>
        <v>AMERICAS SPORT AND NUTRITION LLC</v>
      </c>
      <c r="C856" s="1" t="str">
        <f>"NORTHCREST AVE KNOLLS WEST SEC 6 LOT 340"</f>
        <v>NORTHCREST AVE KNOLLS WEST SEC 6 LOT 340</v>
      </c>
      <c r="D856" s="1">
        <v>3387.92</v>
      </c>
    </row>
    <row r="857" spans="1:4" x14ac:dyDescent="0.3">
      <c r="A857" s="1" t="str">
        <f>"01019666600"</f>
        <v>01019666600</v>
      </c>
      <c r="B857" s="1" t="str">
        <f>"AMERICAS SPORT AND NUTRITION LLC"</f>
        <v>AMERICAS SPORT AND NUTRITION LLC</v>
      </c>
      <c r="C857" s="1" t="str">
        <f>"1460-203 SLADE AVE NORTHAMPTON VILLAGE CONDO PH II BLD 8 UNIT 187"</f>
        <v>1460-203 SLADE AVE NORTHAMPTON VILLAGE CONDO PH II BLD 8 UNIT 187</v>
      </c>
      <c r="D857" s="1">
        <v>1284.5</v>
      </c>
    </row>
    <row r="858" spans="1:4" x14ac:dyDescent="0.3">
      <c r="A858" s="1" t="str">
        <f>"56022031900"</f>
        <v>56022031900</v>
      </c>
      <c r="B858" s="1" t="str">
        <f>"AMERICAS SPORTS &amp; NUTRITION LLC"</f>
        <v>AMERICAS SPORTS &amp; NUTRITION LLC</v>
      </c>
      <c r="C858" s="1" t="str">
        <f>"HARGUS COURT WESTERN LAKES SEC 2 LOT 87"</f>
        <v>HARGUS COURT WESTERN LAKES SEC 2 LOT 87</v>
      </c>
      <c r="D858" s="1">
        <v>3313.45</v>
      </c>
    </row>
    <row r="859" spans="1:4" x14ac:dyDescent="0.3">
      <c r="A859" s="1" t="str">
        <f>"05001027500"</f>
        <v>05001027500</v>
      </c>
      <c r="B859" s="1" t="str">
        <f>"AMES DAVID R, AMES STACIE L"</f>
        <v>AMES DAVID R, AMES STACIE L</v>
      </c>
      <c r="C859" s="1" t="str">
        <f>"DEBIDARE COURT ESTATES AT HOFFMAN FARMS SECTION 2 PHASE 2 LOT 138"</f>
        <v>DEBIDARE COURT ESTATES AT HOFFMAN FARMS SECTION 2 PHASE 2 LOT 138</v>
      </c>
      <c r="D859" s="1">
        <v>571.49</v>
      </c>
    </row>
    <row r="860" spans="1:4" x14ac:dyDescent="0.3">
      <c r="A860" s="1" t="str">
        <f>"07000607300"</f>
        <v>07000607300</v>
      </c>
      <c r="B860" s="1" t="str">
        <f>"AMILYA LLC"</f>
        <v>AMILYA LLC</v>
      </c>
      <c r="C860" s="1" t="str">
        <f>"3321 REDDING ROAD SCIOTANGY HTS AMD LT 161-162&amp;PT VAC AL"</f>
        <v>3321 REDDING ROAD SCIOTANGY HTS AMD LT 161-162&amp;PT VAC AL</v>
      </c>
      <c r="D860" s="1">
        <v>3672.74</v>
      </c>
    </row>
    <row r="861" spans="1:4" x14ac:dyDescent="0.3">
      <c r="A861" s="1" t="str">
        <f>"27300195200"</f>
        <v>27300195200</v>
      </c>
      <c r="B861" s="1" t="str">
        <f>"AMILYA LLC"</f>
        <v>AMILYA LLC</v>
      </c>
      <c r="C861" s="1" t="str">
        <f>"6698 WILLOW GROVE LN CONDO HOMES PH 1B BLDG 5 UNIT 6698"</f>
        <v>6698 WILLOW GROVE LN CONDO HOMES PH 1B BLDG 5 UNIT 6698</v>
      </c>
      <c r="D861" s="1">
        <v>3163.95</v>
      </c>
    </row>
    <row r="862" spans="1:4" x14ac:dyDescent="0.3">
      <c r="A862" s="1" t="str">
        <f>"01012496400"</f>
        <v>01012496400</v>
      </c>
      <c r="B862" s="1" t="str">
        <f>"AMLIN RICKY J, AMLIN KELLIE J"</f>
        <v>AMLIN RICKY J, AMLIN KELLIE J</v>
      </c>
      <c r="C862" s="1" t="str">
        <f>"HOLLY HILL DR HOLLY HILL LOT 91"</f>
        <v>HOLLY HILL DR HOLLY HILL LOT 91</v>
      </c>
      <c r="D862" s="1">
        <v>466.92</v>
      </c>
    </row>
    <row r="863" spans="1:4" x14ac:dyDescent="0.3">
      <c r="A863" s="1" t="str">
        <f>"57014570400"</f>
        <v>57014570400</v>
      </c>
      <c r="B863" s="1" t="str">
        <f>"AMLIN RICKY J, AMLIN KELLIE J"</f>
        <v>AMLIN RICKY J, AMLIN KELLIE J</v>
      </c>
      <c r="C863" s="1" t="str">
        <f>"HILL GROVE AVE RIVER BEND SEC 1 LOT 20"</f>
        <v>HILL GROVE AVE RIVER BEND SEC 1 LOT 20</v>
      </c>
      <c r="D863" s="1">
        <v>236.52</v>
      </c>
    </row>
    <row r="864" spans="1:4" x14ac:dyDescent="0.3">
      <c r="A864" s="1" t="str">
        <f>"01025491900"</f>
        <v>01025491900</v>
      </c>
      <c r="B864" s="1" t="str">
        <f>"AMMIRATI MARIO"</f>
        <v>AMMIRATI MARIO</v>
      </c>
      <c r="C864" s="1" t="str">
        <f>"1 MIRANOVA PL CONDO # 705 "</f>
        <v xml:space="preserve">1 MIRANOVA PL CONDO # 705 </v>
      </c>
      <c r="D864" s="1">
        <v>4690.3100000000004</v>
      </c>
    </row>
    <row r="865" spans="1:4" x14ac:dyDescent="0.3">
      <c r="A865" s="1" t="str">
        <f>"61019992000"</f>
        <v>61019992000</v>
      </c>
      <c r="B865" s="1" t="str">
        <f>"AMNAH LLC"</f>
        <v>AMNAH LLC</v>
      </c>
      <c r="C865" s="1" t="str">
        <f>"WORTHINGTON WOODS WEST CONDO 2 1 AMD UNIT 36"</f>
        <v>WORTHINGTON WOODS WEST CONDO 2 1 AMD UNIT 36</v>
      </c>
      <c r="D865" s="1">
        <v>1993.01</v>
      </c>
    </row>
    <row r="866" spans="1:4" x14ac:dyDescent="0.3">
      <c r="A866" s="1" t="str">
        <f>"01013102200"</f>
        <v>01013102200</v>
      </c>
      <c r="B866" s="1" t="str">
        <f>"AMODIO ALLEN"</f>
        <v>AMODIO ALLEN</v>
      </c>
      <c r="C866" s="1" t="str">
        <f>"859 HILOCK RD HIGHLAND LOT 24"</f>
        <v>859 HILOCK RD HIGHLAND LOT 24</v>
      </c>
      <c r="D866" s="1">
        <v>2815.8</v>
      </c>
    </row>
    <row r="867" spans="1:4" x14ac:dyDescent="0.3">
      <c r="A867" s="1" t="str">
        <f>"01001716400"</f>
        <v>01001716400</v>
      </c>
      <c r="B867" s="1" t="str">
        <f>"AMOR TARA T, AMOR NATHAN A"</f>
        <v>AMOR TARA T, AMOR NATHAN A</v>
      </c>
      <c r="C867" s="1" t="str">
        <f>"795-7 DESHLER AVE MILLERS DESHLER AVE LOT 85"</f>
        <v>795-7 DESHLER AVE MILLERS DESHLER AVE LOT 85</v>
      </c>
      <c r="D867" s="1">
        <v>211.22</v>
      </c>
    </row>
    <row r="868" spans="1:4" x14ac:dyDescent="0.3">
      <c r="A868" s="1" t="str">
        <f>"01019836200"</f>
        <v>01019836200</v>
      </c>
      <c r="B868" s="1" t="str">
        <f>"AMPADU-BADU SELINA"</f>
        <v>AMPADU-BADU SELINA</v>
      </c>
      <c r="C868" s="1" t="str">
        <f>"HAMPTON CT CONDO HOMES 3 AMD UNIT 6017-TW"</f>
        <v>HAMPTON CT CONDO HOMES 3 AMD UNIT 6017-TW</v>
      </c>
      <c r="D868" s="1">
        <v>42.24</v>
      </c>
    </row>
    <row r="869" spans="1:4" x14ac:dyDescent="0.3">
      <c r="A869" s="1" t="str">
        <f>"01003496400"</f>
        <v>01003496400</v>
      </c>
      <c r="B869" s="1" t="str">
        <f>"AMPLIFY SULLIVANT LLC"</f>
        <v>AMPLIFY SULLIVANT LLC</v>
      </c>
      <c r="C869" s="1" t="str">
        <f>"1327 9 SULLIVANT AVE MONETTS CENTRAL AVE LOT 97"</f>
        <v>1327 9 SULLIVANT AVE MONETTS CENTRAL AVE LOT 97</v>
      </c>
      <c r="D869" s="1">
        <v>3262.35</v>
      </c>
    </row>
    <row r="870" spans="1:4" x14ac:dyDescent="0.3">
      <c r="A870" s="1" t="str">
        <f>"01005815900"</f>
        <v>01005815900</v>
      </c>
      <c r="B870" s="1" t="str">
        <f>"AMR KAREEM"</f>
        <v>AMR KAREEM</v>
      </c>
      <c r="C870" s="1" t="str">
        <f>"426-428 N GARFIELD AVE 96.85FT W E JONES SUB 107"</f>
        <v>426-428 N GARFIELD AVE 96.85FT W E JONES SUB 107</v>
      </c>
      <c r="D870" s="1">
        <v>992.35</v>
      </c>
    </row>
    <row r="871" spans="1:4" x14ac:dyDescent="0.3">
      <c r="A871" s="1" t="str">
        <f>"01008514200"</f>
        <v>01008514200</v>
      </c>
      <c r="B871" s="1" t="str">
        <f>"AMSBARY ANTHONY M TTEE, AMSBARY RANDY TTEE"</f>
        <v>AMSBARY ANTHONY M TTEE, AMSBARY RANDY TTEE</v>
      </c>
      <c r="C871" s="1" t="str">
        <f>"EAST ROYAL FOREST BO ZOOLAND LOT 467"</f>
        <v>EAST ROYAL FOREST BO ZOOLAND LOT 467</v>
      </c>
      <c r="D871" s="1">
        <v>237.99</v>
      </c>
    </row>
    <row r="872" spans="1:4" x14ac:dyDescent="0.3">
      <c r="A872" s="1" t="str">
        <f>"01012404300"</f>
        <v>01012404300</v>
      </c>
      <c r="B872" s="1" t="str">
        <f>"AMSBAUGH MICHAEL E"</f>
        <v>AMSBAUGH MICHAEL E</v>
      </c>
      <c r="C872" s="1" t="str">
        <f>"ZIEGLER AVE HILLGATE 3 LOT 273"</f>
        <v>ZIEGLER AVE HILLGATE 3 LOT 273</v>
      </c>
      <c r="D872" s="1">
        <v>130.93</v>
      </c>
    </row>
    <row r="873" spans="1:4" x14ac:dyDescent="0.3">
      <c r="A873" s="1" t="str">
        <f>"27400127800"</f>
        <v>27400127800</v>
      </c>
      <c r="B873" s="1" t="str">
        <f>"AMSTUTZ JAMES D, AMSTUTZ SUZANNE M"</f>
        <v>AMSTUTZ JAMES D, AMSTUTZ SUZANNE M</v>
      </c>
      <c r="C873" s="1" t="str">
        <f>"5885 TRAFALGAR LANE BALLANTRAE SECTION 8 PART 1 LOT 571"</f>
        <v>5885 TRAFALGAR LANE BALLANTRAE SECTION 8 PART 1 LOT 571</v>
      </c>
      <c r="D873" s="1">
        <v>937.95</v>
      </c>
    </row>
    <row r="874" spans="1:4" x14ac:dyDescent="0.3">
      <c r="A874" s="1" t="str">
        <f>"24000229600"</f>
        <v>24000229600</v>
      </c>
      <c r="B874" s="1" t="str">
        <f>"ANAYA FRANCISCO"</f>
        <v>ANAYA FRANCISCO</v>
      </c>
      <c r="C874" s="1" t="str">
        <f>"77 EVERGREEN TERRACE      ROME MANOR                LOTS 503-506 &amp; PT VAC ST "</f>
        <v xml:space="preserve">77 EVERGREEN TERRACE      ROME MANOR                LOTS 503-506 &amp; PT VAC ST </v>
      </c>
      <c r="D874" s="1">
        <v>201.75</v>
      </c>
    </row>
    <row r="875" spans="1:4" x14ac:dyDescent="0.3">
      <c r="A875" s="1" t="str">
        <f>"01029349200"</f>
        <v>01029349200</v>
      </c>
      <c r="B875" s="1" t="str">
        <f>"ANDERS GARRY JOSEPH, GREEN CAROLYN"</f>
        <v>ANDERS GARRY JOSEPH, GREEN CAROLYN</v>
      </c>
      <c r="C875" s="1" t="str">
        <f>"HAYDEN'S RESERVE          CONDOMINIUM COMMUNITY     12TH AMD UNIT 5650       "</f>
        <v xml:space="preserve">HAYDEN'S RESERVE          CONDOMINIUM COMMUNITY     12TH AMD UNIT 5650       </v>
      </c>
      <c r="D875" s="1">
        <v>4551.54</v>
      </c>
    </row>
    <row r="876" spans="1:4" x14ac:dyDescent="0.3">
      <c r="A876" s="1" t="str">
        <f>"01019515200"</f>
        <v>01019515200</v>
      </c>
      <c r="B876" s="1" t="str">
        <f>"ANDERSON CRISTY E"</f>
        <v>ANDERSON CRISTY E</v>
      </c>
      <c r="C876" s="1" t="str">
        <f>"E BROAD ST PARK TOWERS CONDO UNIT 202"</f>
        <v>E BROAD ST PARK TOWERS CONDO UNIT 202</v>
      </c>
      <c r="D876" s="1">
        <v>4241.6499999999996</v>
      </c>
    </row>
    <row r="877" spans="1:4" x14ac:dyDescent="0.3">
      <c r="A877" s="1" t="str">
        <f>"23000299300"</f>
        <v>23000299300</v>
      </c>
      <c r="B877" s="1" t="str">
        <f>"ANDERSON DIANA L TR, ANDERSON NICHOLAS T TR"</f>
        <v>ANDERSON DIANA L TR, ANDERSON NICHOLAS T TR</v>
      </c>
      <c r="C877" s="1" t="str">
        <f>"THORNHILL COURT THORNHILL FARMS LOT 18  2.497 ACRES"</f>
        <v>THORNHILL COURT THORNHILL FARMS LOT 18  2.497 ACRES</v>
      </c>
      <c r="D877" s="1">
        <v>458.83</v>
      </c>
    </row>
    <row r="878" spans="1:4" x14ac:dyDescent="0.3">
      <c r="A878" s="1" t="str">
        <f>"01011291600"</f>
        <v>01011291600</v>
      </c>
      <c r="B878" s="1" t="str">
        <f>"ANDERSON DONALD J"</f>
        <v>ANDERSON DONALD J</v>
      </c>
      <c r="C878" s="1" t="str">
        <f>"THORNDALE AVE SOUTHLAND LOT 32"</f>
        <v>THORNDALE AVE SOUTHLAND LOT 32</v>
      </c>
      <c r="D878" s="1">
        <v>31.21</v>
      </c>
    </row>
    <row r="879" spans="1:4" x14ac:dyDescent="0.3">
      <c r="A879" s="1" t="str">
        <f>"01002349500"</f>
        <v>01002349500</v>
      </c>
      <c r="B879" s="1" t="str">
        <f>"ANDERSON FELEICA J"</f>
        <v>ANDERSON FELEICA J</v>
      </c>
      <c r="C879" s="1" t="str">
        <f>"1304 OAK ST J FULLERTON SUB 2"</f>
        <v>1304 OAK ST J FULLERTON SUB 2</v>
      </c>
      <c r="D879" s="1">
        <v>2723.59</v>
      </c>
    </row>
    <row r="880" spans="1:4" x14ac:dyDescent="0.3">
      <c r="A880" s="1" t="str">
        <f>"60016960700"</f>
        <v>60016960700</v>
      </c>
      <c r="B880" s="1" t="str">
        <f>"ANDERSON GEORGE W II"</f>
        <v>ANDERSON GEORGE W II</v>
      </c>
      <c r="C880" s="1" t="str">
        <f>"CHIPPEWILL COND III BLDG 55 UNIT 4 "</f>
        <v xml:space="preserve">CHIPPEWILL COND III BLDG 55 UNIT 4 </v>
      </c>
      <c r="D880" s="1">
        <v>2093.44</v>
      </c>
    </row>
    <row r="881" spans="1:4" x14ac:dyDescent="0.3">
      <c r="A881" s="1" t="str">
        <f>"09000633900"</f>
        <v>09000633900</v>
      </c>
      <c r="B881" s="1" t="str">
        <f>"ANDERSON JACK DAVID JR"</f>
        <v>ANDERSON JACK DAVID JR</v>
      </c>
      <c r="C881" s="1" t="str">
        <f>"4049 VIRGINIA CIRCLE OLPP LOT 89 "</f>
        <v xml:space="preserve">4049 VIRGINIA CIRCLE OLPP LOT 89 </v>
      </c>
      <c r="D881" s="1">
        <v>116.16</v>
      </c>
    </row>
    <row r="882" spans="1:4" x14ac:dyDescent="0.3">
      <c r="A882" s="1" t="str">
        <f>"02000151300"</f>
        <v>02000151300</v>
      </c>
      <c r="B882" s="1" t="str">
        <f>"ANDERSON JAMES BRIAN, ANDERSON SHELBY LEIGH"</f>
        <v>ANDERSON JAMES BRIAN, ANDERSON SHELBY LEIGH</v>
      </c>
      <c r="C882" s="1" t="str">
        <f>"2545 SHERWOOD RD BEXLEY PARK LOT 357 &amp; E 1/2 356"</f>
        <v>2545 SHERWOOD RD BEXLEY PARK LOT 357 &amp; E 1/2 356</v>
      </c>
      <c r="D882" s="1">
        <v>775.31</v>
      </c>
    </row>
    <row r="883" spans="1:4" x14ac:dyDescent="0.3">
      <c r="A883" s="1" t="str">
        <f>"01013740100"</f>
        <v>01013740100</v>
      </c>
      <c r="B883" s="1" t="str">
        <f>"ANDERSON JANA F"</f>
        <v>ANDERSON JANA F</v>
      </c>
      <c r="C883" s="1" t="str">
        <f>"LOUIS DR INNIS GARDENS 4 LOT 63"</f>
        <v>LOUIS DR INNIS GARDENS 4 LOT 63</v>
      </c>
      <c r="D883" s="1">
        <v>1335.55</v>
      </c>
    </row>
    <row r="884" spans="1:4" x14ac:dyDescent="0.3">
      <c r="A884" s="1" t="str">
        <f>"01011598100"</f>
        <v>01011598100</v>
      </c>
      <c r="B884" s="1" t="str">
        <f>"ANDERSON JASON, ANDERSON LISA"</f>
        <v>ANDERSON JASON, ANDERSON LISA</v>
      </c>
      <c r="C884" s="1" t="str">
        <f>"2785 S CASSADY AVE 2.0 ACRES R22 T4 S1"</f>
        <v>2785 S CASSADY AVE 2.0 ACRES R22 T4 S1</v>
      </c>
      <c r="D884" s="1">
        <v>5185.51</v>
      </c>
    </row>
    <row r="885" spans="1:4" x14ac:dyDescent="0.3">
      <c r="A885" s="1" t="str">
        <f>"03000177400"</f>
        <v>03000177400</v>
      </c>
      <c r="B885" s="1" t="str">
        <f>"ANDERSON KATHLEEN A"</f>
        <v>ANDERSON KATHLEEN A</v>
      </c>
      <c r="C885" s="1" t="str">
        <f>"1315 MURRELL AVE NORTHWEST BLVD 3 LOT 257"</f>
        <v>1315 MURRELL AVE NORTHWEST BLVD 3 LOT 257</v>
      </c>
      <c r="D885" s="1">
        <v>395.13</v>
      </c>
    </row>
    <row r="886" spans="1:4" x14ac:dyDescent="0.3">
      <c r="A886" s="1" t="str">
        <f>"01026923300"</f>
        <v>01026923300</v>
      </c>
      <c r="B886" s="1" t="str">
        <f>"ANDERSON LEIGH M"</f>
        <v>ANDERSON LEIGH M</v>
      </c>
      <c r="C886" s="1" t="str">
        <f>"NEW ALBANY PARK           CONDOMINIUM 7TH AMD       BLDG 11 UNIT 11-7003     "</f>
        <v xml:space="preserve">NEW ALBANY PARK           CONDOMINIUM 7TH AMD       BLDG 11 UNIT 11-7003     </v>
      </c>
      <c r="D886" s="1">
        <v>3865.87</v>
      </c>
    </row>
    <row r="887" spans="1:4" x14ac:dyDescent="0.3">
      <c r="A887" s="1" t="str">
        <f>"01002121500"</f>
        <v>01002121500</v>
      </c>
      <c r="B887" s="1" t="str">
        <f>"ANDERSON LORRAINE, ANDERSON GROVER JR"</f>
        <v>ANDERSON LORRAINE, ANDERSON GROVER JR</v>
      </c>
      <c r="C887" s="1" t="str">
        <f>"382 WOODLAND AVE EMELCO LOT 1"</f>
        <v>382 WOODLAND AVE EMELCO LOT 1</v>
      </c>
      <c r="D887" s="1">
        <v>2600.96</v>
      </c>
    </row>
    <row r="888" spans="1:4" x14ac:dyDescent="0.3">
      <c r="A888" s="1" t="str">
        <f>"07000101600"</f>
        <v>07000101600</v>
      </c>
      <c r="B888" s="1" t="str">
        <f>"ANDERSON MATTHEW P, ANDERSON ERIN H"</f>
        <v>ANDERSON MATTHEW P, ANDERSON ERIN H</v>
      </c>
      <c r="C888" s="1" t="str">
        <f>"TREMONT RD UPPER ARLINGTON LOT 19 BLK 83"</f>
        <v>TREMONT RD UPPER ARLINGTON LOT 19 BLK 83</v>
      </c>
      <c r="D888" s="1">
        <v>825.12</v>
      </c>
    </row>
    <row r="889" spans="1:4" x14ac:dyDescent="0.3">
      <c r="A889" s="1" t="str">
        <f>"09000157500"</f>
        <v>09000157500</v>
      </c>
      <c r="B889" s="1" t="str">
        <f>"ANDERSON TERRY D"</f>
        <v>ANDERSON TERRY D</v>
      </c>
      <c r="C889" s="1" t="str">
        <f>"HAMILTON RD ACRES .592 R21 T12 S9 1-2S12"</f>
        <v>HAMILTON RD ACRES .592 R21 T12 S9 1-2S12</v>
      </c>
      <c r="D889" s="1">
        <v>3722.88</v>
      </c>
    </row>
    <row r="890" spans="1:4" x14ac:dyDescent="0.3">
      <c r="A890" s="1" t="str">
        <f>"01003162200"</f>
        <v>01003162200</v>
      </c>
      <c r="B890" s="1" t="str">
        <f>"ANDERSON VICKIE L"</f>
        <v>ANDERSON VICKIE L</v>
      </c>
      <c r="C890" s="1" t="str">
        <f>"2807 SIXTH AVE E COLUMBUS LOTS 498-500"</f>
        <v>2807 SIXTH AVE E COLUMBUS LOTS 498-500</v>
      </c>
      <c r="D890" s="1">
        <v>1508.62</v>
      </c>
    </row>
    <row r="891" spans="1:4" x14ac:dyDescent="0.3">
      <c r="A891" s="1" t="str">
        <f>"15200187200"</f>
        <v>15200187200</v>
      </c>
      <c r="B891" s="1" t="str">
        <f>"ANDRE DEBORAH A TR, SMITH GREGORY A TR"</f>
        <v>ANDRE DEBORAH A TR, SMITH GREGORY A TR</v>
      </c>
      <c r="C891" s="1" t="str">
        <f>"BUTLER FARMS DRIVE BUTLER FARMS SECTION 1 LOT 22"</f>
        <v>BUTLER FARMS DRIVE BUTLER FARMS SECTION 1 LOT 22</v>
      </c>
      <c r="D891" s="1">
        <v>5582.01</v>
      </c>
    </row>
    <row r="892" spans="1:4" x14ac:dyDescent="0.3">
      <c r="A892" s="1" t="str">
        <f>"01008209500"</f>
        <v>01008209500</v>
      </c>
      <c r="B892" s="1" t="str">
        <f>"ANDREI PATRICIA"</f>
        <v>ANDREI PATRICIA</v>
      </c>
      <c r="C892" s="1" t="str">
        <f>"LENORE AVE ACRES .52 JONES &amp; MILLER LOT 8"</f>
        <v>LENORE AVE ACRES .52 JONES &amp; MILLER LOT 8</v>
      </c>
      <c r="D892" s="1">
        <v>410.74</v>
      </c>
    </row>
    <row r="893" spans="1:4" x14ac:dyDescent="0.3">
      <c r="A893" s="1" t="str">
        <f>"01002963300"</f>
        <v>01002963300</v>
      </c>
      <c r="B893" s="1" t="str">
        <f>"ANDREWS CLARK A"</f>
        <v>ANDREWS CLARK A</v>
      </c>
      <c r="C893" s="1" t="str">
        <f>"126 CHASE AVE HILLTOP LOT 140"</f>
        <v>126 CHASE AVE HILLTOP LOT 140</v>
      </c>
      <c r="D893" s="1">
        <v>70.14</v>
      </c>
    </row>
    <row r="894" spans="1:4" x14ac:dyDescent="0.3">
      <c r="A894" s="1" t="str">
        <f>"60016904400"</f>
        <v>60016904400</v>
      </c>
      <c r="B894" s="1" t="str">
        <f>"ANDREWS CONSTANCE A, WAKEFIELD ROBERT S"</f>
        <v>ANDREWS CONSTANCE A, WAKEFIELD ROBERT S</v>
      </c>
      <c r="C894" s="1" t="str">
        <f>"CHIPPEWILL CONDM STAGE II BLDG 46 UNIT 4"</f>
        <v>CHIPPEWILL CONDM STAGE II BLDG 46 UNIT 4</v>
      </c>
      <c r="D894" s="1">
        <v>4305.84</v>
      </c>
    </row>
    <row r="895" spans="1:4" x14ac:dyDescent="0.3">
      <c r="A895" s="1" t="str">
        <f>"01004208300"</f>
        <v>01004208300</v>
      </c>
      <c r="B895" s="1" t="str">
        <f>"ANDREWS DANIEL W"</f>
        <v>ANDREWS DANIEL W</v>
      </c>
      <c r="C895" s="1" t="str">
        <f>"713 FRANKLIN AVE ROBBINS SUB 4"</f>
        <v>713 FRANKLIN AVE ROBBINS SUB 4</v>
      </c>
      <c r="D895" s="1">
        <v>151.4</v>
      </c>
    </row>
    <row r="896" spans="1:4" x14ac:dyDescent="0.3">
      <c r="A896" s="1" t="str">
        <f>"01010867400"</f>
        <v>01010867400</v>
      </c>
      <c r="B896" s="1" t="str">
        <f>"ANE FAMILY LLC"</f>
        <v>ANE FAMILY LLC</v>
      </c>
      <c r="C896" s="1" t="str">
        <f>"PARKWOOD AVE &amp; HUDSON ST GREENDALE PLC LOT 28"</f>
        <v>PARKWOOD AVE &amp; HUDSON ST GREENDALE PLC LOT 28</v>
      </c>
      <c r="D896" s="1">
        <v>248.72</v>
      </c>
    </row>
    <row r="897" spans="1:4" x14ac:dyDescent="0.3">
      <c r="A897" s="1" t="str">
        <f>"01001635000"</f>
        <v>01001635000</v>
      </c>
      <c r="B897" s="1" t="str">
        <f>"ANGEL VIRGINIA P"</f>
        <v>ANGEL VIRGINIA P</v>
      </c>
      <c r="C897" s="1" t="str">
        <f>"ELDRIDGE AVE 475 WOODLAND AVE LOT 14"</f>
        <v>ELDRIDGE AVE 475 WOODLAND AVE LOT 14</v>
      </c>
      <c r="D897" s="1">
        <v>1190.27</v>
      </c>
    </row>
    <row r="898" spans="1:4" x14ac:dyDescent="0.3">
      <c r="A898" s="1" t="str">
        <f>"14000096900"</f>
        <v>14000096900</v>
      </c>
      <c r="B898" s="1" t="str">
        <f>"ANGELETTI DANIEL E, ANGELETTI LITA S"</f>
        <v>ANGELETTI DANIEL E, ANGELETTI LITA S</v>
      </c>
      <c r="C898" s="1" t="str">
        <f>"1762 LINNET AVE GIBSON PK PL LOT 188"</f>
        <v>1762 LINNET AVE GIBSON PK PL LOT 188</v>
      </c>
      <c r="D898" s="1">
        <v>846.71</v>
      </c>
    </row>
    <row r="899" spans="1:4" x14ac:dyDescent="0.3">
      <c r="A899" s="1" t="str">
        <f>"15300032200"</f>
        <v>15300032200</v>
      </c>
      <c r="B899" s="1" t="str">
        <f>"ANGELETTI LITA"</f>
        <v>ANGELETTI LITA</v>
      </c>
      <c r="C899" s="1" t="str">
        <f>"MAUREEN BLVD S ELKS ACRES SEC 2 LOT 52"</f>
        <v>MAUREEN BLVD S ELKS ACRES SEC 2 LOT 52</v>
      </c>
      <c r="D899" s="1">
        <v>855.99</v>
      </c>
    </row>
    <row r="900" spans="1:4" x14ac:dyDescent="0.3">
      <c r="A900" s="1" t="str">
        <f>"61019439300"</f>
        <v>61019439300</v>
      </c>
      <c r="B900" s="1" t="str">
        <f>"ANGELUCCI JAMES R, ANGELUCCI MICHELE E"</f>
        <v>ANGELUCCI JAMES R, ANGELUCCI MICHELE E</v>
      </c>
      <c r="C900" s="1" t="str">
        <f>"LONG HORN RD WESTERN HILLS SEC 2 LOT 166"</f>
        <v>LONG HORN RD WESTERN HILLS SEC 2 LOT 166</v>
      </c>
      <c r="D900" s="1">
        <v>3389.83</v>
      </c>
    </row>
    <row r="901" spans="1:4" x14ac:dyDescent="0.3">
      <c r="A901" s="1" t="str">
        <f>"01027439100"</f>
        <v>01027439100</v>
      </c>
      <c r="B901" s="1" t="str">
        <f>"ANGLIN REAL ESTATE HOLDINGS LLC"</f>
        <v>ANGLIN REAL ESTATE HOLDINGS LLC</v>
      </c>
      <c r="C901" s="1" t="str">
        <f>"5515 CHANTRY DR R21 T12 S23 1/2S40 1.097 ACRES"</f>
        <v>5515 CHANTRY DR R21 T12 S23 1/2S40 1.097 ACRES</v>
      </c>
      <c r="D901" s="1">
        <v>2318.38</v>
      </c>
    </row>
    <row r="902" spans="1:4" x14ac:dyDescent="0.3">
      <c r="A902" s="1" t="str">
        <f>"01012173400"</f>
        <v>01012173400</v>
      </c>
      <c r="B902" s="1" t="str">
        <f>"ANGUS LARRY WINSTON JR"</f>
        <v>ANGUS LARRY WINSTON JR</v>
      </c>
      <c r="C902" s="1" t="str">
        <f>"VADIS ST RAINBOW LOT 18"</f>
        <v>VADIS ST RAINBOW LOT 18</v>
      </c>
      <c r="D902" s="1">
        <v>117.26</v>
      </c>
    </row>
    <row r="903" spans="1:4" x14ac:dyDescent="0.3">
      <c r="A903" s="1" t="str">
        <f>"01009309300"</f>
        <v>01009309300</v>
      </c>
      <c r="B903" s="1" t="str">
        <f>"ANIRSUS LLC"</f>
        <v>ANIRSUS LLC</v>
      </c>
      <c r="C903" s="1" t="str">
        <f>"JAMES RD ALL 14&amp;8FT SS 13 MAYFAIR LOT 13-14"</f>
        <v>JAMES RD ALL 14&amp;8FT SS 13 MAYFAIR LOT 13-14</v>
      </c>
      <c r="D903" s="1">
        <v>299.68</v>
      </c>
    </row>
    <row r="904" spans="1:4" x14ac:dyDescent="0.3">
      <c r="A904" s="1" t="str">
        <f>"18000531700"</f>
        <v>18000531700</v>
      </c>
      <c r="B904" s="1" t="str">
        <f>"ANJALI I LLC"</f>
        <v>ANJALI I LLC</v>
      </c>
      <c r="C904" s="1" t="str">
        <f>"SALZGABER RD R21 T11 S29 2.108 ACRES"</f>
        <v>SALZGABER RD R21 T11 S29 2.108 ACRES</v>
      </c>
      <c r="D904" s="1">
        <v>840.55</v>
      </c>
    </row>
    <row r="905" spans="1:4" x14ac:dyDescent="0.3">
      <c r="A905" s="1" t="str">
        <f>"61023182100"</f>
        <v>61023182100</v>
      </c>
      <c r="B905" s="1" t="str">
        <f>"ANLIKER-ROSE AMY"</f>
        <v>ANLIKER-ROSE AMY</v>
      </c>
      <c r="C905" s="1" t="str">
        <f>"COUNTY ROAD W1/2 OF 22-23 &amp; ALL OF 25"</f>
        <v>COUNTY ROAD W1/2 OF 22-23 &amp; ALL OF 25</v>
      </c>
      <c r="D905" s="1">
        <v>5139.33</v>
      </c>
    </row>
    <row r="906" spans="1:4" x14ac:dyDescent="0.3">
      <c r="A906" s="1" t="str">
        <f>"27300952600"</f>
        <v>27300952600</v>
      </c>
      <c r="B906" s="1" t="str">
        <f>"ANSARI SAAD AAMIR KHALID, ANSARI IRFANA SAAD"</f>
        <v>ANSARI SAAD AAMIR KHALID, ANSARI IRFANA SAAD</v>
      </c>
      <c r="C906" s="1" t="str">
        <f>"PIRTHSHIRE STREET SANDY CORNERS SECTION 1 LOT 6"</f>
        <v>PIRTHSHIRE STREET SANDY CORNERS SECTION 1 LOT 6</v>
      </c>
      <c r="D906" s="1">
        <v>5010.72</v>
      </c>
    </row>
    <row r="907" spans="1:4" x14ac:dyDescent="0.3">
      <c r="A907" s="1" t="str">
        <f>"22200149800"</f>
        <v>22200149800</v>
      </c>
      <c r="B907" s="1" t="str">
        <f>"ANSEHL LAWRENCE B, LEEMAN ROCHELLE S"</f>
        <v>ANSEHL LAWRENCE B, LEEMAN ROCHELLE S</v>
      </c>
      <c r="C907" s="1" t="str">
        <f>"NEW ALBANY COUNTRY CLUB SECTION 5 LOT 148"</f>
        <v>NEW ALBANY COUNTRY CLUB SECTION 5 LOT 148</v>
      </c>
      <c r="D907" s="1">
        <v>25623.86</v>
      </c>
    </row>
    <row r="908" spans="1:4" x14ac:dyDescent="0.3">
      <c r="A908" s="1" t="str">
        <f>"08001153600"</f>
        <v>08001153600</v>
      </c>
      <c r="B908" s="1" t="str">
        <f>"ANSTINE JOSEPH D, ANSTINE JILL A"</f>
        <v>ANSTINE JOSEPH D, ANSTINE JILL A</v>
      </c>
      <c r="C908" s="1" t="str">
        <f>"HILLCREST WOODS SECTION 1 IRREGULAR TRACT LOT 9 EX 0.014 &amp; 0.008 ACRE TRACTS OFF SE"</f>
        <v>HILLCREST WOODS SECTION 1 IRREGULAR TRACT LOT 9 EX 0.014 &amp; 0.008 ACRE TRACTS OFF SE</v>
      </c>
      <c r="D908" s="1">
        <v>672.02</v>
      </c>
    </row>
    <row r="909" spans="1:4" x14ac:dyDescent="0.3">
      <c r="A909" s="1" t="str">
        <f>"25534697500"</f>
        <v>25534697500</v>
      </c>
      <c r="B909" s="1" t="str">
        <f>"ANTHONY &amp; KIMBERLY PROPERTIES LLC"</f>
        <v>ANTHONY &amp; KIMBERLY PROPERTIES LLC</v>
      </c>
      <c r="C909" s="1" t="str">
        <f>"RT 23 FLINT RD REAR .386 ACRE R18 T2 1/4T 2"</f>
        <v>RT 23 FLINT RD REAR .386 ACRE R18 T2 1/4T 2</v>
      </c>
      <c r="D909" s="1">
        <v>1899</v>
      </c>
    </row>
    <row r="910" spans="1:4" x14ac:dyDescent="0.3">
      <c r="A910" s="1" t="str">
        <f>"02500248900"</f>
        <v>02500248900</v>
      </c>
      <c r="B910" s="1" t="str">
        <f>"ANTLE DENISE K"</f>
        <v>ANTLE DENISE K</v>
      </c>
      <c r="C910" s="1" t="str">
        <f>"489 LINCOLNSHIRE ROA ROYAL MANOR 2 660"</f>
        <v>489 LINCOLNSHIRE ROA ROYAL MANOR 2 660</v>
      </c>
      <c r="D910" s="1">
        <v>922.33</v>
      </c>
    </row>
    <row r="911" spans="1:4" x14ac:dyDescent="0.3">
      <c r="A911" s="1" t="str">
        <f>"06000460300"</f>
        <v>06000460300</v>
      </c>
      <c r="B911" s="1" t="str">
        <f>"ANTLE MARGARET C"</f>
        <v>ANTLE MARGARET C</v>
      </c>
      <c r="C911" s="1" t="str">
        <f>"BALDWIN RD BLACKLICK HEIGHTS 3 LOT 54"</f>
        <v>BALDWIN RD BLACKLICK HEIGHTS 3 LOT 54</v>
      </c>
      <c r="D911" s="1">
        <v>235.79</v>
      </c>
    </row>
    <row r="912" spans="1:4" x14ac:dyDescent="0.3">
      <c r="A912" s="1" t="str">
        <f>"05300100400"</f>
        <v>05300100400</v>
      </c>
      <c r="B912" s="1" t="str">
        <f>"ANTONY LIZAMMA, EAPPEN ABRAHAM GEEVARGHESE"</f>
        <v>ANTONY LIZAMMA, EAPPEN ABRAHAM GEEVARGHESE</v>
      </c>
      <c r="C912" s="1" t="str">
        <f>"HILL FARM SECTION 3 PHASE 2 LOT 120"</f>
        <v>HILL FARM SECTION 3 PHASE 2 LOT 120</v>
      </c>
      <c r="D912" s="1">
        <v>360.29</v>
      </c>
    </row>
    <row r="913" spans="1:4" x14ac:dyDescent="0.3">
      <c r="A913" s="1" t="str">
        <f>"52027814300"</f>
        <v>52027814300</v>
      </c>
      <c r="B913" s="1" t="str">
        <f>"ANYIAKAK KENNETH O"</f>
        <v>ANYIAKAK KENNETH O</v>
      </c>
      <c r="C913" s="1" t="str">
        <f>"342 HOSKINS WAY           LAKES AT TAYLOR STATION   SECTION 1 LOT 13         "</f>
        <v xml:space="preserve">342 HOSKINS WAY           LAKES AT TAYLOR STATION   SECTION 1 LOT 13         </v>
      </c>
      <c r="D913" s="1">
        <v>4099.3100000000004</v>
      </c>
    </row>
    <row r="914" spans="1:4" x14ac:dyDescent="0.3">
      <c r="A914" s="1" t="str">
        <f>"27301205600"</f>
        <v>27301205600</v>
      </c>
      <c r="B914" s="1" t="str">
        <f>"ANYTHING REALTY LLC"</f>
        <v>ANYTHING REALTY LLC</v>
      </c>
      <c r="C914" s="1" t="str">
        <f>"POST RD AVERY PLACE PT RES A=0.800 ACRE"</f>
        <v>POST RD AVERY PLACE PT RES A=0.800 ACRE</v>
      </c>
      <c r="D914" s="1">
        <v>32202.49</v>
      </c>
    </row>
    <row r="915" spans="1:4" x14ac:dyDescent="0.3">
      <c r="A915" s="1" t="str">
        <f>"01007115600"</f>
        <v>01007115600</v>
      </c>
      <c r="B915" s="1" t="str">
        <f>"ANZO LLC"</f>
        <v>ANZO LLC</v>
      </c>
      <c r="C915" s="1" t="str">
        <f>"CLEVELAND AVE NORTH LAWN LOT 5"</f>
        <v>CLEVELAND AVE NORTH LAWN LOT 5</v>
      </c>
      <c r="D915" s="1">
        <v>3386.6</v>
      </c>
    </row>
    <row r="916" spans="1:4" x14ac:dyDescent="0.3">
      <c r="A916" s="1" t="str">
        <f>"22200107500"</f>
        <v>22200107500</v>
      </c>
      <c r="B916" s="1" t="str">
        <f>"ANZO LLC"</f>
        <v>ANZO LLC</v>
      </c>
      <c r="C916" s="1" t="str">
        <f>"THE NEW ALBANY COUNTRY CLUB SEC 4 LOT 21"</f>
        <v>THE NEW ALBANY COUNTRY CLUB SEC 4 LOT 21</v>
      </c>
      <c r="D916" s="1">
        <v>7881.98</v>
      </c>
    </row>
    <row r="917" spans="1:4" x14ac:dyDescent="0.3">
      <c r="A917" s="1" t="str">
        <f>"05000886000"</f>
        <v>05000886000</v>
      </c>
      <c r="B917" s="1" t="str">
        <f>"ANZUINI ROBERT P"</f>
        <v>ANZUINI ROBERT P</v>
      </c>
      <c r="C917" s="1" t="str">
        <f>"THE VILLAGE AT SCIOTO PARK CONDOMINIUM EAST 1ST AMD UNIT 3973"</f>
        <v>THE VILLAGE AT SCIOTO PARK CONDOMINIUM EAST 1ST AMD UNIT 3973</v>
      </c>
      <c r="D917" s="1">
        <v>2975.96</v>
      </c>
    </row>
    <row r="918" spans="1:4" x14ac:dyDescent="0.3">
      <c r="A918" s="1" t="str">
        <f>"01002867100"</f>
        <v>01002867100</v>
      </c>
      <c r="B918" s="1" t="str">
        <f>"AP 123 LLC"</f>
        <v>AP 123 LLC</v>
      </c>
      <c r="C918" s="1" t="str">
        <f>"861 BASSETT BYRNE&amp;PETERS LOT 7"</f>
        <v>861 BASSETT BYRNE&amp;PETERS LOT 7</v>
      </c>
      <c r="D918" s="1">
        <v>2305.04</v>
      </c>
    </row>
    <row r="919" spans="1:4" x14ac:dyDescent="0.3">
      <c r="A919" s="1" t="str">
        <f>"56015471900"</f>
        <v>56015471900</v>
      </c>
      <c r="B919" s="1" t="str">
        <f>"APEX PROPERTIES CLUB LLC"</f>
        <v>APEX PROPERTIES CLUB LLC</v>
      </c>
      <c r="C919" s="1" t="str">
        <f>"4223 ROBERTS RD .793 AC "</f>
        <v xml:space="preserve">4223 ROBERTS RD .793 AC </v>
      </c>
      <c r="D919" s="1">
        <v>4523.2</v>
      </c>
    </row>
    <row r="920" spans="1:4" x14ac:dyDescent="0.3">
      <c r="A920" s="1" t="str">
        <f>"59016912800"</f>
        <v>59016912800</v>
      </c>
      <c r="B920" s="1" t="str">
        <f>"APOST PROPERTIES LLC"</f>
        <v>APOST PROPERTIES LLC</v>
      </c>
      <c r="C920" s="1" t="str">
        <f>"ROYAL CREST CT GRDNS NO2 CROWN RIDGE INCL A RESUB/COUNTRY LT46"</f>
        <v>ROYAL CREST CT GRDNS NO2 CROWN RIDGE INCL A RESUB/COUNTRY LT46</v>
      </c>
      <c r="D920" s="1">
        <v>9056.6299999999992</v>
      </c>
    </row>
    <row r="921" spans="1:4" x14ac:dyDescent="0.3">
      <c r="A921" s="1" t="str">
        <f>"01015555200"</f>
        <v>01015555200</v>
      </c>
      <c r="B921" s="1" t="str">
        <f>"APOSTOLOVSKI ANKA"</f>
        <v>APOSTOLOVSKI ANKA</v>
      </c>
      <c r="C921" s="1" t="str">
        <f>"COMMODORE ST PARKLEIGH SEC 2 LOT 95"</f>
        <v>COMMODORE ST PARKLEIGH SEC 2 LOT 95</v>
      </c>
      <c r="D921" s="1">
        <v>968.21</v>
      </c>
    </row>
    <row r="922" spans="1:4" x14ac:dyDescent="0.3">
      <c r="A922" s="1" t="str">
        <f>"10000423500"</f>
        <v>10000423500</v>
      </c>
      <c r="B922" s="1" t="str">
        <f>"APPEL JUDITH L TOD"</f>
        <v>APPEL JUDITH L TOD</v>
      </c>
      <c r="C922" s="1" t="str">
        <f>"128 HALLIGAN AVE E WORTHINGTON ESTATES 2 LOT 153"</f>
        <v>128 HALLIGAN AVE E WORTHINGTON ESTATES 2 LOT 153</v>
      </c>
      <c r="D922" s="1">
        <v>406.04</v>
      </c>
    </row>
    <row r="923" spans="1:4" x14ac:dyDescent="0.3">
      <c r="A923" s="1" t="str">
        <f>"09000286400"</f>
        <v>09000286400</v>
      </c>
      <c r="B923" s="1" t="str">
        <f>"APPLE INVESTMENTS LLC"</f>
        <v>APPLE INVESTMENTS LLC</v>
      </c>
      <c r="C923" s="1" t="str">
        <f>"4350 E MOUND ST PINECREST SUBD LOT 49"</f>
        <v>4350 E MOUND ST PINECREST SUBD LOT 49</v>
      </c>
      <c r="D923" s="1">
        <v>1846.41</v>
      </c>
    </row>
    <row r="924" spans="1:4" x14ac:dyDescent="0.3">
      <c r="A924" s="1" t="str">
        <f>"01012324000"</f>
        <v>01012324000</v>
      </c>
      <c r="B924" s="1" t="str">
        <f>"APPLE INVESTMENTS LLC"</f>
        <v>APPLE INVESTMENTS LLC</v>
      </c>
      <c r="C924" s="1" t="str">
        <f>"WESTPHAL AVE PINECREST 4 LOT 546"</f>
        <v>WESTPHAL AVE PINECREST 4 LOT 546</v>
      </c>
      <c r="D924" s="1">
        <v>1636.35</v>
      </c>
    </row>
    <row r="925" spans="1:4" x14ac:dyDescent="0.3">
      <c r="A925" s="1" t="str">
        <f>"01012315000"</f>
        <v>01012315000</v>
      </c>
      <c r="B925" s="1" t="str">
        <f>"APPLE INVESTMENTS LLC"</f>
        <v>APPLE INVESTMENTS LLC</v>
      </c>
      <c r="C925" s="1" t="str">
        <f>"ERICKSON RD PINECREST 4 LOT 435"</f>
        <v>ERICKSON RD PINECREST 4 LOT 435</v>
      </c>
      <c r="D925" s="1">
        <v>1837.34</v>
      </c>
    </row>
    <row r="926" spans="1:4" x14ac:dyDescent="0.3">
      <c r="A926" s="1" t="str">
        <f>"09000559600"</f>
        <v>09000559600</v>
      </c>
      <c r="B926" s="1" t="str">
        <f>"APPLE INVESTMENTS LLC"</f>
        <v>APPLE INVESTMENTS LLC</v>
      </c>
      <c r="C926" s="1" t="str">
        <f>"177 COLLINGWOOD AVE 50X195.5FT SE COR LOWRIE BROS LOT 150"</f>
        <v>177 COLLINGWOOD AVE 50X195.5FT SE COR LOWRIE BROS LOT 150</v>
      </c>
      <c r="D926" s="1">
        <v>2737.05</v>
      </c>
    </row>
    <row r="927" spans="1:4" x14ac:dyDescent="0.3">
      <c r="A927" s="1" t="str">
        <f>"01013544700"</f>
        <v>01013544700</v>
      </c>
      <c r="B927" s="1" t="str">
        <f>"APPLEGATE GARY J"</f>
        <v>APPLEGATE GARY J</v>
      </c>
      <c r="C927" s="1" t="str">
        <f>"KENWOOD LN GREENFIELD EST LOT 67"</f>
        <v>KENWOOD LN GREENFIELD EST LOT 67</v>
      </c>
      <c r="D927" s="1">
        <v>44</v>
      </c>
    </row>
    <row r="928" spans="1:4" x14ac:dyDescent="0.3">
      <c r="A928" s="1" t="str">
        <f>"06000012600"</f>
        <v>06000012600</v>
      </c>
      <c r="B928" s="1" t="str">
        <f>"APPLOCATIONS LLC"</f>
        <v>APPLOCATIONS LLC</v>
      </c>
      <c r="C928" s="1" t="str">
        <f>"BROAD ST LOT 42-43 "</f>
        <v xml:space="preserve">BROAD ST LOT 42-43 </v>
      </c>
      <c r="D928" s="1">
        <v>1950.23</v>
      </c>
    </row>
    <row r="929" spans="1:4" x14ac:dyDescent="0.3">
      <c r="A929" s="1" t="str">
        <f>"06000012700"</f>
        <v>06000012700</v>
      </c>
      <c r="B929" s="1" t="str">
        <f>"APPLOCATIONS LLC"</f>
        <v>APPLOCATIONS LLC</v>
      </c>
      <c r="C929" s="1" t="str">
        <f>"WATER ST LOT 44 "</f>
        <v xml:space="preserve">WATER ST LOT 44 </v>
      </c>
      <c r="D929" s="1">
        <v>68.569999999999993</v>
      </c>
    </row>
    <row r="930" spans="1:4" x14ac:dyDescent="0.3">
      <c r="A930" s="1" t="str">
        <f>"25300278400"</f>
        <v>25300278400</v>
      </c>
      <c r="B930" s="1" t="str">
        <f>"APPRECIATION REAL ESTATE LLC"</f>
        <v>APPRECIATION REAL ESTATE LLC</v>
      </c>
      <c r="C930" s="1" t="str">
        <f>"WESTCHESTER COURT &amp; PT ALLEY VAC VAN DE BOE HAGER CO 11 124"</f>
        <v>WESTCHESTER COURT &amp; PT ALLEY VAC VAN DE BOE HAGER CO 11 124</v>
      </c>
      <c r="D930" s="1">
        <v>1200.3699999999999</v>
      </c>
    </row>
    <row r="931" spans="1:4" x14ac:dyDescent="0.3">
      <c r="A931" s="1" t="str">
        <f>"01015865500"</f>
        <v>01015865500</v>
      </c>
      <c r="B931" s="1" t="str">
        <f>"AQUILAR RAUL, RODRIGUEZ AMPARO"</f>
        <v>AQUILAR RAUL, RODRIGUEZ AMPARO</v>
      </c>
      <c r="C931" s="1" t="str">
        <f>"PALOMAR AV FOREST HILLS EAST LOT 26"</f>
        <v>PALOMAR AV FOREST HILLS EAST LOT 26</v>
      </c>
      <c r="D931" s="1">
        <v>1755.74</v>
      </c>
    </row>
    <row r="932" spans="1:4" x14ac:dyDescent="0.3">
      <c r="A932" s="1" t="str">
        <f>"04000461500"</f>
        <v>04000461500</v>
      </c>
      <c r="B932" s="1" t="str">
        <f>"AR URBAN VENTURES LLC"</f>
        <v>AR URBAN VENTURES LLC</v>
      </c>
      <c r="C932" s="1" t="str">
        <f>"2545 CLARK DRIVE GROVE CITY HEIGHTS 2 LOT 75"</f>
        <v>2545 CLARK DRIVE GROVE CITY HEIGHTS 2 LOT 75</v>
      </c>
      <c r="D932" s="1">
        <v>2515.87</v>
      </c>
    </row>
    <row r="933" spans="1:4" x14ac:dyDescent="0.3">
      <c r="A933" s="1" t="str">
        <f>"01004106500"</f>
        <v>01004106500</v>
      </c>
      <c r="B933" s="1" t="str">
        <f>"ARACEN VALERIAN"</f>
        <v>ARACEN VALERIAN</v>
      </c>
      <c r="C933" s="1" t="str">
        <f>"ARLINGTON ADDITION L OT 244-5 "</f>
        <v xml:space="preserve">ARLINGTON ADDITION L OT 244-5 </v>
      </c>
      <c r="D933" s="1">
        <v>678.68</v>
      </c>
    </row>
    <row r="934" spans="1:4" x14ac:dyDescent="0.3">
      <c r="A934" s="1" t="str">
        <f>"09000813000"</f>
        <v>09000813000</v>
      </c>
      <c r="B934" s="1" t="str">
        <f>"ARBADI OMAR"</f>
        <v>ARBADI OMAR</v>
      </c>
      <c r="C934" s="1" t="str">
        <f>"459 E SHELL CT FOXFIRE VILLAGE COND BLDG I UNIT 459"</f>
        <v>459 E SHELL CT FOXFIRE VILLAGE COND BLDG I UNIT 459</v>
      </c>
      <c r="D934" s="1">
        <v>66.86</v>
      </c>
    </row>
    <row r="935" spans="1:4" x14ac:dyDescent="0.3">
      <c r="A935" s="1" t="str">
        <f>"03000347600"</f>
        <v>03000347600</v>
      </c>
      <c r="B935" s="1" t="str">
        <f>"ARBOGAST RYAN E, COOK ANGELA C"</f>
        <v>ARBOGAST RYAN E, COOK ANGELA C</v>
      </c>
      <c r="C935" s="1" t="str">
        <f>"THE EDINGTON CONDOMINIUM UNITS 301 &amp; 303 "</f>
        <v xml:space="preserve">THE EDINGTON CONDOMINIUM UNITS 301 &amp; 303 </v>
      </c>
      <c r="D935" s="1">
        <v>35426.39</v>
      </c>
    </row>
    <row r="936" spans="1:4" x14ac:dyDescent="0.3">
      <c r="A936" s="1" t="str">
        <f>"07001290100"</f>
        <v>07001290100</v>
      </c>
      <c r="B936" s="1" t="str">
        <f>"ARBOOK LLC"</f>
        <v>ARBOOK LLC</v>
      </c>
      <c r="C936" s="1" t="str">
        <f>"RIVERSIDE DR R19 T1 1/4T4 .459 ACRES LOT 7"</f>
        <v>RIVERSIDE DR R19 T1 1/4T4 .459 ACRES LOT 7</v>
      </c>
      <c r="D936" s="1">
        <v>11161.35</v>
      </c>
    </row>
    <row r="937" spans="1:4" x14ac:dyDescent="0.3">
      <c r="A937" s="1" t="str">
        <f>"07001290000"</f>
        <v>07001290000</v>
      </c>
      <c r="B937" s="1" t="str">
        <f>"ARBOOK LLC"</f>
        <v>ARBOOK LLC</v>
      </c>
      <c r="C937" s="1" t="str">
        <f>"RIVERSIDE DR R19 T1 1/4T4 .184 ACRES LOT 7"</f>
        <v>RIVERSIDE DR R19 T1 1/4T4 .184 ACRES LOT 7</v>
      </c>
      <c r="D937" s="1">
        <v>1375.85</v>
      </c>
    </row>
    <row r="938" spans="1:4" x14ac:dyDescent="0.3">
      <c r="A938" s="1" t="str">
        <f>"01003923000"</f>
        <v>01003923000</v>
      </c>
      <c r="B938" s="1" t="str">
        <f>"ARCHER ROSS D"</f>
        <v>ARCHER ROSS D</v>
      </c>
      <c r="C938" s="1" t="str">
        <f>"49 EUREKA AVE BELLAIRE LOT 19"</f>
        <v>49 EUREKA AVE BELLAIRE LOT 19</v>
      </c>
      <c r="D938" s="1">
        <v>2292.2800000000002</v>
      </c>
    </row>
    <row r="939" spans="1:4" x14ac:dyDescent="0.3">
      <c r="A939" s="1" t="str">
        <f>"01023823700"</f>
        <v>01023823700</v>
      </c>
      <c r="B939" s="1" t="str">
        <f>"ARCHER-DANIELS-MIDLAND COMPANY"</f>
        <v>ARCHER-DANIELS-MIDLAND COMPANY</v>
      </c>
      <c r="C939" s="1" t="str">
        <f>"GROVES ROAD R21 T12 S21 1/2S35 23.999 ACRES"</f>
        <v>GROVES ROAD R21 T12 S21 1/2S35 23.999 ACRES</v>
      </c>
      <c r="D939" s="1">
        <v>3919.99</v>
      </c>
    </row>
    <row r="940" spans="1:4" x14ac:dyDescent="0.3">
      <c r="A940" s="1" t="str">
        <f>"53024350500"</f>
        <v>53024350500</v>
      </c>
      <c r="B940" s="1" t="str">
        <f>"ARCHLAND PROPERTY I LLC"</f>
        <v>ARCHLAND PROPERTY I LLC</v>
      </c>
      <c r="C940" s="1" t="str">
        <f>"HAMILTON ROAD R21 T11 S4-9 1.214 ACRES"</f>
        <v>HAMILTON ROAD R21 T11 S4-9 1.214 ACRES</v>
      </c>
      <c r="D940" s="1">
        <v>15509.68</v>
      </c>
    </row>
    <row r="941" spans="1:4" x14ac:dyDescent="0.3">
      <c r="A941" s="1" t="str">
        <f>"01007474200"</f>
        <v>01007474200</v>
      </c>
      <c r="B941" s="1" t="str">
        <f>"ARCOS ROGELIO NONATO"</f>
        <v>ARCOS ROGELIO NONATO</v>
      </c>
      <c r="C941" s="1" t="str">
        <f>"2247 HIAWATHA PARK PLACE HIAWATHA PARK PLACE LOT 168"</f>
        <v>2247 HIAWATHA PARK PLACE HIAWATHA PARK PLACE LOT 168</v>
      </c>
      <c r="D941" s="1">
        <v>1599.08</v>
      </c>
    </row>
    <row r="942" spans="1:4" x14ac:dyDescent="0.3">
      <c r="A942" s="1" t="str">
        <f>"01016126300"</f>
        <v>01016126300</v>
      </c>
      <c r="B942" s="1" t="str">
        <f>"ARDOLINO ALISHA A"</f>
        <v>ARDOLINO ALISHA A</v>
      </c>
      <c r="C942" s="1" t="str">
        <f>"WOODBROOK LANE WOODBROOK VILLAGE CONDO UNIT 297"</f>
        <v>WOODBROOK LANE WOODBROOK VILLAGE CONDO UNIT 297</v>
      </c>
      <c r="D942" s="1">
        <v>61.92</v>
      </c>
    </row>
    <row r="943" spans="1:4" x14ac:dyDescent="0.3">
      <c r="A943" s="1" t="str">
        <f>"06000453400"</f>
        <v>06000453400</v>
      </c>
      <c r="B943" s="1" t="str">
        <f>"AREDO GETACHEW GARED, ADUGNA AMARECH"</f>
        <v>AREDO GETACHEW GARED, ADUGNA AMARECH</v>
      </c>
      <c r="C943" s="1" t="str">
        <f>"BALDWIN RD BLACKLICK HEIGHTS 2 LOT 39"</f>
        <v>BALDWIN RD BLACKLICK HEIGHTS 2 LOT 39</v>
      </c>
      <c r="D943" s="1">
        <v>242.44</v>
      </c>
    </row>
    <row r="944" spans="1:4" x14ac:dyDescent="0.3">
      <c r="A944" s="1" t="str">
        <f>"01007995600"</f>
        <v>01007995600</v>
      </c>
      <c r="B944" s="1" t="str">
        <f>"AREHART JANELL MARIE"</f>
        <v>AREHART JANELL MARIE</v>
      </c>
      <c r="C944" s="1" t="str">
        <f>"1523 MELROSE AVE KENMORE PARK BLK9 LOT 4"</f>
        <v>1523 MELROSE AVE KENMORE PARK BLK9 LOT 4</v>
      </c>
      <c r="D944" s="1">
        <v>1678.74</v>
      </c>
    </row>
    <row r="945" spans="1:4" x14ac:dyDescent="0.3">
      <c r="A945" s="1" t="str">
        <f>"01001232000"</f>
        <v>01001232000</v>
      </c>
      <c r="B945" s="1" t="str">
        <f>"ARELLANO MIRANDA PABLO"</f>
        <v>ARELLANO MIRANDA PABLO</v>
      </c>
      <c r="C945" s="1" t="str">
        <f>"325 NASHOBA AVE BUCKINGHAM HTS LOT 119"</f>
        <v>325 NASHOBA AVE BUCKINGHAM HTS LOT 119</v>
      </c>
      <c r="D945" s="1">
        <v>897.06</v>
      </c>
    </row>
    <row r="946" spans="1:4" x14ac:dyDescent="0.3">
      <c r="A946" s="1" t="str">
        <f>"05000526000"</f>
        <v>05000526000</v>
      </c>
      <c r="B946" s="1" t="str">
        <f>"ARGO MICHELLE L, ARGO TYLER W"</f>
        <v>ARGO MICHELLE L, ARGO TYLER W</v>
      </c>
      <c r="C946" s="1" t="str">
        <f>"BRIXSTON DRIVE BRIXSTON SUBDIVISION LOT 35"</f>
        <v>BRIXSTON DRIVE BRIXSTON SUBDIVISION LOT 35</v>
      </c>
      <c r="D946" s="1">
        <v>4748.25</v>
      </c>
    </row>
    <row r="947" spans="1:4" x14ac:dyDescent="0.3">
      <c r="A947" s="1" t="str">
        <f>"07001128600"</f>
        <v>07001128600</v>
      </c>
      <c r="B947" s="1" t="str">
        <f>"ARGO ROBERT W, ARGO GLENDA J"</f>
        <v>ARGO ROBERT W, ARGO GLENDA J</v>
      </c>
      <c r="C947" s="1" t="str">
        <f>"LYTHAM COURT YORK PLACE LOT 7"</f>
        <v>LYTHAM COURT YORK PLACE LOT 7</v>
      </c>
      <c r="D947" s="1">
        <v>5758.49</v>
      </c>
    </row>
    <row r="948" spans="1:4" x14ac:dyDescent="0.3">
      <c r="A948" s="1" t="str">
        <f>"18400067500"</f>
        <v>18400067500</v>
      </c>
      <c r="B948" s="1" t="str">
        <f>"ARGOBRIGHT VINCENT J, ARGOBRIGHT MARLA S"</f>
        <v>ARGOBRIGHT VINCENT J, ARGOBRIGHT MARLA S</v>
      </c>
      <c r="C948" s="1" t="str">
        <f>"FAIRFIELD ST N WINCHESTER 11 "</f>
        <v xml:space="preserve">FAIRFIELD ST N WINCHESTER 11 </v>
      </c>
      <c r="D948" s="1">
        <v>953.26</v>
      </c>
    </row>
    <row r="949" spans="1:4" x14ac:dyDescent="0.3">
      <c r="A949" s="1" t="str">
        <f>"24000267200"</f>
        <v>24000267200</v>
      </c>
      <c r="B949" s="1" t="str">
        <f>"ARGYRIOU PETE"</f>
        <v>ARGYRIOU PETE</v>
      </c>
      <c r="C949" s="1" t="str">
        <f>"OXLEY RD ROME HTS LOT 120"</f>
        <v>OXLEY RD ROME HTS LOT 120</v>
      </c>
      <c r="D949" s="1">
        <v>258.94</v>
      </c>
    </row>
    <row r="950" spans="1:4" x14ac:dyDescent="0.3">
      <c r="A950" s="1" t="str">
        <f>"14000535200"</f>
        <v>14000535200</v>
      </c>
      <c r="B950" s="1" t="str">
        <f>"ARICH STAR LLC"</f>
        <v>ARICH STAR LLC</v>
      </c>
      <c r="C950" s="1" t="str">
        <f>"115 COOLIDGE AVE PTS LOTS 39 40 BROADLAWN"</f>
        <v>115 COOLIDGE AVE PTS LOTS 39 40 BROADLAWN</v>
      </c>
      <c r="D950" s="1">
        <v>1430.54</v>
      </c>
    </row>
    <row r="951" spans="1:4" x14ac:dyDescent="0.3">
      <c r="A951" s="1" t="str">
        <f>"05000958300"</f>
        <v>05000958300</v>
      </c>
      <c r="B951" s="1" t="str">
        <f>"ARIKAT MOHAMED TTEE"</f>
        <v>ARIKAT MOHAMED TTEE</v>
      </c>
      <c r="C951" s="1" t="str">
        <f>"HEARTLAND COURT HOFFMAN FARMS SECTION 8 LOT 484"</f>
        <v>HEARTLAND COURT HOFFMAN FARMS SECTION 8 LOT 484</v>
      </c>
      <c r="D951" s="1">
        <v>10822.25</v>
      </c>
    </row>
    <row r="952" spans="1:4" x14ac:dyDescent="0.3">
      <c r="A952" s="1" t="str">
        <f>"01007040900"</f>
        <v>01007040900</v>
      </c>
      <c r="B952" s="1" t="str">
        <f>"ARISCO LLC"</f>
        <v>ARISCO LLC</v>
      </c>
      <c r="C952" s="1" t="str">
        <f>"MYRTLE AVE MULBUR PARK LOT 144"</f>
        <v>MYRTLE AVE MULBUR PARK LOT 144</v>
      </c>
      <c r="D952" s="1">
        <v>2736.07</v>
      </c>
    </row>
    <row r="953" spans="1:4" x14ac:dyDescent="0.3">
      <c r="A953" s="1" t="str">
        <f>"01008076400"</f>
        <v>01008076400</v>
      </c>
      <c r="B953" s="1" t="str">
        <f>"ARISCO LLC"</f>
        <v>ARISCO LLC</v>
      </c>
      <c r="C953" s="1" t="str">
        <f>"RHOADS AVE RHOADS PLACE LOT 12"</f>
        <v>RHOADS AVE RHOADS PLACE LOT 12</v>
      </c>
      <c r="D953" s="1">
        <v>3099.7</v>
      </c>
    </row>
    <row r="954" spans="1:4" x14ac:dyDescent="0.3">
      <c r="A954" s="1" t="str">
        <f>"01005953300"</f>
        <v>01005953300</v>
      </c>
      <c r="B954" s="1" t="str">
        <f>"ARISCO LLC"</f>
        <v>ARISCO LLC</v>
      </c>
      <c r="C954" s="1" t="str">
        <f>"1491 MYRTLE AVE WALDON LOT 186"</f>
        <v>1491 MYRTLE AVE WALDON LOT 186</v>
      </c>
      <c r="D954" s="1">
        <v>2773.34</v>
      </c>
    </row>
    <row r="955" spans="1:4" x14ac:dyDescent="0.3">
      <c r="A955" s="1" t="str">
        <f>"01012628200"</f>
        <v>01012628200</v>
      </c>
      <c r="B955" s="1" t="str">
        <f>"ARK &amp; COMPANY DEVELOPMENT LLC"</f>
        <v>ARK &amp; COMPANY DEVELOPMENT LLC</v>
      </c>
      <c r="C955" s="1" t="str">
        <f>"KEY WEST AVE AMERICAN LOT 170"</f>
        <v>KEY WEST AVE AMERICAN LOT 170</v>
      </c>
      <c r="D955" s="1">
        <v>126.36</v>
      </c>
    </row>
    <row r="956" spans="1:4" x14ac:dyDescent="0.3">
      <c r="A956" s="1" t="str">
        <f>"02501100400"</f>
        <v>02501100400</v>
      </c>
      <c r="B956" s="1" t="str">
        <f>"ARLEDGE LEASING LLC"</f>
        <v>ARLEDGE LEASING LLC</v>
      </c>
      <c r="C956" s="1" t="str">
        <f>"MARJORAM DRIVE SHERWOOD MEADOWS SECTION 2 LOT 44"</f>
        <v>MARJORAM DRIVE SHERWOOD MEADOWS SECTION 2 LOT 44</v>
      </c>
      <c r="D956" s="1">
        <v>4361.8900000000003</v>
      </c>
    </row>
    <row r="957" spans="1:4" x14ac:dyDescent="0.3">
      <c r="A957" s="1" t="str">
        <f>"18400163800"</f>
        <v>18400163800</v>
      </c>
      <c r="B957" s="1" t="str">
        <f>"ARLINGTON DAVID H, ARLINGTON DAWN A"</f>
        <v>ARLINGTON DAVID H, ARLINGTON DAWN A</v>
      </c>
      <c r="C957" s="1" t="str">
        <f>"WINCHESTER VILLAGE SECTION 2 LOT 195"</f>
        <v>WINCHESTER VILLAGE SECTION 2 LOT 195</v>
      </c>
      <c r="D957" s="1">
        <v>2992.11</v>
      </c>
    </row>
    <row r="958" spans="1:4" x14ac:dyDescent="0.3">
      <c r="A958" s="1" t="str">
        <f>"01006498300"</f>
        <v>01006498300</v>
      </c>
      <c r="B958" s="1" t="str">
        <f>"ARMBRESTER BOBBY G"</f>
        <v>ARMBRESTER BOBBY G</v>
      </c>
      <c r="C958" s="1" t="str">
        <f>"DAWSON AVE NORTH BEXLEY VIEW 3 LOT 20"</f>
        <v>DAWSON AVE NORTH BEXLEY VIEW 3 LOT 20</v>
      </c>
      <c r="D958" s="1">
        <v>2353.34</v>
      </c>
    </row>
    <row r="959" spans="1:4" x14ac:dyDescent="0.3">
      <c r="A959" s="1" t="str">
        <f>"01007525900"</f>
        <v>01007525900</v>
      </c>
      <c r="B959" s="1" t="str">
        <f>"ARMBRUST DAVID W"</f>
        <v>ARMBRUST DAVID W</v>
      </c>
      <c r="C959" s="1" t="str">
        <f>"ATWOOD TERR GRASMERE GARDENS LOT 496"</f>
        <v>ATWOOD TERR GRASMERE GARDENS LOT 496</v>
      </c>
      <c r="D959" s="1">
        <v>1700.3</v>
      </c>
    </row>
    <row r="960" spans="1:4" x14ac:dyDescent="0.3">
      <c r="A960" s="1" t="str">
        <f>"01032663400"</f>
        <v>01032663400</v>
      </c>
      <c r="B960" s="1" t="str">
        <f>"ARMENI DAVID J"</f>
        <v>ARMENI DAVID J</v>
      </c>
      <c r="C960" s="1" t="str">
        <f>"867-871 DELAWARE AVENUE CONDOMINIUM UNIT 867 "</f>
        <v xml:space="preserve">867-871 DELAWARE AVENUE CONDOMINIUM UNIT 867 </v>
      </c>
      <c r="D960" s="1">
        <v>4002.86</v>
      </c>
    </row>
    <row r="961" spans="1:4" x14ac:dyDescent="0.3">
      <c r="A961" s="1" t="str">
        <f>"01008228400"</f>
        <v>01008228400</v>
      </c>
      <c r="B961" s="1" t="str">
        <f>"ARMENTROUT RORY D"</f>
        <v>ARMENTROUT RORY D</v>
      </c>
      <c r="C961" s="1" t="str">
        <f>"REIS ST ENOCHS &amp; MCKEES N BROADWAY LOT 53"</f>
        <v>REIS ST ENOCHS &amp; MCKEES N BROADWAY LOT 53</v>
      </c>
      <c r="D961" s="1">
        <v>130.08000000000001</v>
      </c>
    </row>
    <row r="962" spans="1:4" x14ac:dyDescent="0.3">
      <c r="A962" s="1" t="str">
        <f>"01008334300"</f>
        <v>01008334300</v>
      </c>
      <c r="B962" s="1" t="str">
        <f>"ARMENTROUT RORY D"</f>
        <v>ARMENTROUT RORY D</v>
      </c>
      <c r="C962" s="1" t="str">
        <f>"E S HIAWATHA ST SUNNYSIDE LOT 198"</f>
        <v>E S HIAWATHA ST SUNNYSIDE LOT 198</v>
      </c>
      <c r="D962" s="1">
        <v>114.24</v>
      </c>
    </row>
    <row r="963" spans="1:4" x14ac:dyDescent="0.3">
      <c r="A963" s="1" t="str">
        <f>"01011393700"</f>
        <v>01011393700</v>
      </c>
      <c r="B963" s="1" t="str">
        <f>"ARMES SHERRY"</f>
        <v>ARMES SHERRY</v>
      </c>
      <c r="C963" s="1" t="str">
        <f>"COLLINGWOOD RD HOME ACRES PT LOT 101"</f>
        <v>COLLINGWOOD RD HOME ACRES PT LOT 101</v>
      </c>
      <c r="D963" s="1">
        <v>2464.61</v>
      </c>
    </row>
    <row r="964" spans="1:4" x14ac:dyDescent="0.3">
      <c r="A964" s="1" t="str">
        <f>"01004048900"</f>
        <v>01004048900</v>
      </c>
      <c r="B964" s="1" t="str">
        <f>"ARMS DEBORAH J"</f>
        <v>ARMS DEBORAH J</v>
      </c>
      <c r="C964" s="1" t="str">
        <f>"SULLIVANT AV OSBORN PLC PT LOT 34"</f>
        <v>SULLIVANT AV OSBORN PLC PT LOT 34</v>
      </c>
      <c r="D964" s="1">
        <v>1010.29</v>
      </c>
    </row>
    <row r="965" spans="1:4" x14ac:dyDescent="0.3">
      <c r="A965" s="1" t="str">
        <f>"01004052100"</f>
        <v>01004052100</v>
      </c>
      <c r="B965" s="1" t="str">
        <f>"ARMS DEBORAH J"</f>
        <v>ARMS DEBORAH J</v>
      </c>
      <c r="C965" s="1" t="str">
        <f>"715 SULLIVANT AVE OSBORN PL LOT 34-35"</f>
        <v>715 SULLIVANT AVE OSBORN PL LOT 34-35</v>
      </c>
      <c r="D965" s="1">
        <v>1037.68</v>
      </c>
    </row>
    <row r="966" spans="1:4" x14ac:dyDescent="0.3">
      <c r="A966" s="1" t="str">
        <f>"01019401200"</f>
        <v>01019401200</v>
      </c>
      <c r="B966" s="1" t="str">
        <f>"ARMSTRONG AMY L, MCGINNIS EDWARD C"</f>
        <v>ARMSTRONG AMY L, MCGINNIS EDWARD C</v>
      </c>
      <c r="C966" s="1" t="str">
        <f>"1406C LAKE SHORE DR HIDDEN LAKE CONDO 1 UNIT 93 BLDG 6"</f>
        <v>1406C LAKE SHORE DR HIDDEN LAKE CONDO 1 UNIT 93 BLDG 6</v>
      </c>
      <c r="D966" s="1">
        <v>2403.23</v>
      </c>
    </row>
    <row r="967" spans="1:4" x14ac:dyDescent="0.3">
      <c r="A967" s="1" t="str">
        <f>"02500621000"</f>
        <v>02500621000</v>
      </c>
      <c r="B967" s="1" t="str">
        <f>"ARMSTRONG GLORIA L"</f>
        <v>ARMSTRONG GLORIA L</v>
      </c>
      <c r="C967" s="1" t="str">
        <f>"679 PIPERS GLEN MISTLETOE STREET LOT 30"</f>
        <v>679 PIPERS GLEN MISTLETOE STREET LOT 30</v>
      </c>
      <c r="D967" s="1">
        <v>1640.15</v>
      </c>
    </row>
    <row r="968" spans="1:4" x14ac:dyDescent="0.3">
      <c r="A968" s="1" t="str">
        <f>"06000793100"</f>
        <v>06000793100</v>
      </c>
      <c r="B968" s="1" t="str">
        <f>"ARMSTRONG PATRICIA C TTEE"</f>
        <v>ARMSTRONG PATRICIA C TTEE</v>
      </c>
      <c r="C968" s="1" t="str">
        <f>"0000 REDMAN LN REDMAN CONDO 4TH AMD BLDG 11 UNIT 7737"</f>
        <v>0000 REDMAN LN REDMAN CONDO 4TH AMD BLDG 11 UNIT 7737</v>
      </c>
      <c r="D968" s="1">
        <v>4091.54</v>
      </c>
    </row>
    <row r="969" spans="1:4" x14ac:dyDescent="0.3">
      <c r="A969" s="1" t="str">
        <f>"07000934700"</f>
        <v>07000934700</v>
      </c>
      <c r="B969" s="1" t="str">
        <f>"ARMSTRONG STEVEN R TTEE, ARMSTRONG MARY J TR"</f>
        <v>ARMSTRONG STEVEN R TTEE, ARMSTRONG MARY J TR</v>
      </c>
      <c r="C969" s="1" t="str">
        <f>"1860-866 RIDGECLIFF MILLWOOD 12 BLK 294"</f>
        <v>1860-866 RIDGECLIFF MILLWOOD 12 BLK 294</v>
      </c>
      <c r="D969" s="1">
        <v>19.809999999999999</v>
      </c>
    </row>
    <row r="970" spans="1:4" x14ac:dyDescent="0.3">
      <c r="A970" s="1" t="str">
        <f>"10000538300"</f>
        <v>10000538300</v>
      </c>
      <c r="B970" s="1" t="str">
        <f>"ARNDT MARGARET J"</f>
        <v>ARNDT MARGARET J</v>
      </c>
      <c r="C970" s="1" t="str">
        <f>"126 ST MICHELLE DR VILLE CHARMANTE COND UNIT 39-E"</f>
        <v>126 ST MICHELLE DR VILLE CHARMANTE COND UNIT 39-E</v>
      </c>
      <c r="D970" s="1">
        <v>5440.28</v>
      </c>
    </row>
    <row r="971" spans="1:4" x14ac:dyDescent="0.3">
      <c r="A971" s="1" t="str">
        <f>"07000027100"</f>
        <v>07000027100</v>
      </c>
      <c r="B971" s="1" t="str">
        <f>"ARNDT RANDALL S TR"</f>
        <v>ARNDT RANDALL S TR</v>
      </c>
      <c r="C971" s="1" t="str">
        <f>"2384 W LANE AVE UPPER ARLINGTON BLK 201 LOT 4 &amp; IRR SEC WS PT LOT 3"</f>
        <v>2384 W LANE AVE UPPER ARLINGTON BLK 201 LOT 4 &amp; IRR SEC WS PT LOT 3</v>
      </c>
      <c r="D971" s="1">
        <v>21083.599999999999</v>
      </c>
    </row>
    <row r="972" spans="1:4" x14ac:dyDescent="0.3">
      <c r="A972" s="1" t="str">
        <f>"19000115100"</f>
        <v>19000115100</v>
      </c>
      <c r="B972" s="1" t="str">
        <f>"ARNOLD JOHN J"</f>
        <v>ARNOLD JOHN J</v>
      </c>
      <c r="C972" s="1" t="str">
        <f>"2713 BAUGHMAN AVE 50FT SS E LINDEN 2ND 61"</f>
        <v>2713 BAUGHMAN AVE 50FT SS E LINDEN 2ND 61</v>
      </c>
      <c r="D972" s="1">
        <v>147.02000000000001</v>
      </c>
    </row>
    <row r="973" spans="1:4" x14ac:dyDescent="0.3">
      <c r="A973" s="1" t="str">
        <f>"56027366100"</f>
        <v>56027366100</v>
      </c>
      <c r="B973" s="1" t="str">
        <f>"ARNOUK JOUD"</f>
        <v>ARNOUK JOUD</v>
      </c>
      <c r="C973" s="1" t="str">
        <f>"MILLINGTON CONDOMINIUM AT MILL RUN 3RD AMD BLDG G UNIT 55 (GARAGE)"</f>
        <v>MILLINGTON CONDOMINIUM AT MILL RUN 3RD AMD BLDG G UNIT 55 (GARAGE)</v>
      </c>
      <c r="D973" s="1">
        <v>233.4</v>
      </c>
    </row>
    <row r="974" spans="1:4" x14ac:dyDescent="0.3">
      <c r="A974" s="1" t="str">
        <f>"27301179400"</f>
        <v>27301179400</v>
      </c>
      <c r="B974" s="1" t="str">
        <f>"ARONES TATHIANA"</f>
        <v>ARONES TATHIANA</v>
      </c>
      <c r="C974" s="1" t="str">
        <f>"MANOR AT CRAUGHWELL       VILLAGE CONDOMINIUM       BLDG 5 UNIT 6028         "</f>
        <v xml:space="preserve">MANOR AT CRAUGHWELL       VILLAGE CONDOMINIUM       BLDG 5 UNIT 6028         </v>
      </c>
      <c r="D974" s="1">
        <v>3091.44</v>
      </c>
    </row>
    <row r="975" spans="1:4" x14ac:dyDescent="0.3">
      <c r="A975" s="1" t="str">
        <f>"01018312200"</f>
        <v>01018312200</v>
      </c>
      <c r="B975" s="1" t="str">
        <f>"AROUTIOUNIAN AIK"</f>
        <v>AROUTIOUNIAN AIK</v>
      </c>
      <c r="C975" s="1" t="str">
        <f>"SCOTLAND YARD CONDO UNIT 1653   BLDG 14 "</f>
        <v xml:space="preserve">SCOTLAND YARD CONDO UNIT 1653   BLDG 14 </v>
      </c>
      <c r="D975" s="1">
        <v>1518.53</v>
      </c>
    </row>
    <row r="976" spans="1:4" x14ac:dyDescent="0.3">
      <c r="A976" s="1" t="str">
        <f>"01018276400"</f>
        <v>01018276400</v>
      </c>
      <c r="B976" s="1" t="str">
        <f>"AROUTIOUNIAN AIK"</f>
        <v>AROUTIOUNIAN AIK</v>
      </c>
      <c r="C976" s="1" t="str">
        <f>"SMITH FARMS II CON 8 BLDG 19 UNIT C "</f>
        <v xml:space="preserve">SMITH FARMS II CON 8 BLDG 19 UNIT C </v>
      </c>
      <c r="D976" s="1">
        <v>3512.36</v>
      </c>
    </row>
    <row r="977" spans="1:4" x14ac:dyDescent="0.3">
      <c r="A977" s="1" t="str">
        <f>"01019909600"</f>
        <v>01019909600</v>
      </c>
      <c r="B977" s="1" t="str">
        <f>"AROUTIOUNIAN AIK"</f>
        <v>AROUTIOUNIAN AIK</v>
      </c>
      <c r="C977" s="1" t="str">
        <f>"STORNOWAY DR E MCNAUGHTEN COM CONDO BLDG 2 UNIT 128"</f>
        <v>STORNOWAY DR E MCNAUGHTEN COM CONDO BLDG 2 UNIT 128</v>
      </c>
      <c r="D977" s="1">
        <v>2540.6</v>
      </c>
    </row>
    <row r="978" spans="1:4" x14ac:dyDescent="0.3">
      <c r="A978" s="1" t="str">
        <f>"01015550700"</f>
        <v>01015550700</v>
      </c>
      <c r="B978" s="1" t="str">
        <f>"ARP BENJAMIN J"</f>
        <v>ARP BENJAMIN J</v>
      </c>
      <c r="C978" s="1" t="str">
        <f>"SKYWAE DRIVE SKYWAE HTS SEC NO 5 LOT 204"</f>
        <v>SKYWAE DRIVE SKYWAE HTS SEC NO 5 LOT 204</v>
      </c>
      <c r="D978" s="1">
        <v>1872.86</v>
      </c>
    </row>
    <row r="979" spans="1:4" x14ac:dyDescent="0.3">
      <c r="A979" s="1" t="str">
        <f>"24000683500"</f>
        <v>24000683500</v>
      </c>
      <c r="B979" s="1" t="str">
        <f>"ARRIAGA ARTEMIO, ARRIAGA MARIA V"</f>
        <v>ARRIAGA ARTEMIO, ARRIAGA MARIA V</v>
      </c>
      <c r="C979" s="1" t="str">
        <f>"NORTON RD ENTRY 1436 2.9345 ACRES"</f>
        <v>NORTON RD ENTRY 1436 2.9345 ACRES</v>
      </c>
      <c r="D979" s="1">
        <v>159.54</v>
      </c>
    </row>
    <row r="980" spans="1:4" x14ac:dyDescent="0.3">
      <c r="A980" s="1" t="str">
        <f>"01014083800"</f>
        <v>01014083800</v>
      </c>
      <c r="B980" s="1" t="str">
        <f>"ARRIAGA FRELIN, MARTINEZ KAREN"</f>
        <v>ARRIAGA FRELIN, MARTINEZ KAREN</v>
      </c>
      <c r="C980" s="1" t="str">
        <f>"HAVILAND 4 LOT 214 "</f>
        <v xml:space="preserve">HAVILAND 4 LOT 214 </v>
      </c>
      <c r="D980" s="1">
        <v>1341.09</v>
      </c>
    </row>
    <row r="981" spans="1:4" x14ac:dyDescent="0.3">
      <c r="A981" s="1" t="str">
        <f>"09000062000"</f>
        <v>09000062000</v>
      </c>
      <c r="B981" s="1" t="str">
        <f>"ART RUSSO PROPERTIES LTD"</f>
        <v>ART RUSSO PROPERTIES LTD</v>
      </c>
      <c r="C981" s="1" t="str">
        <f>"1048 YEARLING RD ACRES .145 R 21 T 12 S 16 1"</f>
        <v>1048 YEARLING RD ACRES .145 R 21 T 12 S 16 1</v>
      </c>
      <c r="D981" s="1">
        <v>121.93</v>
      </c>
    </row>
    <row r="982" spans="1:4" x14ac:dyDescent="0.3">
      <c r="A982" s="1" t="str">
        <f>"18000017300"</f>
        <v>18000017300</v>
      </c>
      <c r="B982" s="1" t="str">
        <f>"ARTER TERRY"</f>
        <v>ARTER TERRY</v>
      </c>
      <c r="C982" s="1" t="str">
        <f>"3391 DAGLOW RD TU1 S4 NW &amp; SW QR R21 1.437 ACRES"</f>
        <v>3391 DAGLOW RD TU1 S4 NW &amp; SW QR R21 1.437 ACRES</v>
      </c>
      <c r="D982" s="1">
        <v>3916.23</v>
      </c>
    </row>
    <row r="983" spans="1:4" x14ac:dyDescent="0.3">
      <c r="A983" s="1" t="str">
        <f>"04000303600"</f>
        <v>04000303600</v>
      </c>
      <c r="B983" s="1" t="str">
        <f>"ARTHUR JOSEPH D, ARTHUR KATHERINE D"</f>
        <v>ARTHUR JOSEPH D, ARTHUR KATHERINE D</v>
      </c>
      <c r="C983" s="1" t="str">
        <f>"3393 SIMMONS DRIVE PARK RIDGE PLAT 2 LOT 71"</f>
        <v>3393 SIMMONS DRIVE PARK RIDGE PLAT 2 LOT 71</v>
      </c>
      <c r="D983" s="1">
        <v>2380.92</v>
      </c>
    </row>
    <row r="984" spans="1:4" x14ac:dyDescent="0.3">
      <c r="A984" s="1" t="str">
        <f>"09000811800"</f>
        <v>09000811800</v>
      </c>
      <c r="B984" s="1" t="str">
        <f>"ARTIS MONA J"</f>
        <v>ARTIS MONA J</v>
      </c>
      <c r="C984" s="1" t="str">
        <f>"4774 S SHELL CT FOXFIRE VILLAGE COND BLDG H UNIT 4774"</f>
        <v>4774 S SHELL CT FOXFIRE VILLAGE COND BLDG H UNIT 4774</v>
      </c>
      <c r="D984" s="1">
        <v>917.42</v>
      </c>
    </row>
    <row r="985" spans="1:4" x14ac:dyDescent="0.3">
      <c r="A985" s="1" t="str">
        <f>"14000092200"</f>
        <v>14000092200</v>
      </c>
      <c r="B985" s="1" t="str">
        <f>"ARTRIP WAYLON EDWARD"</f>
        <v>ARTRIP WAYLON EDWARD</v>
      </c>
      <c r="C985" s="1" t="str">
        <f>"1743 LAUREL AVE GIBSON PK PLCE 144"</f>
        <v>1743 LAUREL AVE GIBSON PK PLCE 144</v>
      </c>
      <c r="D985" s="1">
        <v>1352.6</v>
      </c>
    </row>
    <row r="986" spans="1:4" x14ac:dyDescent="0.3">
      <c r="A986" s="1" t="str">
        <f>"01006635200"</f>
        <v>01006635200</v>
      </c>
      <c r="B986" s="1" t="str">
        <f>"ARTURO ZAYAS RAMON"</f>
        <v>ARTURO ZAYAS RAMON</v>
      </c>
      <c r="C986" s="1" t="str">
        <f>"11TH AVE 2ND E COLUMBUS HT LOT 162-3"</f>
        <v>11TH AVE 2ND E COLUMBUS HT LOT 162-3</v>
      </c>
      <c r="D986" s="1">
        <v>149.15</v>
      </c>
    </row>
    <row r="987" spans="1:4" x14ac:dyDescent="0.3">
      <c r="A987" s="1" t="str">
        <f>"19100059700"</f>
        <v>19100059700</v>
      </c>
      <c r="B987" s="1" t="str">
        <f>"ARV INVESTORS LLC"</f>
        <v>ARV INVESTORS LLC</v>
      </c>
      <c r="C987" s="1" t="str">
        <f>"EMMONS AVE LEONARD PARK 6 BLK G"</f>
        <v>EMMONS AVE LEONARD PARK 6 BLK G</v>
      </c>
      <c r="D987" s="1">
        <v>950.84</v>
      </c>
    </row>
    <row r="988" spans="1:4" x14ac:dyDescent="0.3">
      <c r="A988" s="1" t="str">
        <f>"19100059200"</f>
        <v>19100059200</v>
      </c>
      <c r="B988" s="1" t="str">
        <f>"ARV INVESTORS LLC"</f>
        <v>ARV INVESTORS LLC</v>
      </c>
      <c r="C988" s="1" t="str">
        <f>"STELZER RD LEONARD PARK 1 BLK G"</f>
        <v>STELZER RD LEONARD PARK 1 BLK G</v>
      </c>
      <c r="D988" s="1">
        <v>724.71</v>
      </c>
    </row>
    <row r="989" spans="1:4" x14ac:dyDescent="0.3">
      <c r="A989" s="1" t="str">
        <f>"19100059600"</f>
        <v>19100059600</v>
      </c>
      <c r="B989" s="1" t="str">
        <f>"ARV INVESTORS LLC"</f>
        <v>ARV INVESTORS LLC</v>
      </c>
      <c r="C989" s="1" t="str">
        <f>"STELZER RD LEONARD PARK PT LOT 5 BLK G=0.118 ACRE"</f>
        <v>STELZER RD LEONARD PARK PT LOT 5 BLK G=0.118 ACRE</v>
      </c>
      <c r="D989" s="1">
        <v>776.88</v>
      </c>
    </row>
    <row r="990" spans="1:4" x14ac:dyDescent="0.3">
      <c r="A990" s="1" t="str">
        <f>"19100043400"</f>
        <v>19100043400</v>
      </c>
      <c r="B990" s="1" t="str">
        <f>"ARV INVESTORS LLC"</f>
        <v>ARV INVESTORS LLC</v>
      </c>
      <c r="C990" s="1" t="str">
        <f>"MINNESOTA AVE LEONARD PARK LOT 17 BLK D"</f>
        <v>MINNESOTA AVE LEONARD PARK LOT 17 BLK D</v>
      </c>
      <c r="D990" s="1">
        <v>782.69</v>
      </c>
    </row>
    <row r="991" spans="1:4" x14ac:dyDescent="0.3">
      <c r="A991" s="1" t="str">
        <f>"19100059300"</f>
        <v>19100059300</v>
      </c>
      <c r="B991" s="1" t="str">
        <f>"ARV INVESTORS LLC"</f>
        <v>ARV INVESTORS LLC</v>
      </c>
      <c r="C991" s="1" t="str">
        <f>"STELZER RD LEONARD PARK 2 BLK G"</f>
        <v>STELZER RD LEONARD PARK 2 BLK G</v>
      </c>
      <c r="D991" s="1">
        <v>345.1</v>
      </c>
    </row>
    <row r="992" spans="1:4" x14ac:dyDescent="0.3">
      <c r="A992" s="1" t="str">
        <f>"19100059500"</f>
        <v>19100059500</v>
      </c>
      <c r="B992" s="1" t="str">
        <f>"ARV INVESTORS LLC"</f>
        <v>ARV INVESTORS LLC</v>
      </c>
      <c r="C992" s="1" t="str">
        <f>"STELZER RD LEONARD PARK PT LOT 4 BLK G=0.119 ACRE"</f>
        <v>STELZER RD LEONARD PARK PT LOT 4 BLK G=0.119 ACRE</v>
      </c>
      <c r="D992" s="1">
        <v>724.71</v>
      </c>
    </row>
    <row r="993" spans="1:4" x14ac:dyDescent="0.3">
      <c r="A993" s="1" t="str">
        <f>"01005701200"</f>
        <v>01005701200</v>
      </c>
      <c r="B993" s="1" t="str">
        <f>"ARV INVESTORS LLC"</f>
        <v>ARV INVESTORS LLC</v>
      </c>
      <c r="C993" s="1" t="str">
        <f>"200 S CYPRESS AVE WEST PARK LOT 327"</f>
        <v>200 S CYPRESS AVE WEST PARK LOT 327</v>
      </c>
      <c r="D993" s="1">
        <v>51.33</v>
      </c>
    </row>
    <row r="994" spans="1:4" x14ac:dyDescent="0.3">
      <c r="A994" s="1" t="str">
        <f>"14000323300"</f>
        <v>14000323300</v>
      </c>
      <c r="B994" s="1" t="str">
        <f>"ARV INVESTORS LLC"</f>
        <v>ARV INVESTORS LLC</v>
      </c>
      <c r="C994" s="1" t="str">
        <f>"1852 LITTLE AVE GIBSON 429 "</f>
        <v xml:space="preserve">1852 LITTLE AVE GIBSON 429 </v>
      </c>
      <c r="D994" s="1">
        <v>234.4</v>
      </c>
    </row>
    <row r="995" spans="1:4" x14ac:dyDescent="0.3">
      <c r="A995" s="1" t="str">
        <f>"19100059400"</f>
        <v>19100059400</v>
      </c>
      <c r="B995" s="1" t="str">
        <f>"ARV INVESTORS LLC"</f>
        <v>ARV INVESTORS LLC</v>
      </c>
      <c r="C995" s="1" t="str">
        <f>"STELZER RD LEONARD PARK 3 BLK G"</f>
        <v>STELZER RD LEONARD PARK 3 BLK G</v>
      </c>
      <c r="D995" s="1">
        <v>345.1</v>
      </c>
    </row>
    <row r="996" spans="1:4" x14ac:dyDescent="0.3">
      <c r="A996" s="1" t="str">
        <f>"01002258400"</f>
        <v>01002258400</v>
      </c>
      <c r="B996" s="1" t="str">
        <f>"ARVAN MATTHEW, COCHRAN ALEXANDRA"</f>
        <v>ARVAN MATTHEW, COCHRAN ALEXANDRA</v>
      </c>
      <c r="C996" s="1" t="str">
        <f>"30 HAWKES AVE SINCLAIR LOT 134"</f>
        <v>30 HAWKES AVE SINCLAIR LOT 134</v>
      </c>
      <c r="D996" s="1">
        <v>165.61</v>
      </c>
    </row>
    <row r="997" spans="1:4" x14ac:dyDescent="0.3">
      <c r="A997" s="1" t="str">
        <f>"01006130600"</f>
        <v>01006130600</v>
      </c>
      <c r="B997" s="1" t="str">
        <f>"ASAH PROPERTIES MANANGEMENT  LLC"</f>
        <v>ASAH PROPERTIES MANANGEMENT  LLC</v>
      </c>
      <c r="C997" s="1" t="str">
        <f>"1505 LORETTA AVE HIGHWAY PARK LOT 58"</f>
        <v>1505 LORETTA AVE HIGHWAY PARK LOT 58</v>
      </c>
      <c r="D997" s="1">
        <v>1307.1500000000001</v>
      </c>
    </row>
    <row r="998" spans="1:4" x14ac:dyDescent="0.3">
      <c r="A998" s="1" t="str">
        <f>"01006020400"</f>
        <v>01006020400</v>
      </c>
      <c r="B998" s="1" t="str">
        <f>"ASAMEREW HAFTU"</f>
        <v>ASAMEREW HAFTU</v>
      </c>
      <c r="C998" s="1" t="str">
        <f>"1472-4 26TH AVE INNIS CREST LOT 123"</f>
        <v>1472-4 26TH AVE INNIS CREST LOT 123</v>
      </c>
      <c r="D998" s="1">
        <v>2640.96</v>
      </c>
    </row>
    <row r="999" spans="1:4" x14ac:dyDescent="0.3">
      <c r="A999" s="1" t="str">
        <f>"01018097700"</f>
        <v>01018097700</v>
      </c>
      <c r="B999" s="1" t="str">
        <f>"ASBURY DEVELOPMENT LLC"</f>
        <v>ASBURY DEVELOPMENT LLC</v>
      </c>
      <c r="C999" s="1" t="str">
        <f>"3983 KARL RD 4.814 ACRES R18 T1 1/4 T1 LOTS 10-11"</f>
        <v>3983 KARL RD 4.814 ACRES R18 T1 1/4 T1 LOTS 10-11</v>
      </c>
      <c r="D999" s="1">
        <v>8747.44</v>
      </c>
    </row>
    <row r="1000" spans="1:4" x14ac:dyDescent="0.3">
      <c r="A1000" s="1" t="str">
        <f>"13000231900"</f>
        <v>13000231900</v>
      </c>
      <c r="B1000" s="1" t="str">
        <f>"ASBURY DEVELOPMENT LLC"</f>
        <v>ASBURY DEVELOPMENT LLC</v>
      </c>
      <c r="C1000" s="1" t="str">
        <f>"3975 KARL RD 3.686 ACRES R18 T1 1/4 T1 L10-11"</f>
        <v>3975 KARL RD 3.686 ACRES R18 T1 1/4 T1 L10-11</v>
      </c>
      <c r="D1000" s="1">
        <v>9985.7099999999991</v>
      </c>
    </row>
    <row r="1001" spans="1:4" x14ac:dyDescent="0.3">
      <c r="A1001" s="1" t="str">
        <f>"57018345000"</f>
        <v>57018345000</v>
      </c>
      <c r="B1001" s="1" t="str">
        <f>"ASCENCIO VENTURA DANIEL ANTONIO, HERNANDEZ PORTILLO ROXANA ARELY"</f>
        <v>ASCENCIO VENTURA DANIEL ANTONIO, HERNANDEZ PORTILLO ROXANA ARELY</v>
      </c>
      <c r="C1001" s="1" t="str">
        <f>"SUMMER BREEZE DR OCTOBER RIDGE SEC 1 LOT 22"</f>
        <v>SUMMER BREEZE DR OCTOBER RIDGE SEC 1 LOT 22</v>
      </c>
      <c r="D1001" s="1">
        <v>116.29</v>
      </c>
    </row>
    <row r="1002" spans="1:4" x14ac:dyDescent="0.3">
      <c r="A1002" s="1" t="str">
        <f>"01024325100"</f>
        <v>01024325100</v>
      </c>
      <c r="B1002" s="1" t="str">
        <f>"ASCHINGER CARL J JR, ASCHINGER BELVA J"</f>
        <v>ASCHINGER CARL J JR, ASCHINGER BELVA J</v>
      </c>
      <c r="C1002" s="1" t="str">
        <f>"MARBLE CLIFF CROSSING SECTION 1 LOT 50A"</f>
        <v>MARBLE CLIFF CROSSING SECTION 1 LOT 50A</v>
      </c>
      <c r="D1002" s="1">
        <v>470.02</v>
      </c>
    </row>
    <row r="1003" spans="1:4" x14ac:dyDescent="0.3">
      <c r="A1003" s="1" t="str">
        <f>"07001054800"</f>
        <v>07001054800</v>
      </c>
      <c r="B1003" s="1" t="str">
        <f>"ASCHLIMAN KEVIN, ASCHLIMAN CARA"</f>
        <v>ASCHLIMAN KEVIN, ASCHLIMAN CARA</v>
      </c>
      <c r="C1003" s="1" t="str">
        <f>"4181 WADDINGTON RD WILLIAMSBURG ESTATES LOT 48"</f>
        <v>4181 WADDINGTON RD WILLIAMSBURG ESTATES LOT 48</v>
      </c>
      <c r="D1003" s="1">
        <v>482.36</v>
      </c>
    </row>
    <row r="1004" spans="1:4" x14ac:dyDescent="0.3">
      <c r="A1004" s="1" t="str">
        <f>"05000540700"</f>
        <v>05000540700</v>
      </c>
      <c r="B1004" s="1" t="str">
        <f>"ASFOUR LILA DIANA, ALKHALED AHMAD"</f>
        <v>ASFOUR LILA DIANA, ALKHALED AHMAD</v>
      </c>
      <c r="C1004" s="1" t="str">
        <f>"DIRHAM LANE BRITTON FARMS SEC 1 LOT 75"</f>
        <v>DIRHAM LANE BRITTON FARMS SEC 1 LOT 75</v>
      </c>
      <c r="D1004" s="1">
        <v>11141.87</v>
      </c>
    </row>
    <row r="1005" spans="1:4" x14ac:dyDescent="0.3">
      <c r="A1005" s="1" t="str">
        <f>"01008203300"</f>
        <v>01008203300</v>
      </c>
      <c r="B1005" s="1" t="str">
        <f>"ASGEDOM GROUP LLC"</f>
        <v>ASGEDOM GROUP LLC</v>
      </c>
      <c r="C1005" s="1" t="str">
        <f>"1408 OAKLAND PK AVE R18 T1 1/4T1 1.4827 ACRES"</f>
        <v>1408 OAKLAND PK AVE R18 T1 1/4T1 1.4827 ACRES</v>
      </c>
      <c r="D1005" s="1">
        <v>9181.9</v>
      </c>
    </row>
    <row r="1006" spans="1:4" x14ac:dyDescent="0.3">
      <c r="A1006" s="1" t="str">
        <f>"14000115800"</f>
        <v>14000115800</v>
      </c>
      <c r="B1006" s="1" t="str">
        <f>"ASH KAREN"</f>
        <v>ASH KAREN</v>
      </c>
      <c r="C1006" s="1" t="str">
        <f>"1801 LINNET AVE LOT 237 PT 238 GIBSON PARK PLACE"</f>
        <v>1801 LINNET AVE LOT 237 PT 238 GIBSON PARK PLACE</v>
      </c>
      <c r="D1006" s="1">
        <v>1434.85</v>
      </c>
    </row>
    <row r="1007" spans="1:4" x14ac:dyDescent="0.3">
      <c r="A1007" s="1" t="str">
        <f>"17000013900"</f>
        <v>17000013900</v>
      </c>
      <c r="B1007" s="1" t="str">
        <f>"ASH WOODROW J, ASH SUE A"</f>
        <v>ASH WOODROW J, ASH SUE A</v>
      </c>
      <c r="C1007" s="1" t="str">
        <f>"HEADLEY RD NS R16 T1 1-4TWP 1 SUB 3 31-32-34-35"</f>
        <v>HEADLEY RD NS R16 T1 1-4TWP 1 SUB 3 31-32-34-35</v>
      </c>
      <c r="D1007" s="1">
        <v>4447.29</v>
      </c>
    </row>
    <row r="1008" spans="1:4" x14ac:dyDescent="0.3">
      <c r="A1008" s="1" t="str">
        <f>"01003670500"</f>
        <v>01003670500</v>
      </c>
      <c r="B1008" s="1" t="str">
        <f>"ASHBURN JACOB J, ASHBURN PATRICIA A"</f>
        <v>ASHBURN JACOB J, ASHBURN PATRICIA A</v>
      </c>
      <c r="C1008" s="1" t="str">
        <f>"1986 N GREENWAY AVE EAST GATE NO 2 LOT 6 BLK 13"</f>
        <v>1986 N GREENWAY AVE EAST GATE NO 2 LOT 6 BLK 13</v>
      </c>
      <c r="D1008" s="1">
        <v>202.25</v>
      </c>
    </row>
    <row r="1009" spans="1:4" x14ac:dyDescent="0.3">
      <c r="A1009" s="1" t="str">
        <f>"01003670400"</f>
        <v>01003670400</v>
      </c>
      <c r="B1009" s="1" t="str">
        <f>"ASHBURN JACOB J, ASHBURN PATRICIA A"</f>
        <v>ASHBURN JACOB J, ASHBURN PATRICIA A</v>
      </c>
      <c r="C1009" s="1" t="str">
        <f>"N GREENWAY AVENUE EAST GATE 2 26.5'NS LT 5 BLK 13"</f>
        <v>N GREENWAY AVENUE EAST GATE 2 26.5'NS LT 5 BLK 13</v>
      </c>
      <c r="D1009" s="1">
        <v>28.48</v>
      </c>
    </row>
    <row r="1010" spans="1:4" x14ac:dyDescent="0.3">
      <c r="A1010" s="1" t="str">
        <f>"14000148500"</f>
        <v>14000148500</v>
      </c>
      <c r="B1010" s="1" t="str">
        <f>"ASHBY DOUGLAS D JR"</f>
        <v>ASHBY DOUGLAS D JR</v>
      </c>
      <c r="C1010" s="1" t="str">
        <f>"2061 REA AVE WOODROW PLC LOT 45 "</f>
        <v xml:space="preserve">2061 REA AVE WOODROW PLC LOT 45 </v>
      </c>
      <c r="D1010" s="1">
        <v>65.64</v>
      </c>
    </row>
    <row r="1011" spans="1:4" x14ac:dyDescent="0.3">
      <c r="A1011" s="1" t="str">
        <f>"01010903700"</f>
        <v>01010903700</v>
      </c>
      <c r="B1011" s="1" t="str">
        <f>"ASHDOWN FOREST LLC"</f>
        <v>ASHDOWN FOREST LLC</v>
      </c>
      <c r="C1011" s="1" t="str">
        <f>"RANKIN AVE CAPOCCIO LOT 24"</f>
        <v>RANKIN AVE CAPOCCIO LOT 24</v>
      </c>
      <c r="D1011" s="1">
        <v>40.4</v>
      </c>
    </row>
    <row r="1012" spans="1:4" x14ac:dyDescent="0.3">
      <c r="A1012" s="1" t="str">
        <f>"51526112400"</f>
        <v>51526112400</v>
      </c>
      <c r="B1012" s="1" t="str">
        <f>"ASHENAFI MENIRA"</f>
        <v>ASHENAFI MENIRA</v>
      </c>
      <c r="C1012" s="1" t="str">
        <f>"RAVINES AT WAGGONER PARK  CONDOMINIUM               BLDG 15 UNIT 7988        "</f>
        <v xml:space="preserve">RAVINES AT WAGGONER PARK  CONDOMINIUM               BLDG 15 UNIT 7988        </v>
      </c>
      <c r="D1012" s="1">
        <v>1675.5</v>
      </c>
    </row>
    <row r="1013" spans="1:4" x14ac:dyDescent="0.3">
      <c r="A1013" s="1" t="str">
        <f>"52027244900"</f>
        <v>52027244900</v>
      </c>
      <c r="B1013" s="1" t="str">
        <f>"ASHKIR NAJAH YUSUF, DIRIYE ABDIRAHMAN HASHI"</f>
        <v>ASHKIR NAJAH YUSUF, DIRIYE ABDIRAHMAN HASHI</v>
      </c>
      <c r="C1013" s="1" t="str">
        <f>"SHADY ROCK LANE STONEHILL SECTION 1 PART 3 LOT 28"</f>
        <v>SHADY ROCK LANE STONEHILL SECTION 1 PART 3 LOT 28</v>
      </c>
      <c r="D1013" s="1">
        <v>3000.77</v>
      </c>
    </row>
    <row r="1014" spans="1:4" x14ac:dyDescent="0.3">
      <c r="A1014" s="1" t="str">
        <f>"01011865900"</f>
        <v>01011865900</v>
      </c>
      <c r="B1014" s="1" t="str">
        <f>"ASHLEY CONSTANCIA VIOLA"</f>
        <v>ASHLEY CONSTANCIA VIOLA</v>
      </c>
      <c r="C1014" s="1" t="str">
        <f>"BEXLEY VIEW ACRES LOT 66 "</f>
        <v xml:space="preserve">BEXLEY VIEW ACRES LOT 66 </v>
      </c>
      <c r="D1014" s="1">
        <v>1476.7</v>
      </c>
    </row>
    <row r="1015" spans="1:4" x14ac:dyDescent="0.3">
      <c r="A1015" s="1" t="str">
        <f>"14000669200"</f>
        <v>14000669200</v>
      </c>
      <c r="B1015" s="1" t="str">
        <f>"ASHLEY RICHARD A"</f>
        <v>ASHLEY RICHARD A</v>
      </c>
      <c r="C1015" s="1" t="str">
        <f>"3266 DARRACQ CIRCLE HOLIDAY HILLS ESTATES 3 AMD L118"</f>
        <v>3266 DARRACQ CIRCLE HOLIDAY HILLS ESTATES 3 AMD L118</v>
      </c>
      <c r="D1015" s="1">
        <v>2563.85</v>
      </c>
    </row>
    <row r="1016" spans="1:4" x14ac:dyDescent="0.3">
      <c r="A1016" s="1" t="str">
        <f>"61024115000"</f>
        <v>61024115000</v>
      </c>
      <c r="B1016" s="1" t="str">
        <f>"ASHRAF MOHAMMAD TR, ASHRAF UMTUL TR"</f>
        <v>ASHRAF MOHAMMAD TR, ASHRAF UMTUL TR</v>
      </c>
      <c r="C1016" s="1" t="str">
        <f>"NEW HAVEN ROAD R18 T2 1/4T2 0.422 ACRE"</f>
        <v>NEW HAVEN ROAD R18 T2 1/4T2 0.422 ACRE</v>
      </c>
      <c r="D1016" s="1">
        <v>13571.04</v>
      </c>
    </row>
    <row r="1017" spans="1:4" x14ac:dyDescent="0.3">
      <c r="A1017" s="1" t="str">
        <f>"01001941600"</f>
        <v>01001941600</v>
      </c>
      <c r="B1017" s="1" t="str">
        <f>"ASHRAF MOHAMMAD TTEE, ASHRAF UMTUL TTEE"</f>
        <v>ASHRAF MOHAMMAD TTEE, ASHRAF UMTUL TTEE</v>
      </c>
      <c r="C1017" s="1" t="str">
        <f>"WORTH-GRANVILLE RD R18T2 1/4T4 5.011 ACRES"</f>
        <v>WORTH-GRANVILLE RD R18T2 1/4T4 5.011 ACRES</v>
      </c>
      <c r="D1017" s="1">
        <v>34019.47</v>
      </c>
    </row>
    <row r="1018" spans="1:4" x14ac:dyDescent="0.3">
      <c r="A1018" s="1" t="str">
        <f>"05001191700"</f>
        <v>05001191700</v>
      </c>
      <c r="B1018" s="1" t="str">
        <f>"ASKAR FATIN"</f>
        <v>ASKAR FATIN</v>
      </c>
      <c r="C1018" s="1" t="str">
        <f>"THE COURTYARDS AT CARR FARMS SECTION 3 LOT 33"</f>
        <v>THE COURTYARDS AT CARR FARMS SECTION 3 LOT 33</v>
      </c>
      <c r="D1018" s="1">
        <v>143.13999999999999</v>
      </c>
    </row>
    <row r="1019" spans="1:4" x14ac:dyDescent="0.3">
      <c r="A1019" s="1" t="str">
        <f>"01009365900"</f>
        <v>01009365900</v>
      </c>
      <c r="B1019" s="1" t="str">
        <f>"ASMAN DAVID L"</f>
        <v>ASMAN DAVID L</v>
      </c>
      <c r="C1019" s="1" t="str">
        <f>"4586 STARRET RD 1.038 ACRES R.18 T.1 1-4T.2 LOT 2"</f>
        <v>4586 STARRET RD 1.038 ACRES R.18 T.1 1-4T.2 LOT 2</v>
      </c>
      <c r="D1019" s="1">
        <v>8371.9699999999993</v>
      </c>
    </row>
    <row r="1020" spans="1:4" x14ac:dyDescent="0.3">
      <c r="A1020" s="1" t="str">
        <f>"01009393800"</f>
        <v>01009393800</v>
      </c>
      <c r="B1020" s="1" t="str">
        <f>"ASMAN DAVID L, ASMAN JERI L"</f>
        <v>ASMAN DAVID L, ASMAN JERI L</v>
      </c>
      <c r="C1020" s="1" t="str">
        <f>"OLENTANGY BLVD WEISHEIMER RD LOT 18"</f>
        <v>OLENTANGY BLVD WEISHEIMER RD LOT 18</v>
      </c>
      <c r="D1020" s="1">
        <v>5180.82</v>
      </c>
    </row>
    <row r="1021" spans="1:4" x14ac:dyDescent="0.3">
      <c r="A1021" s="1" t="str">
        <f>"18000284700"</f>
        <v>18000284700</v>
      </c>
      <c r="B1021" s="1" t="str">
        <f>"ASMRE HOLDINGS LLC"</f>
        <v>ASMRE HOLDINGS LLC</v>
      </c>
      <c r="C1021" s="1" t="str">
        <f>"HARBOR BLVD BLACKLICK ESTATES 4 LOTS 37 &amp; 38"</f>
        <v>HARBOR BLVD BLACKLICK ESTATES 4 LOTS 37 &amp; 38</v>
      </c>
      <c r="D1021" s="1">
        <v>7006.48</v>
      </c>
    </row>
    <row r="1022" spans="1:4" x14ac:dyDescent="0.3">
      <c r="A1022" s="1" t="str">
        <f>"09000025200"</f>
        <v>09000025200</v>
      </c>
      <c r="B1022" s="1" t="str">
        <f>"ASNAKEW BELAY"</f>
        <v>ASNAKEW BELAY</v>
      </c>
      <c r="C1022" s="1" t="str">
        <f>"ROSS RD BERNHARD N 1/2 LOT 42"</f>
        <v>ROSS RD BERNHARD N 1/2 LOT 42</v>
      </c>
      <c r="D1022" s="1">
        <v>8.68</v>
      </c>
    </row>
    <row r="1023" spans="1:4" x14ac:dyDescent="0.3">
      <c r="A1023" s="1" t="str">
        <f>"17000279000"</f>
        <v>17000279000</v>
      </c>
      <c r="B1023" s="1" t="str">
        <f>"ASPEN INVESTMENTS LLC"</f>
        <v>ASPEN INVESTMENTS LLC</v>
      </c>
      <c r="C1023" s="1" t="str">
        <f>"816 POPPY HILLS DRIVE THE VILLAS AT JEFFERSON CONDOMINIUM UNIT 816"</f>
        <v>816 POPPY HILLS DRIVE THE VILLAS AT JEFFERSON CONDOMINIUM UNIT 816</v>
      </c>
      <c r="D1023" s="1">
        <v>11612.1</v>
      </c>
    </row>
    <row r="1024" spans="1:4" x14ac:dyDescent="0.3">
      <c r="A1024" s="1" t="str">
        <f>"01009293200"</f>
        <v>01009293200</v>
      </c>
      <c r="B1024" s="1" t="str">
        <f>"ASPIRING HOMES LLC"</f>
        <v>ASPIRING HOMES LLC</v>
      </c>
      <c r="C1024" s="1" t="str">
        <f>"3484-96 E BROAD ST BROADLAND PLACE LOT 3-4"</f>
        <v>3484-96 E BROAD ST BROADLAND PLACE LOT 3-4</v>
      </c>
      <c r="D1024" s="1">
        <v>19642.54</v>
      </c>
    </row>
    <row r="1025" spans="1:4" x14ac:dyDescent="0.3">
      <c r="A1025" s="1" t="str">
        <f>"59019122200"</f>
        <v>59019122200</v>
      </c>
      <c r="B1025" s="1" t="str">
        <f>"ASSAYEHEN ABEBA, GEBEYEHU FEREWOINI"</f>
        <v>ASSAYEHEN ABEBA, GEBEYEHU FEREWOINI</v>
      </c>
      <c r="C1025" s="1" t="str">
        <f>"CRANSTON WAY CRANSTON COMM CONDO3 BLDG 7 UNIT 29"</f>
        <v>CRANSTON WAY CRANSTON COMM CONDO3 BLDG 7 UNIT 29</v>
      </c>
      <c r="D1025" s="1">
        <v>3066.18</v>
      </c>
    </row>
    <row r="1026" spans="1:4" x14ac:dyDescent="0.3">
      <c r="A1026" s="1" t="str">
        <f>"01009184100"</f>
        <v>01009184100</v>
      </c>
      <c r="B1026" s="1" t="str">
        <f>"ASSIS REAL ESTATE GROUP LLC"</f>
        <v>ASSIS REAL ESTATE GROUP LLC</v>
      </c>
      <c r="C1026" s="1" t="str">
        <f>"JAMES RD BEXLEY HAVEN LOT 11"</f>
        <v>JAMES RD BEXLEY HAVEN LOT 11</v>
      </c>
      <c r="D1026" s="1">
        <v>1281.71</v>
      </c>
    </row>
    <row r="1027" spans="1:4" x14ac:dyDescent="0.3">
      <c r="A1027" s="1" t="str">
        <f>"08000490900"</f>
        <v>08000490900</v>
      </c>
      <c r="B1027" s="1" t="str">
        <f>"ASTA PHILIP A, ASTA DEBORAH"</f>
        <v>ASTA PHILIP A, ASTA DEBORAH</v>
      </c>
      <c r="C1027" s="1" t="str">
        <f>"COLLEGE AV SPRING GROVE PHASE 1 LOT 8"</f>
        <v>COLLEGE AV SPRING GROVE PHASE 1 LOT 8</v>
      </c>
      <c r="D1027" s="1">
        <v>5989.03</v>
      </c>
    </row>
    <row r="1028" spans="1:4" x14ac:dyDescent="0.3">
      <c r="A1028" s="1" t="str">
        <f>"19100003600"</f>
        <v>19100003600</v>
      </c>
      <c r="B1028" s="1" t="str">
        <f>"ASTAN HOLDINGS LLC"</f>
        <v>ASTAN HOLDINGS LLC</v>
      </c>
      <c r="C1028" s="1" t="str">
        <f>"REAR JOHNSTOWN RD ENGLEWOOD ADD 28.75' SE LOT 7"</f>
        <v>REAR JOHNSTOWN RD ENGLEWOOD ADD 28.75' SE LOT 7</v>
      </c>
      <c r="D1028" s="1">
        <v>150.16999999999999</v>
      </c>
    </row>
    <row r="1029" spans="1:4" x14ac:dyDescent="0.3">
      <c r="A1029" s="1" t="str">
        <f>"19100003700"</f>
        <v>19100003700</v>
      </c>
      <c r="B1029" s="1" t="str">
        <f>"ASTAN HOLDINGS LLC"</f>
        <v>ASTAN HOLDINGS LLC</v>
      </c>
      <c r="C1029" s="1" t="str">
        <f>"REAR JOHNSTOWN RD ENGLEWOOD ADD 28.75' SE LOT 8"</f>
        <v>REAR JOHNSTOWN RD ENGLEWOOD ADD 28.75' SE LOT 8</v>
      </c>
      <c r="D1029" s="1">
        <v>145.28</v>
      </c>
    </row>
    <row r="1030" spans="1:4" x14ac:dyDescent="0.3">
      <c r="A1030" s="1" t="str">
        <f>"19100003800"</f>
        <v>19100003800</v>
      </c>
      <c r="B1030" s="1" t="str">
        <f>"ASTAN HOLDINGS LLC"</f>
        <v>ASTAN HOLDINGS LLC</v>
      </c>
      <c r="C1030" s="1" t="str">
        <f>"REAR JOHNSTOWN RD ENGLEWOOD ADD 28.75' SE LOT 9"</f>
        <v>REAR JOHNSTOWN RD ENGLEWOOD ADD 28.75' SE LOT 9</v>
      </c>
      <c r="D1030" s="1">
        <v>145.28</v>
      </c>
    </row>
    <row r="1031" spans="1:4" x14ac:dyDescent="0.3">
      <c r="A1031" s="1" t="str">
        <f>"18000526800"</f>
        <v>18000526800</v>
      </c>
      <c r="B1031" s="1" t="str">
        <f>"ASTAW ABONESH T"</f>
        <v>ASTAW ABONESH T</v>
      </c>
      <c r="C1031" s="1" t="str">
        <f>"CROSSCREEK DRIVE CROSSCREEK VILLAGE SECTION 2 LOT 35"</f>
        <v>CROSSCREEK DRIVE CROSSCREEK VILLAGE SECTION 2 LOT 35</v>
      </c>
      <c r="D1031" s="1">
        <v>199.23</v>
      </c>
    </row>
    <row r="1032" spans="1:4" x14ac:dyDescent="0.3">
      <c r="A1032" s="1" t="str">
        <f>"01007601100"</f>
        <v>01007601100</v>
      </c>
      <c r="B1032" s="1" t="str">
        <f>"ASWL PROPERTIES LLC"</f>
        <v>ASWL PROPERTIES LLC</v>
      </c>
      <c r="C1032" s="1" t="str">
        <f>"18TH AVE HIGHLAND PL LOT 93"</f>
        <v>18TH AVE HIGHLAND PL LOT 93</v>
      </c>
      <c r="D1032" s="1">
        <v>141.22999999999999</v>
      </c>
    </row>
    <row r="1033" spans="1:4" x14ac:dyDescent="0.3">
      <c r="A1033" s="1" t="str">
        <f>"52017272300"</f>
        <v>52017272300</v>
      </c>
      <c r="B1033" s="1" t="str">
        <f>"ATCHISON DEBORAH C TTEE"</f>
        <v>ATCHISON DEBORAH C TTEE</v>
      </c>
      <c r="C1033" s="1" t="str">
        <f>"WENDLER BLVD RESUB VIRGINIA TERR LOT 182"</f>
        <v>WENDLER BLVD RESUB VIRGINIA TERR LOT 182</v>
      </c>
      <c r="D1033" s="1">
        <v>5428.67</v>
      </c>
    </row>
    <row r="1034" spans="1:4" x14ac:dyDescent="0.3">
      <c r="A1034" s="1" t="str">
        <f>"01005912300"</f>
        <v>01005912300</v>
      </c>
      <c r="B1034" s="1" t="str">
        <f>"ATKINS HERMAN N"</f>
        <v>ATKINS HERMAN N</v>
      </c>
      <c r="C1034" s="1" t="str">
        <f>"1425-27 1/2 BRYDEN J NELSON LOT 61"</f>
        <v>1425-27 1/2 BRYDEN J NELSON LOT 61</v>
      </c>
      <c r="D1034" s="1">
        <v>266.2</v>
      </c>
    </row>
    <row r="1035" spans="1:4" x14ac:dyDescent="0.3">
      <c r="A1035" s="1" t="str">
        <f>"15000164300"</f>
        <v>15000164300</v>
      </c>
      <c r="B1035" s="1" t="str">
        <f>"ATKINS JANET L"</f>
        <v>ATKINS JANET L</v>
      </c>
      <c r="C1035" s="1" t="str">
        <f>"4917 MEADOWBROOK DR HAMILTON MEADOWS 21 "</f>
        <v xml:space="preserve">4917 MEADOWBROOK DR HAMILTON MEADOWS 21 </v>
      </c>
      <c r="D1035" s="1">
        <v>2598.87</v>
      </c>
    </row>
    <row r="1036" spans="1:4" x14ac:dyDescent="0.3">
      <c r="A1036" s="1" t="str">
        <f>"60022809200"</f>
        <v>60022809200</v>
      </c>
      <c r="B1036" s="1" t="str">
        <f>"ATKINS SHANNON, ATKINS MARK"</f>
        <v>ATKINS SHANNON, ATKINS MARK</v>
      </c>
      <c r="C1036" s="1" t="str">
        <f>"BLENDON POND NORTH CONDOMINIUM 2ND AMD BLDG 7 UNIT 5353"</f>
        <v>BLENDON POND NORTH CONDOMINIUM 2ND AMD BLDG 7 UNIT 5353</v>
      </c>
      <c r="D1036" s="1">
        <v>2339.2399999999998</v>
      </c>
    </row>
    <row r="1037" spans="1:4" x14ac:dyDescent="0.3">
      <c r="A1037" s="1" t="str">
        <f>"01007011600"</f>
        <v>01007011600</v>
      </c>
      <c r="B1037" s="1" t="str">
        <f>"ATKINS TERRY ALLEN, JACKSON OUIDA"</f>
        <v>ATKINS TERRY ALLEN, JACKSON OUIDA</v>
      </c>
      <c r="C1037" s="1" t="str">
        <f>"485 ELDRIDGE WOODLAND LOT 12"</f>
        <v>485 ELDRIDGE WOODLAND LOT 12</v>
      </c>
      <c r="D1037" s="1">
        <v>272.62</v>
      </c>
    </row>
    <row r="1038" spans="1:4" x14ac:dyDescent="0.3">
      <c r="A1038" s="1" t="str">
        <f>"59022618400"</f>
        <v>59022618400</v>
      </c>
      <c r="B1038" s="1" t="str">
        <f>"ATKINSON AMY THERESE TTEE"</f>
        <v>ATKINSON AMY THERESE TTEE</v>
      </c>
      <c r="C1038" s="1" t="str">
        <f>"BETHEL COMMONS CONDOMINIUM 2ND AMD UNIT 3A"</f>
        <v>BETHEL COMMONS CONDOMINIUM 2ND AMD UNIT 3A</v>
      </c>
      <c r="D1038" s="1">
        <v>4704.4399999999996</v>
      </c>
    </row>
    <row r="1039" spans="1:4" x14ac:dyDescent="0.3">
      <c r="A1039" s="1" t="str">
        <f>"57018207900"</f>
        <v>57018207900</v>
      </c>
      <c r="B1039" s="1" t="str">
        <f>"ATKINSON KARA L"</f>
        <v>ATKINSON KARA L</v>
      </c>
      <c r="C1039" s="1" t="str">
        <f>"ARONIA CT LAUREL GREENE 4 PH 2 LOT 539"</f>
        <v>ARONIA CT LAUREL GREENE 4 PH 2 LOT 539</v>
      </c>
      <c r="D1039" s="1">
        <v>1238.58</v>
      </c>
    </row>
    <row r="1040" spans="1:4" x14ac:dyDescent="0.3">
      <c r="A1040" s="1" t="str">
        <f>"02501187700"</f>
        <v>02501187700</v>
      </c>
      <c r="B1040" s="1" t="str">
        <f>"ATS BEECHER PROPERTIES LLC"</f>
        <v>ATS BEECHER PROPERTIES LLC</v>
      </c>
      <c r="C1040" s="1" t="str">
        <f>"BEECHER RIDGE OFFICE PARK CONDOMINIUM UNIT 438"</f>
        <v>BEECHER RIDGE OFFICE PARK CONDOMINIUM UNIT 438</v>
      </c>
      <c r="D1040" s="1">
        <v>13823.32</v>
      </c>
    </row>
    <row r="1041" spans="1:4" x14ac:dyDescent="0.3">
      <c r="A1041" s="1" t="str">
        <f>"24000331800"</f>
        <v>24000331800</v>
      </c>
      <c r="B1041" s="1" t="str">
        <f>"ATTO MOHAMED A, ALI KHADIJO"</f>
        <v>ATTO MOHAMED A, ALI KHADIJO</v>
      </c>
      <c r="C1041" s="1" t="str">
        <f>"DEERFIELD RD LINCOLN VILLAGE 188 "</f>
        <v xml:space="preserve">DEERFIELD RD LINCOLN VILLAGE 188 </v>
      </c>
      <c r="D1041" s="1">
        <v>27.49</v>
      </c>
    </row>
    <row r="1042" spans="1:4" x14ac:dyDescent="0.3">
      <c r="A1042" s="1" t="str">
        <f>"01008219100"</f>
        <v>01008219100</v>
      </c>
      <c r="B1042" s="1" t="str">
        <f>"ATWATER ELIZABETH"</f>
        <v>ATWATER ELIZABETH</v>
      </c>
      <c r="C1042" s="1" t="str">
        <f>"ONTARIO ST LINDEN GARDENS ANNEX LOT 124"</f>
        <v>ONTARIO ST LINDEN GARDENS ANNEX LOT 124</v>
      </c>
      <c r="D1042" s="1">
        <v>491.98</v>
      </c>
    </row>
    <row r="1043" spans="1:4" x14ac:dyDescent="0.3">
      <c r="A1043" s="1" t="str">
        <f>"08001055300"</f>
        <v>08001055300</v>
      </c>
      <c r="B1043" s="1" t="str">
        <f>"AUBREY CHARLES A II, AUBREY ELIZABETH A"</f>
        <v>AUBREY CHARLES A II, AUBREY ELIZABETH A</v>
      </c>
      <c r="C1043" s="1" t="str">
        <f>"SPRING RUN CONDOMINIUM 1ST AMD BLDG 16 UNIT 16-561"</f>
        <v>SPRING RUN CONDOMINIUM 1ST AMD BLDG 16 UNIT 16-561</v>
      </c>
      <c r="D1043" s="1">
        <v>2024.09</v>
      </c>
    </row>
    <row r="1044" spans="1:4" x14ac:dyDescent="0.3">
      <c r="A1044" s="1" t="str">
        <f>"01009592900"</f>
        <v>01009592900</v>
      </c>
      <c r="B1044" s="1" t="str">
        <f>"AUGER JEROME R III"</f>
        <v>AUGER JEROME R III</v>
      </c>
      <c r="C1044" s="1" t="str">
        <f>"HAMILTONAVEALL43&amp; 25.5FTNS44HAMILTON AVE LOT 43-44"</f>
        <v>HAMILTONAVEALL43&amp; 25.5FTNS44HAMILTON AVE LOT 43-44</v>
      </c>
      <c r="D1044" s="1">
        <v>132.54</v>
      </c>
    </row>
    <row r="1045" spans="1:4" x14ac:dyDescent="0.3">
      <c r="A1045" s="1" t="str">
        <f>"07000379200"</f>
        <v>07000379200</v>
      </c>
      <c r="B1045" s="1" t="str">
        <f>"AUGOSTINI RALPH S, AUGOSTINI HOLLY M"</f>
        <v>AUGOSTINI RALPH S, AUGOSTINI HOLLY M</v>
      </c>
      <c r="C1045" s="1" t="str">
        <f>"CANTERBURY RD L25 &amp; 20FT WS L24 CNTRBURY PL 24-25 BLK 254"</f>
        <v>CANTERBURY RD L25 &amp; 20FT WS L24 CNTRBURY PL 24-25 BLK 254</v>
      </c>
      <c r="D1045" s="1">
        <v>1074.33</v>
      </c>
    </row>
    <row r="1046" spans="1:4" x14ac:dyDescent="0.3">
      <c r="A1046" s="1" t="str">
        <f>"20000262900"</f>
        <v>20000262900</v>
      </c>
      <c r="B1046" s="1" t="str">
        <f>"AUMILLER DOUGLAS W, AUMILLER KATHRYNE L"</f>
        <v>AUMILLER DOUGLAS W, AUMILLER KATHRYNE L</v>
      </c>
      <c r="C1046" s="1" t="str">
        <f>"WENWOOD DR RIDGEWOOD ESTATES 2 48 BLK 8 "</f>
        <v xml:space="preserve">WENWOOD DR RIDGEWOOD ESTATES 2 48 BLK 8 </v>
      </c>
      <c r="D1046" s="1">
        <v>384.03</v>
      </c>
    </row>
    <row r="1047" spans="1:4" x14ac:dyDescent="0.3">
      <c r="A1047" s="1" t="str">
        <f>"27400153000"</f>
        <v>27400153000</v>
      </c>
      <c r="B1047" s="1" t="str">
        <f>"AUMILLER JUNE S"</f>
        <v>AUMILLER JUNE S</v>
      </c>
      <c r="C1047" s="1" t="str">
        <f>"THE VILLAS AT GLENEALY CONDOMINIUM 9TH AMD UNIT 14-6267"</f>
        <v>THE VILLAS AT GLENEALY CONDOMINIUM 9TH AMD UNIT 14-6267</v>
      </c>
      <c r="D1047" s="1">
        <v>357.79</v>
      </c>
    </row>
    <row r="1048" spans="1:4" x14ac:dyDescent="0.3">
      <c r="A1048" s="1" t="str">
        <f>"01010910800"</f>
        <v>01010910800</v>
      </c>
      <c r="B1048" s="1" t="str">
        <f>"AURELIA WAY LLC"</f>
        <v>AURELIA WAY LLC</v>
      </c>
      <c r="C1048" s="1" t="str">
        <f>"MARCIA DR ARLINGTON PARK TR 2 LOT 2 BLK G"</f>
        <v>MARCIA DR ARLINGTON PARK TR 2 LOT 2 BLK G</v>
      </c>
      <c r="D1048" s="1">
        <v>2347.33</v>
      </c>
    </row>
    <row r="1049" spans="1:4" x14ac:dyDescent="0.3">
      <c r="A1049" s="1" t="str">
        <f>"01002484400"</f>
        <v>01002484400</v>
      </c>
      <c r="B1049" s="1" t="str">
        <f>"AURUM ENTERPRISES LLC"</f>
        <v>AURUM ENTERPRISES LLC</v>
      </c>
      <c r="C1049" s="1" t="str">
        <f>"376-78 N GARFIELD AVE JONES ADDITION PT LOT 95"</f>
        <v>376-78 N GARFIELD AVE JONES ADDITION PT LOT 95</v>
      </c>
      <c r="D1049" s="1">
        <v>1417.27</v>
      </c>
    </row>
    <row r="1050" spans="1:4" x14ac:dyDescent="0.3">
      <c r="A1050" s="1" t="str">
        <f>"16100001900"</f>
        <v>16100001900</v>
      </c>
      <c r="B1050" s="1" t="str">
        <f>"AUSTIN DOROTHY L"</f>
        <v>AUSTIN DOROTHY L</v>
      </c>
      <c r="C1050" s="1" t="str">
        <f>"1ST AVE LOT 56 PT 57 URBANCREST BLK 2"</f>
        <v>1ST AVE LOT 56 PT 57 URBANCREST BLK 2</v>
      </c>
      <c r="D1050" s="1">
        <v>1225.96</v>
      </c>
    </row>
    <row r="1051" spans="1:4" x14ac:dyDescent="0.3">
      <c r="A1051" s="1" t="str">
        <f>"16100098100"</f>
        <v>16100098100</v>
      </c>
      <c r="B1051" s="1" t="str">
        <f>"AUSTIN DOROTHY L"</f>
        <v>AUSTIN DOROTHY L</v>
      </c>
      <c r="C1051" s="1" t="str">
        <f>"3764 THIRD AVE DARNELLS ADDN TO URBANCREST 43"</f>
        <v>3764 THIRD AVE DARNELLS ADDN TO URBANCREST 43</v>
      </c>
      <c r="D1051" s="1">
        <v>102.88</v>
      </c>
    </row>
    <row r="1052" spans="1:4" x14ac:dyDescent="0.3">
      <c r="A1052" s="1" t="str">
        <f>"16100105200"</f>
        <v>16100105200</v>
      </c>
      <c r="B1052" s="1" t="str">
        <f>"AUSTIN DOROTHY L"</f>
        <v>AUSTIN DOROTHY L</v>
      </c>
      <c r="C1052" s="1" t="str">
        <f>"FIRST AVE LOT 58 PT 57 URBANCREST LOT 30"</f>
        <v>FIRST AVE LOT 58 PT 57 URBANCREST LOT 30</v>
      </c>
      <c r="D1052" s="1">
        <v>1225.96</v>
      </c>
    </row>
    <row r="1053" spans="1:4" x14ac:dyDescent="0.3">
      <c r="A1053" s="1" t="str">
        <f>"01004474700"</f>
        <v>01004474700</v>
      </c>
      <c r="B1053" s="1" t="str">
        <f>"AUSTIN DOROTHY L"</f>
        <v>AUSTIN DOROTHY L</v>
      </c>
      <c r="C1053" s="1" t="str">
        <f>"1124-1126 E MOUND ST 27X106FT BEARD SUB 10"</f>
        <v>1124-1126 E MOUND ST 27X106FT BEARD SUB 10</v>
      </c>
      <c r="D1053" s="1">
        <v>726.87</v>
      </c>
    </row>
    <row r="1054" spans="1:4" x14ac:dyDescent="0.3">
      <c r="A1054" s="1" t="str">
        <f>"01015642600"</f>
        <v>01015642600</v>
      </c>
      <c r="B1054" s="1" t="str">
        <f>"AUSTIN JUDITH M"</f>
        <v>AUSTIN JUDITH M</v>
      </c>
      <c r="C1054" s="1" t="str">
        <f>"QUEENSWOOD COURT QUEENSWOOD SUBDIV LOT 166"</f>
        <v>QUEENSWOOD COURT QUEENSWOOD SUBDIV LOT 166</v>
      </c>
      <c r="D1054" s="1">
        <v>82.43</v>
      </c>
    </row>
    <row r="1055" spans="1:4" x14ac:dyDescent="0.3">
      <c r="A1055" s="1" t="str">
        <f>"01016526300"</f>
        <v>01016526300</v>
      </c>
      <c r="B1055" s="1" t="str">
        <f>"AUSTIN MICHAEL JR"</f>
        <v>AUSTIN MICHAEL JR</v>
      </c>
      <c r="C1055" s="1" t="str">
        <f>"1765 DUNEDIN RD KENMORE KNOLLS WS LOT 38&amp;ALL 39"</f>
        <v>1765 DUNEDIN RD KENMORE KNOLLS WS LOT 38&amp;ALL 39</v>
      </c>
      <c r="D1055" s="1">
        <v>2690.29</v>
      </c>
    </row>
    <row r="1056" spans="1:4" x14ac:dyDescent="0.3">
      <c r="A1056" s="1" t="str">
        <f>"16100110500"</f>
        <v>16100110500</v>
      </c>
      <c r="B1056" s="1" t="str">
        <f>"AUSTIN THERESA M TTEE"</f>
        <v>AUSTIN THERESA M TTEE</v>
      </c>
      <c r="C1056" s="1" t="str">
        <f>"3772 2ND AVE DARNELLS ADD URBANCR LOT 10"</f>
        <v>3772 2ND AVE DARNELLS ADD URBANCR LOT 10</v>
      </c>
      <c r="D1056" s="1">
        <v>467.86</v>
      </c>
    </row>
    <row r="1057" spans="1:4" x14ac:dyDescent="0.3">
      <c r="A1057" s="1" t="str">
        <f>"01003698000"</f>
        <v>01003698000</v>
      </c>
      <c r="B1057" s="1" t="str">
        <f>"AVA CAL EAST BAY LLC"</f>
        <v>AVA CAL EAST BAY LLC</v>
      </c>
      <c r="C1057" s="1" t="str">
        <f>"960-962 SO OHIO AVE OLD ORCHARD LOT 163"</f>
        <v>960-962 SO OHIO AVE OLD ORCHARD LOT 163</v>
      </c>
      <c r="D1057" s="1">
        <v>2284.1799999999998</v>
      </c>
    </row>
    <row r="1058" spans="1:4" x14ac:dyDescent="0.3">
      <c r="A1058" s="1" t="str">
        <f>"01000008100"</f>
        <v>01000008100</v>
      </c>
      <c r="B1058" s="1" t="str">
        <f>"AVAREN REAL ESTATE LLC"</f>
        <v>AVAREN REAL ESTATE LLC</v>
      </c>
      <c r="C1058" s="1" t="str">
        <f>"545 CLINE ST KLEINS LOT 31"</f>
        <v>545 CLINE ST KLEINS LOT 31</v>
      </c>
      <c r="D1058" s="1">
        <v>2487.64</v>
      </c>
    </row>
    <row r="1059" spans="1:4" x14ac:dyDescent="0.3">
      <c r="A1059" s="1" t="str">
        <f>"01007646700"</f>
        <v>01007646700</v>
      </c>
      <c r="B1059" s="1" t="str">
        <f>"AVAZZADE SULEYMAN, ABDURAHIMOV JAVID"</f>
        <v>AVAZZADE SULEYMAN, ABDURAHIMOV JAVID</v>
      </c>
      <c r="C1059" s="1" t="str">
        <f>"2623 BEULAH RD EAST GLEN ECHO LOT 36"</f>
        <v>2623 BEULAH RD EAST GLEN ECHO LOT 36</v>
      </c>
      <c r="D1059" s="1">
        <v>2464.6799999999998</v>
      </c>
    </row>
    <row r="1060" spans="1:4" x14ac:dyDescent="0.3">
      <c r="A1060" s="1" t="str">
        <f>"01003348300"</f>
        <v>01003348300</v>
      </c>
      <c r="B1060" s="1" t="str">
        <f>"AVENDANO YOHANNA KARINA"</f>
        <v>AVENDANO YOHANNA KARINA</v>
      </c>
      <c r="C1060" s="1" t="str">
        <f>"155 N WAYNE AVE EUREKA LOT 40"</f>
        <v>155 N WAYNE AVE EUREKA LOT 40</v>
      </c>
      <c r="D1060" s="1">
        <v>2339.65</v>
      </c>
    </row>
    <row r="1061" spans="1:4" x14ac:dyDescent="0.3">
      <c r="A1061" s="1" t="str">
        <f>"01000249300"</f>
        <v>01000249300</v>
      </c>
      <c r="B1061" s="1" t="str">
        <f>"AVENGERS NATIONAL INC"</f>
        <v>AVENGERS NATIONAL INC</v>
      </c>
      <c r="C1061" s="1" t="str">
        <f>"152 GUILFORD GUILFORD PARK LOT 69"</f>
        <v>152 GUILFORD GUILFORD PARK LOT 69</v>
      </c>
      <c r="D1061" s="1">
        <v>2.34</v>
      </c>
    </row>
    <row r="1062" spans="1:4" x14ac:dyDescent="0.3">
      <c r="A1062" s="1" t="str">
        <f>"18000051400"</f>
        <v>18000051400</v>
      </c>
      <c r="B1062" s="1" t="str">
        <f>"AVERY CHERYL"</f>
        <v>AVERY CHERYL</v>
      </c>
      <c r="C1062" s="1" t="str">
        <f>"GERLING BLVD 18FT ES LT61 &amp; ALL LT62 EDGEWATER PK PARCELS"</f>
        <v>GERLING BLVD 18FT ES LT61 &amp; ALL LT62 EDGEWATER PK PARCELS</v>
      </c>
      <c r="D1062" s="1">
        <v>429.71</v>
      </c>
    </row>
    <row r="1063" spans="1:4" x14ac:dyDescent="0.3">
      <c r="A1063" s="1" t="str">
        <f>"01026564400"</f>
        <v>01026564400</v>
      </c>
      <c r="B1063" s="1" t="str">
        <f>"AVERY ROAD COLUMBUS LLC"</f>
        <v>AVERY ROAD COLUMBUS LLC</v>
      </c>
      <c r="C1063" s="1" t="str">
        <f>"AVERY RD ENTRY 3012 27.573 ACRES"</f>
        <v>AVERY RD ENTRY 3012 27.573 ACRES</v>
      </c>
      <c r="D1063" s="1">
        <v>64.040000000000006</v>
      </c>
    </row>
    <row r="1064" spans="1:4" x14ac:dyDescent="0.3">
      <c r="A1064" s="1" t="str">
        <f>"61019353800"</f>
        <v>61019353800</v>
      </c>
      <c r="B1064" s="1" t="str">
        <f>"AVILA EDGAR R, MERCADO NORIS C"</f>
        <v>AVILA EDGAR R, MERCADO NORIS C</v>
      </c>
      <c r="C1064" s="1" t="str">
        <f>"TRANQUIL DR WORTHINGTON WOODS 3 LOT 143"</f>
        <v>TRANQUIL DR WORTHINGTON WOODS 3 LOT 143</v>
      </c>
      <c r="D1064" s="1">
        <v>3851.61</v>
      </c>
    </row>
    <row r="1065" spans="1:4" x14ac:dyDescent="0.3">
      <c r="A1065" s="1" t="str">
        <f>"61019308800"</f>
        <v>61019308800</v>
      </c>
      <c r="B1065" s="1" t="str">
        <f>"AVITO MANAGEMENT LLC"</f>
        <v>AVITO MANAGEMENT LLC</v>
      </c>
      <c r="C1065" s="1" t="str">
        <f>"PARK PLACE DR PARK PLACE LOT 7"</f>
        <v>PARK PLACE DR PARK PLACE LOT 7</v>
      </c>
      <c r="D1065" s="1">
        <v>1684.22</v>
      </c>
    </row>
    <row r="1066" spans="1:4" x14ac:dyDescent="0.3">
      <c r="A1066" s="1" t="str">
        <f>"61019308900"</f>
        <v>61019308900</v>
      </c>
      <c r="B1066" s="1" t="str">
        <f>"AVITO MANAGEMENT LLC"</f>
        <v>AVITO MANAGEMENT LLC</v>
      </c>
      <c r="C1066" s="1" t="str">
        <f>"PARK PLACE DR PARK PLACE LOT 8"</f>
        <v>PARK PLACE DR PARK PLACE LOT 8</v>
      </c>
      <c r="D1066" s="1">
        <v>1727.87</v>
      </c>
    </row>
    <row r="1067" spans="1:4" x14ac:dyDescent="0.3">
      <c r="A1067" s="1" t="str">
        <f>"01008153700"</f>
        <v>01008153700</v>
      </c>
      <c r="B1067" s="1" t="str">
        <f>"AVONDALE HOMES LLC"</f>
        <v>AVONDALE HOMES LLC</v>
      </c>
      <c r="C1067" s="1" t="str">
        <f>"WHITETHORNE AVE HIGH RIDGE EXT LOT 19 BLK 8"</f>
        <v>WHITETHORNE AVE HIGH RIDGE EXT LOT 19 BLK 8</v>
      </c>
      <c r="D1067" s="1">
        <v>1633.72</v>
      </c>
    </row>
    <row r="1068" spans="1:4" x14ac:dyDescent="0.3">
      <c r="A1068" s="1" t="str">
        <f>"01010402300"</f>
        <v>01010402300</v>
      </c>
      <c r="B1068" s="1" t="str">
        <f>"AVONDALE HOMES LLC"</f>
        <v>AVONDALE HOMES LLC</v>
      </c>
      <c r="C1068" s="1" t="str">
        <f>"ELLSWORTH AVE BAUMANNS LOCKBOURNE LOT 62-63"</f>
        <v>ELLSWORTH AVE BAUMANNS LOCKBOURNE LOT 62-63</v>
      </c>
      <c r="D1068" s="1">
        <v>2794.94</v>
      </c>
    </row>
    <row r="1069" spans="1:4" x14ac:dyDescent="0.3">
      <c r="A1069" s="1" t="str">
        <f>"01008141400"</f>
        <v>01008141400</v>
      </c>
      <c r="B1069" s="1" t="str">
        <f>"AVONDALE HOMES LLC"</f>
        <v>AVONDALE HOMES LLC</v>
      </c>
      <c r="C1069" s="1" t="str">
        <f>"BELVIDERE AVE HIGH RIDGE EXT LOT 3-4 BLK 2"</f>
        <v>BELVIDERE AVE HIGH RIDGE EXT LOT 3-4 BLK 2</v>
      </c>
      <c r="D1069" s="1">
        <v>2220.98</v>
      </c>
    </row>
    <row r="1070" spans="1:4" x14ac:dyDescent="0.3">
      <c r="A1070" s="1" t="str">
        <f>"01005893600"</f>
        <v>01005893600</v>
      </c>
      <c r="B1070" s="1" t="str">
        <f>"AVONDALE HOMES LLC"</f>
        <v>AVONDALE HOMES LLC</v>
      </c>
      <c r="C1070" s="1" t="str">
        <f>"1068 CABLE AVE SULLIVANT SUB 42 PT LOT 3 &amp; PT VAC AL"</f>
        <v>1068 CABLE AVE SULLIVANT SUB 42 PT LOT 3 &amp; PT VAC AL</v>
      </c>
      <c r="D1070" s="1">
        <v>24.42</v>
      </c>
    </row>
    <row r="1071" spans="1:4" x14ac:dyDescent="0.3">
      <c r="A1071" s="1" t="str">
        <f>"01000692800"</f>
        <v>01000692800</v>
      </c>
      <c r="B1071" s="1" t="str">
        <f>"AVONDALE HOMES LLC"</f>
        <v>AVONDALE HOMES LLC</v>
      </c>
      <c r="C1071" s="1" t="str">
        <f>"PRINCETON AVE WEST PARK ADD - LOT 781 (30.63'X131') VACANT LOT"</f>
        <v>PRINCETON AVE WEST PARK ADD - LOT 781 (30.63'X131') VACANT LOT</v>
      </c>
      <c r="D1071" s="1">
        <v>355.21</v>
      </c>
    </row>
    <row r="1072" spans="1:4" x14ac:dyDescent="0.3">
      <c r="A1072" s="1" t="str">
        <f>"01005363000"</f>
        <v>01005363000</v>
      </c>
      <c r="B1072" s="1" t="str">
        <f>"AVONDALE HOMES LLC"</f>
        <v>AVONDALE HOMES LLC</v>
      </c>
      <c r="C1072" s="1" t="str">
        <f>"CABLE AVE J .S. SULLIVANT'S SUB - PT LOT 42 &amp; PT VAC ALLEY IRREGULAR SHAPE - VACANT LOT"</f>
        <v>CABLE AVE J .S. SULLIVANT'S SUB - PT LOT 42 &amp; PT VAC ALLEY IRREGULAR SHAPE - VACANT LOT</v>
      </c>
      <c r="D1072" s="1">
        <v>377.5</v>
      </c>
    </row>
    <row r="1073" spans="1:4" x14ac:dyDescent="0.3">
      <c r="A1073" s="1" t="str">
        <f>"01000089300"</f>
        <v>01000089300</v>
      </c>
      <c r="B1073" s="1" t="str">
        <f>"AVONDALE HOMES LLC"</f>
        <v>AVONDALE HOMES LLC</v>
      </c>
      <c r="C1073" s="1" t="str">
        <f>"1047 SULLIVANT AVONDALE LOT 18 "</f>
        <v xml:space="preserve">1047 SULLIVANT AVONDALE LOT 18 </v>
      </c>
      <c r="D1073" s="1">
        <v>334.49</v>
      </c>
    </row>
    <row r="1074" spans="1:4" x14ac:dyDescent="0.3">
      <c r="A1074" s="1" t="str">
        <f>"01007613100"</f>
        <v>01007613100</v>
      </c>
      <c r="B1074" s="1" t="str">
        <f>"AWA ENTERPRISES LLC"</f>
        <v>AWA ENTERPRISES LLC</v>
      </c>
      <c r="C1074" s="1" t="str">
        <f>"1199 MINNESOTA AVE MINNESOTA PLC LOT 58"</f>
        <v>1199 MINNESOTA AVE MINNESOTA PLC LOT 58</v>
      </c>
      <c r="D1074" s="1">
        <v>2242.16</v>
      </c>
    </row>
    <row r="1075" spans="1:4" x14ac:dyDescent="0.3">
      <c r="A1075" s="1" t="str">
        <f>"01009427700"</f>
        <v>01009427700</v>
      </c>
      <c r="B1075" s="1" t="str">
        <f>"AWALOM SAMSON"</f>
        <v>AWALOM SAMSON</v>
      </c>
      <c r="C1075" s="1" t="str">
        <f>"86/-68 N CASSADY AVE .3114 ACRES R17 T1 S3 1/2 S 4-20"</f>
        <v>86/-68 N CASSADY AVE .3114 ACRES R17 T1 S3 1/2 S 4-20</v>
      </c>
      <c r="D1075" s="1">
        <v>111.95</v>
      </c>
    </row>
    <row r="1076" spans="1:4" x14ac:dyDescent="0.3">
      <c r="A1076" s="1" t="str">
        <f>"01000977400"</f>
        <v>01000977400</v>
      </c>
      <c r="B1076" s="1" t="str">
        <f>"AWALOM SAMSON"</f>
        <v>AWALOM SAMSON</v>
      </c>
      <c r="C1076" s="1" t="str">
        <f>"791 DAWSON AVE BEXLEY VIEW 3 LOT 24"</f>
        <v>791 DAWSON AVE BEXLEY VIEW 3 LOT 24</v>
      </c>
      <c r="D1076" s="1">
        <v>91.58</v>
      </c>
    </row>
    <row r="1077" spans="1:4" x14ac:dyDescent="0.3">
      <c r="A1077" s="1" t="str">
        <f>"01026721200"</f>
        <v>01026721200</v>
      </c>
      <c r="B1077" s="1" t="str">
        <f>"AWALOW SAMSON"</f>
        <v>AWALOW SAMSON</v>
      </c>
      <c r="C1077" s="1" t="str">
        <f>"VILLAGE AT EASTERN GLEN S-F HOMES CONDO 12TH AMD UNIT DESIGNATION 125"</f>
        <v>VILLAGE AT EASTERN GLEN S-F HOMES CONDO 12TH AMD UNIT DESIGNATION 125</v>
      </c>
      <c r="D1077" s="1">
        <v>160.24</v>
      </c>
    </row>
    <row r="1078" spans="1:4" x14ac:dyDescent="0.3">
      <c r="A1078" s="1" t="str">
        <f>"17100101900"</f>
        <v>17100101900</v>
      </c>
      <c r="B1078" s="1" t="str">
        <f>"AWOLE OMMER HUSSEN, BUTA SITI TURGA"</f>
        <v>AWOLE OMMER HUSSEN, BUTA SITI TURGA</v>
      </c>
      <c r="C1078" s="1" t="str">
        <f>"POPLAR CREEK COURT WAGGONER CHASE NORTH LOT 51"</f>
        <v>POPLAR CREEK COURT WAGGONER CHASE NORTH LOT 51</v>
      </c>
      <c r="D1078" s="1">
        <v>291.67</v>
      </c>
    </row>
    <row r="1079" spans="1:4" x14ac:dyDescent="0.3">
      <c r="A1079" s="1" t="str">
        <f>"56023371700"</f>
        <v>56023371700</v>
      </c>
      <c r="B1079" s="1" t="str">
        <f>"AWWAD MOHAMMAD"</f>
        <v>AWWAD MOHAMMAD</v>
      </c>
      <c r="C1079" s="1" t="str">
        <f>"THE VILLAGE AT THORNAPPLE SECTION 4 LOT 146"</f>
        <v>THE VILLAGE AT THORNAPPLE SECTION 4 LOT 146</v>
      </c>
      <c r="D1079" s="1">
        <v>5019.04</v>
      </c>
    </row>
    <row r="1080" spans="1:4" x14ac:dyDescent="0.3">
      <c r="A1080" s="1" t="str">
        <f>"11300080400"</f>
        <v>11300080400</v>
      </c>
      <c r="B1080" s="1" t="str">
        <f>"AXE4 LLC"</f>
        <v>AXE4 LLC</v>
      </c>
      <c r="C1080" s="1" t="str">
        <f>"2662 WILDWOOD ROAD MINERVA PARK 426"</f>
        <v>2662 WILDWOOD ROAD MINERVA PARK 426</v>
      </c>
      <c r="D1080" s="1">
        <v>2166.8200000000002</v>
      </c>
    </row>
    <row r="1081" spans="1:4" x14ac:dyDescent="0.3">
      <c r="A1081" s="1" t="str">
        <f>"01009047800"</f>
        <v>01009047800</v>
      </c>
      <c r="B1081" s="1" t="str">
        <f>"AXELROD DANEEN M"</f>
        <v>AXELROD DANEEN M</v>
      </c>
      <c r="C1081" s="1" t="str">
        <f>"2808 E LIVINGSTON AV EASTMINISTER ADD LOT 255"</f>
        <v>2808 E LIVINGSTON AV EASTMINISTER ADD LOT 255</v>
      </c>
      <c r="D1081" s="1">
        <v>2013.25</v>
      </c>
    </row>
    <row r="1082" spans="1:4" x14ac:dyDescent="0.3">
      <c r="A1082" s="1" t="str">
        <f>"01018319000"</f>
        <v>01018319000</v>
      </c>
      <c r="B1082" s="1" t="str">
        <f>"AXELRUD MIRA TTEE"</f>
        <v>AXELRUD MIRA TTEE</v>
      </c>
      <c r="C1082" s="1" t="str">
        <f>"SCOTLAND YARD CONDO UNIT 5776 BLDG 24 "</f>
        <v xml:space="preserve">SCOTLAND YARD CONDO UNIT 5776 BLDG 24 </v>
      </c>
      <c r="D1082" s="1">
        <v>723.11</v>
      </c>
    </row>
    <row r="1083" spans="1:4" x14ac:dyDescent="0.3">
      <c r="A1083" s="1" t="str">
        <f>"57019139700"</f>
        <v>57019139700</v>
      </c>
      <c r="B1083" s="1" t="str">
        <f>"AYALA ALEX"</f>
        <v>AYALA ALEX</v>
      </c>
      <c r="C1083" s="1" t="str">
        <f>"ELIOTS OAK RD ENTRY 1425 .184 ACRE"</f>
        <v>ELIOTS OAK RD ENTRY 1425 .184 ACRE</v>
      </c>
      <c r="D1083" s="1">
        <v>2798.8</v>
      </c>
    </row>
    <row r="1084" spans="1:4" x14ac:dyDescent="0.3">
      <c r="A1084" s="1" t="str">
        <f>"01016217000"</f>
        <v>01016217000</v>
      </c>
      <c r="B1084" s="1" t="str">
        <f>"AYALA ALEX TR (ZIOLA AND RENE AYALA ASSET PROTECTION TRUST)"</f>
        <v>AYALA ALEX TR (ZIOLA AND RENE AYALA ASSET PROTECTION TRUST)</v>
      </c>
      <c r="C1084" s="1" t="str">
        <f>"TISHMAN STREET ALICE RITA LOT 77"</f>
        <v>TISHMAN STREET ALICE RITA LOT 77</v>
      </c>
      <c r="D1084" s="1">
        <v>2389.8200000000002</v>
      </c>
    </row>
    <row r="1085" spans="1:4" x14ac:dyDescent="0.3">
      <c r="A1085" s="1" t="str">
        <f>"01004643800"</f>
        <v>01004643800</v>
      </c>
      <c r="B1085" s="1" t="str">
        <f>"AYALA CAMILO JR, WEST AYALA TAMMIE"</f>
        <v>AYALA CAMILO JR, WEST AYALA TAMMIE</v>
      </c>
      <c r="C1085" s="1" t="str">
        <f>"947 LEONA AVE SA SHOEMAKER HRS 4FT ES LOT 195 &amp; ALL 196"</f>
        <v>947 LEONA AVE SA SHOEMAKER HRS 4FT ES LOT 195 &amp; ALL 196</v>
      </c>
      <c r="D1085" s="1">
        <v>1345.14</v>
      </c>
    </row>
    <row r="1086" spans="1:4" x14ac:dyDescent="0.3">
      <c r="A1086" s="1" t="str">
        <f>"01006486100"</f>
        <v>01006486100</v>
      </c>
      <c r="B1086" s="1" t="str">
        <f>"AYALABEAR LLC"</f>
        <v>AYALABEAR LLC</v>
      </c>
      <c r="C1086" s="1" t="str">
        <f>"BRETTON PL MULBUR PARK LOT 27"</f>
        <v>BRETTON PL MULBUR PARK LOT 27</v>
      </c>
      <c r="D1086" s="1">
        <v>2213.4</v>
      </c>
    </row>
    <row r="1087" spans="1:4" x14ac:dyDescent="0.3">
      <c r="A1087" s="1" t="str">
        <f>"01025041900"</f>
        <v>01025041900</v>
      </c>
      <c r="B1087" s="1" t="str">
        <f>"AYCOCK MARY BETH, AYCOCK JORDAN NEIL"</f>
        <v>AYCOCK MARY BETH, AYCOCK JORDAN NEIL</v>
      </c>
      <c r="C1087" s="1" t="str">
        <f>"JOES WAY EDMAR TARIS SUBDIVISION SECTION 2 LOT 54"</f>
        <v>JOES WAY EDMAR TARIS SUBDIVISION SECTION 2 LOT 54</v>
      </c>
      <c r="D1087" s="1">
        <v>4551.7700000000004</v>
      </c>
    </row>
    <row r="1088" spans="1:4" x14ac:dyDescent="0.3">
      <c r="A1088" s="1" t="str">
        <f>"24000011100"</f>
        <v>24000011100</v>
      </c>
      <c r="B1088" s="1" t="str">
        <f>"AYERS ABRAHAM"</f>
        <v>AYERS ABRAHAM</v>
      </c>
      <c r="C1088" s="1" t="str">
        <f>"GALLOWAY PIKE OQ 1000 ENTRY 1473 .46 ACRES"</f>
        <v>GALLOWAY PIKE OQ 1000 ENTRY 1473 .46 ACRES</v>
      </c>
      <c r="D1088" s="1">
        <v>2250.9899999999998</v>
      </c>
    </row>
    <row r="1089" spans="1:4" x14ac:dyDescent="0.3">
      <c r="A1089" s="1" t="str">
        <f>"01002789800"</f>
        <v>01002789800</v>
      </c>
      <c r="B1089" s="1" t="str">
        <f>"AYINUOLA KOLAWOLE"</f>
        <v>AYINUOLA KOLAWOLE</v>
      </c>
      <c r="C1089" s="1" t="str">
        <f>"1544-46 GRANVILLE ST WOODLAND PARK LOT 52"</f>
        <v>1544-46 GRANVILLE ST WOODLAND PARK LOT 52</v>
      </c>
      <c r="D1089" s="1">
        <v>2588.0700000000002</v>
      </c>
    </row>
    <row r="1090" spans="1:4" x14ac:dyDescent="0.3">
      <c r="A1090" s="1" t="str">
        <f>"60015351100"</f>
        <v>60015351100</v>
      </c>
      <c r="B1090" s="1" t="str">
        <f>"AYITEY YAO"</f>
        <v>AYITEY YAO</v>
      </c>
      <c r="C1090" s="1" t="str">
        <f>"PARKLANE AVE PARKRIDGE VILLAGE LOT 21"</f>
        <v>PARKLANE AVE PARKRIDGE VILLAGE LOT 21</v>
      </c>
      <c r="D1090" s="1">
        <v>2234.61</v>
      </c>
    </row>
    <row r="1091" spans="1:4" x14ac:dyDescent="0.3">
      <c r="A1091" s="1" t="str">
        <f>"24000534700"</f>
        <v>24000534700</v>
      </c>
      <c r="B1091" s="1" t="str">
        <f>"AYLE LINDA S"</f>
        <v>AYLE LINDA S</v>
      </c>
      <c r="C1091" s="1" t="str">
        <f>"EDGEWATER AV LAKE DARBY EST 1 LOT 132"</f>
        <v>EDGEWATER AV LAKE DARBY EST 1 LOT 132</v>
      </c>
      <c r="D1091" s="1">
        <v>2483.48</v>
      </c>
    </row>
    <row r="1092" spans="1:4" x14ac:dyDescent="0.3">
      <c r="A1092" s="1" t="str">
        <f>"27200037900"</f>
        <v>27200037900</v>
      </c>
      <c r="B1092" s="1" t="str">
        <f>"AYOUB SAMEH, AYOUB JALITZA"</f>
        <v>AYOUB SAMEH, AYOUB JALITZA</v>
      </c>
      <c r="C1092" s="1" t="str">
        <f>"HAYDEN RUN RD ENTRY 3012 1.059 ACRES"</f>
        <v>HAYDEN RUN RD ENTRY 3012 1.059 ACRES</v>
      </c>
      <c r="D1092" s="1">
        <v>7684.44</v>
      </c>
    </row>
    <row r="1093" spans="1:4" x14ac:dyDescent="0.3">
      <c r="A1093" s="1" t="str">
        <f>"01012878500"</f>
        <v>01012878500</v>
      </c>
      <c r="B1093" s="1" t="str">
        <f>"AYTCH LLC"</f>
        <v>AYTCH LLC</v>
      </c>
      <c r="C1093" s="1" t="str">
        <f>"KITCHNER DR WALNUT SPRINGS LOT 41"</f>
        <v>KITCHNER DR WALNUT SPRINGS LOT 41</v>
      </c>
      <c r="D1093" s="1">
        <v>1194.6500000000001</v>
      </c>
    </row>
    <row r="1094" spans="1:4" x14ac:dyDescent="0.3">
      <c r="A1094" s="1" t="str">
        <f>"01012879200"</f>
        <v>01012879200</v>
      </c>
      <c r="B1094" s="1" t="str">
        <f>"AYTCH LLC"</f>
        <v>AYTCH LLC</v>
      </c>
      <c r="C1094" s="1" t="str">
        <f>"KITCHNER DR WALNUT SPRINGS LOT 49"</f>
        <v>KITCHNER DR WALNUT SPRINGS LOT 49</v>
      </c>
      <c r="D1094" s="1">
        <v>1310.25</v>
      </c>
    </row>
    <row r="1095" spans="1:4" x14ac:dyDescent="0.3">
      <c r="A1095" s="1" t="str">
        <f>"01004262200"</f>
        <v>01004262200</v>
      </c>
      <c r="B1095" s="1" t="str">
        <f>"AYTCH LLC"</f>
        <v>AYTCH LLC</v>
      </c>
      <c r="C1095" s="1" t="str">
        <f>"27FRANKLINPARKWEST FRANKLIN PARK LOT 4"</f>
        <v>27FRANKLINPARKWEST FRANKLIN PARK LOT 4</v>
      </c>
      <c r="D1095" s="1">
        <v>2900</v>
      </c>
    </row>
    <row r="1096" spans="1:4" x14ac:dyDescent="0.3">
      <c r="A1096" s="1" t="str">
        <f>"01001167900"</f>
        <v>01001167900</v>
      </c>
      <c r="B1096" s="1" t="str">
        <f>"AYTCH LLC"</f>
        <v>AYTCH LLC</v>
      </c>
      <c r="C1096" s="1" t="str">
        <f>"47 WINNER AVE JONES &amp; DEAVER LOT 2"</f>
        <v>47 WINNER AVE JONES &amp; DEAVER LOT 2</v>
      </c>
      <c r="D1096" s="1">
        <v>2700</v>
      </c>
    </row>
    <row r="1097" spans="1:4" x14ac:dyDescent="0.3">
      <c r="A1097" s="1" t="str">
        <f>"01008094100"</f>
        <v>01008094100</v>
      </c>
      <c r="B1097" s="1" t="str">
        <f>"AYTCH LLC"</f>
        <v>AYTCH LLC</v>
      </c>
      <c r="C1097" s="1" t="str">
        <f>"1196 GEERS STREET DRIVING PARK LOT 442"</f>
        <v>1196 GEERS STREET DRIVING PARK LOT 442</v>
      </c>
      <c r="D1097" s="1">
        <v>1247.07</v>
      </c>
    </row>
    <row r="1098" spans="1:4" x14ac:dyDescent="0.3">
      <c r="A1098" s="1" t="str">
        <f>"01008027700"</f>
        <v>01008027700</v>
      </c>
      <c r="B1098" s="1" t="str">
        <f>"AYTCH LLC"</f>
        <v>AYTCH LLC</v>
      </c>
      <c r="C1098" s="1" t="str">
        <f>"FAIRWOOD AVE LENOX LOT 32"</f>
        <v>FAIRWOOD AVE LENOX LOT 32</v>
      </c>
      <c r="D1098" s="1">
        <v>107</v>
      </c>
    </row>
    <row r="1099" spans="1:4" x14ac:dyDescent="0.3">
      <c r="A1099" s="1" t="str">
        <f>"01013166200"</f>
        <v>01013166200</v>
      </c>
      <c r="B1099" s="1" t="str">
        <f>"AYTCH LLC"</f>
        <v>AYTCH LLC</v>
      </c>
      <c r="C1099" s="1" t="str">
        <f>"OMAR DR RADCLIFF LOT 106"</f>
        <v>OMAR DR RADCLIFF LOT 106</v>
      </c>
      <c r="D1099" s="1">
        <v>834.74</v>
      </c>
    </row>
    <row r="1100" spans="1:4" x14ac:dyDescent="0.3">
      <c r="A1100" s="1" t="str">
        <f>"01013278400"</f>
        <v>01013278400</v>
      </c>
      <c r="B1100" s="1" t="str">
        <f>"AYTCH LLC"</f>
        <v>AYTCH LLC</v>
      </c>
      <c r="C1100" s="1" t="str">
        <f>"SILVERBROOK DR SILVERBROOK HTS LOT 34"</f>
        <v>SILVERBROOK DR SILVERBROOK HTS LOT 34</v>
      </c>
      <c r="D1100" s="1">
        <v>1479.24</v>
      </c>
    </row>
    <row r="1101" spans="1:4" x14ac:dyDescent="0.3">
      <c r="A1101" s="1" t="str">
        <f>"56019717800"</f>
        <v>56019717800</v>
      </c>
      <c r="B1101" s="1" t="str">
        <f>"AZ PROPERTIES LLC"</f>
        <v>AZ PROPERTIES LLC</v>
      </c>
      <c r="C1101" s="1" t="str">
        <f>"4923 FARBER ROW DUBLIN COM CONDO TOWNHM XXXI UNIT B"</f>
        <v>4923 FARBER ROW DUBLIN COM CONDO TOWNHM XXXI UNIT B</v>
      </c>
      <c r="D1101" s="1">
        <v>132.99</v>
      </c>
    </row>
    <row r="1102" spans="1:4" x14ac:dyDescent="0.3">
      <c r="A1102" s="1" t="str">
        <f>"56019718100"</f>
        <v>56019718100</v>
      </c>
      <c r="B1102" s="1" t="str">
        <f>"AZ PROPERTIES LLC"</f>
        <v>AZ PROPERTIES LLC</v>
      </c>
      <c r="C1102" s="1" t="str">
        <f>"4929 FARBER ROW DUBLIN COM CONDO TOWNHM XXXI UNIT E"</f>
        <v>4929 FARBER ROW DUBLIN COM CONDO TOWNHM XXXI UNIT E</v>
      </c>
      <c r="D1102" s="1">
        <v>132.99</v>
      </c>
    </row>
    <row r="1103" spans="1:4" x14ac:dyDescent="0.3">
      <c r="A1103" s="1" t="str">
        <f>"01000277600"</f>
        <v>01000277600</v>
      </c>
      <c r="B1103" s="1" t="str">
        <f>"AZA PORTER ENTERPRISE LLC"</f>
        <v>AZA PORTER ENTERPRISE LLC</v>
      </c>
      <c r="C1103" s="1" t="str">
        <f>"364 CLARENDON AVE WESTWOOD HTS LOT 225"</f>
        <v>364 CLARENDON AVE WESTWOOD HTS LOT 225</v>
      </c>
      <c r="D1103" s="1">
        <v>786.42</v>
      </c>
    </row>
    <row r="1104" spans="1:4" x14ac:dyDescent="0.3">
      <c r="A1104" s="1" t="str">
        <f>"01007269100"</f>
        <v>01007269100</v>
      </c>
      <c r="B1104" s="1" t="str">
        <f>"AZE PROPERTIES LLC"</f>
        <v>AZE PROPERTIES LLC</v>
      </c>
      <c r="C1104" s="1" t="str">
        <f>"AZELDA AVE ALMADA LOT 524"</f>
        <v>AZELDA AVE ALMADA LOT 524</v>
      </c>
      <c r="D1104" s="1">
        <v>970.2</v>
      </c>
    </row>
    <row r="1105" spans="1:4" x14ac:dyDescent="0.3">
      <c r="A1105" s="1" t="str">
        <f>"01019437500"</f>
        <v>01019437500</v>
      </c>
      <c r="B1105" s="1" t="str">
        <f>"AZIZ MOHAMMED QASIM"</f>
        <v>AZIZ MOHAMMED QASIM</v>
      </c>
      <c r="C1105" s="1" t="str">
        <f>"1550-303 SLADE AVE NORTHAMPTON VILLAGE CONDO PH1 BLDG 5 UNIT 107"</f>
        <v>1550-303 SLADE AVE NORTHAMPTON VILLAGE CONDO PH1 BLDG 5 UNIT 107</v>
      </c>
      <c r="D1105" s="1">
        <v>1046.1099999999999</v>
      </c>
    </row>
    <row r="1106" spans="1:4" x14ac:dyDescent="0.3">
      <c r="A1106" s="1" t="str">
        <f>"02500270700"</f>
        <v>02500270700</v>
      </c>
      <c r="B1106" s="1" t="str">
        <f>"AZUNGAKWETE CALVIN, NOUBISSIE MARRION"</f>
        <v>AZUNGAKWETE CALVIN, NOUBISSIE MARRION</v>
      </c>
      <c r="C1106" s="1" t="str">
        <f>"319 BRONESS WAY ROYAL MANOR 2 878"</f>
        <v>319 BRONESS WAY ROYAL MANOR 2 878</v>
      </c>
      <c r="D1106" s="1">
        <v>5648.6</v>
      </c>
    </row>
    <row r="1107" spans="1:4" x14ac:dyDescent="0.3">
      <c r="A1107" s="1" t="str">
        <f>"07000512700"</f>
        <v>07000512700</v>
      </c>
      <c r="B1107" s="1" t="str">
        <f>"B &amp; B BUILDS LLC"</f>
        <v>B &amp; B BUILDS LLC</v>
      </c>
      <c r="C1107" s="1" t="str">
        <f>"2359 ZOLLINGER RD EAST CLEFT PT LOT 367"</f>
        <v>2359 ZOLLINGER RD EAST CLEFT PT LOT 367</v>
      </c>
      <c r="D1107" s="1">
        <v>7309.3</v>
      </c>
    </row>
    <row r="1108" spans="1:4" x14ac:dyDescent="0.3">
      <c r="A1108" s="1" t="str">
        <f>"01020250200"</f>
        <v>01020250200</v>
      </c>
      <c r="B1108" s="1" t="str">
        <f>"B &amp; N PROPERTIES LLC"</f>
        <v>B &amp; N PROPERTIES LLC</v>
      </c>
      <c r="C1108" s="1" t="str">
        <f>"LANE ON THE LAKE SHADOW LAKES CONDO BLDG 13 UNIT 1304"</f>
        <v>LANE ON THE LAKE SHADOW LAKES CONDO BLDG 13 UNIT 1304</v>
      </c>
      <c r="D1108" s="1">
        <v>1589.32</v>
      </c>
    </row>
    <row r="1109" spans="1:4" x14ac:dyDescent="0.3">
      <c r="A1109" s="1" t="str">
        <f>"01020250300"</f>
        <v>01020250300</v>
      </c>
      <c r="B1109" s="1" t="str">
        <f>"B &amp; N PROPERTIES LLC"</f>
        <v>B &amp; N PROPERTIES LLC</v>
      </c>
      <c r="C1109" s="1" t="str">
        <f>"LANE ON THE LAKE SHADOW LAKES CONDO BLDG 13 UNIT 1306"</f>
        <v>LANE ON THE LAKE SHADOW LAKES CONDO BLDG 13 UNIT 1306</v>
      </c>
      <c r="D1109" s="1">
        <v>1599.17</v>
      </c>
    </row>
    <row r="1110" spans="1:4" x14ac:dyDescent="0.3">
      <c r="A1110" s="1" t="str">
        <f>"01007562700"</f>
        <v>01007562700</v>
      </c>
      <c r="B1110" s="1" t="str">
        <f>"B A RHOADS INVESTMENTS LLC"</f>
        <v>B A RHOADS INVESTMENTS LLC</v>
      </c>
      <c r="C1110" s="1" t="str">
        <f>"GERBERT RD HOMESTEAD HEIGHTS LOT 290"</f>
        <v>GERBERT RD HOMESTEAD HEIGHTS LOT 290</v>
      </c>
      <c r="D1110" s="1">
        <v>694.78</v>
      </c>
    </row>
    <row r="1111" spans="1:4" x14ac:dyDescent="0.3">
      <c r="A1111" s="1" t="str">
        <f>"01007508900"</f>
        <v>01007508900</v>
      </c>
      <c r="B1111" s="1" t="str">
        <f>"B A RHOADS INVESTMENTS LLC"</f>
        <v>B A RHOADS INVESTMENTS LLC</v>
      </c>
      <c r="C1111" s="1" t="str">
        <f>"2370 GRASMERE AVE GRASMERE GARDENS LOT 326"</f>
        <v>2370 GRASMERE AVE GRASMERE GARDENS LOT 326</v>
      </c>
      <c r="D1111" s="1">
        <v>1092.7</v>
      </c>
    </row>
    <row r="1112" spans="1:4" x14ac:dyDescent="0.3">
      <c r="A1112" s="1" t="str">
        <f>"01004109500"</f>
        <v>01004109500</v>
      </c>
      <c r="B1112" s="1" t="str">
        <f>"B AND C REAL ESTATE HOLDINGS LLC"</f>
        <v>B AND C REAL ESTATE HOLDINGS LLC</v>
      </c>
      <c r="C1112" s="1" t="str">
        <f>"1348 HILDRETH AVE HILDREH&amp;CHTTENDEN LOT 54"</f>
        <v>1348 HILDRETH AVE HILDREH&amp;CHTTENDEN LOT 54</v>
      </c>
      <c r="D1112" s="1">
        <v>1562.76</v>
      </c>
    </row>
    <row r="1113" spans="1:4" x14ac:dyDescent="0.3">
      <c r="A1113" s="1" t="str">
        <f>"61024484000"</f>
        <v>61024484000</v>
      </c>
      <c r="B1113" s="1" t="str">
        <f>"B S HOMES LLC"</f>
        <v>B S HOMES LLC</v>
      </c>
      <c r="C1113" s="1" t="str">
        <f>"TERM WORTHINGTON ROW CONDO/TOWNHOME NO 25 0.317 ACRE"</f>
        <v>TERM WORTHINGTON ROW CONDO/TOWNHOME NO 25 0.317 ACRE</v>
      </c>
      <c r="D1113" s="1">
        <v>599.52</v>
      </c>
    </row>
    <row r="1114" spans="1:4" x14ac:dyDescent="0.3">
      <c r="A1114" s="1" t="str">
        <f>"60017685800"</f>
        <v>60017685800</v>
      </c>
      <c r="B1114" s="1" t="str">
        <f>"B&amp;N DEVELOPMENT LLC"</f>
        <v>B&amp;N DEVELOPMENT LLC</v>
      </c>
      <c r="C1114" s="1" t="str">
        <f>"MAGNOLIA BLOSSOM STRAWBERRY FARMS 4 LOT 225"</f>
        <v>MAGNOLIA BLOSSOM STRAWBERRY FARMS 4 LOT 225</v>
      </c>
      <c r="D1114" s="1">
        <v>2911.96</v>
      </c>
    </row>
    <row r="1115" spans="1:4" x14ac:dyDescent="0.3">
      <c r="A1115" s="1" t="str">
        <f>"01008108400"</f>
        <v>01008108400</v>
      </c>
      <c r="B1115" s="1" t="str">
        <f>"B2P2 LLC"</f>
        <v>B2P2 LLC</v>
      </c>
      <c r="C1115" s="1" t="str">
        <f>"CLEVELAWN PLACE CLEVELAWN LOT 63"</f>
        <v>CLEVELAWN PLACE CLEVELAWN LOT 63</v>
      </c>
      <c r="D1115" s="1">
        <v>206.84</v>
      </c>
    </row>
    <row r="1116" spans="1:4" x14ac:dyDescent="0.3">
      <c r="A1116" s="1" t="str">
        <f>"01028095400"</f>
        <v>01028095400</v>
      </c>
      <c r="B1116" s="1" t="str">
        <f>"BA ABDOULAYE, SEYNABOU NDIAYE MAME"</f>
        <v>BA ABDOULAYE, SEYNABOU NDIAYE MAME</v>
      </c>
      <c r="C1116" s="1" t="str">
        <f>"4217 TOWN PARK DRIVE MEADOWS AT SHANNON LAKES SECTION 2 LOT 109"</f>
        <v>4217 TOWN PARK DRIVE MEADOWS AT SHANNON LAKES SECTION 2 LOT 109</v>
      </c>
      <c r="D1116" s="1">
        <v>3131.63</v>
      </c>
    </row>
    <row r="1117" spans="1:4" x14ac:dyDescent="0.3">
      <c r="A1117" s="1" t="str">
        <f>"01002489000"</f>
        <v>01002489000</v>
      </c>
      <c r="B1117" s="1" t="str">
        <f>"BA JEAN C M"</f>
        <v>BA JEAN C M</v>
      </c>
      <c r="C1117" s="1" t="str">
        <f>"1277 EASTWOOD AVE JONES &amp; DEAVER LOT 41"</f>
        <v>1277 EASTWOOD AVE JONES &amp; DEAVER LOT 41</v>
      </c>
      <c r="D1117" s="1">
        <v>1953.15</v>
      </c>
    </row>
    <row r="1118" spans="1:4" x14ac:dyDescent="0.3">
      <c r="A1118" s="1" t="str">
        <f>"57018715700"</f>
        <v>57018715700</v>
      </c>
      <c r="B1118" s="1" t="str">
        <f>"BA RHOADS INVESTMENTS LLC"</f>
        <v>BA RHOADS INVESTMENTS LLC</v>
      </c>
      <c r="C1118" s="1" t="str">
        <f>"PIPERS MEADOW DR PIPERS MEADOW CONDO UNIT 5532 BLDG 12"</f>
        <v>PIPERS MEADOW DR PIPERS MEADOW CONDO UNIT 5532 BLDG 12</v>
      </c>
      <c r="D1118" s="1">
        <v>1085.68</v>
      </c>
    </row>
    <row r="1119" spans="1:4" x14ac:dyDescent="0.3">
      <c r="A1119" s="1" t="str">
        <f>"14000081100"</f>
        <v>14000081100</v>
      </c>
      <c r="B1119" s="1" t="str">
        <f>"BAARS BELINDA"</f>
        <v>BAARS BELINDA</v>
      </c>
      <c r="C1119" s="1" t="str">
        <f>"1038 HARRISBURG PI GIBSON PARK PLACE LOT 81"</f>
        <v>1038 HARRISBURG PI GIBSON PARK PLACE LOT 81</v>
      </c>
      <c r="D1119" s="1">
        <v>1430.24</v>
      </c>
    </row>
    <row r="1120" spans="1:4" x14ac:dyDescent="0.3">
      <c r="A1120" s="1" t="str">
        <f>"01012786500"</f>
        <v>01012786500</v>
      </c>
      <c r="B1120" s="1" t="str">
        <f>"BABBERT SHANE"</f>
        <v>BABBERT SHANE</v>
      </c>
      <c r="C1120" s="1" t="str">
        <f>"PINE HILLS LOT 509 "</f>
        <v xml:space="preserve">PINE HILLS LOT 509 </v>
      </c>
      <c r="D1120" s="1">
        <v>1313.84</v>
      </c>
    </row>
    <row r="1121" spans="1:4" x14ac:dyDescent="0.3">
      <c r="A1121" s="1" t="str">
        <f>"01020957600"</f>
        <v>01020957600</v>
      </c>
      <c r="B1121" s="1" t="str">
        <f>"BABBS DONNA, WEBER DENISE ANNETTE"</f>
        <v>BABBS DONNA, WEBER DENISE ANNETTE</v>
      </c>
      <c r="C1121" s="1" t="str">
        <f>"MASON RUN COURT MASON VILLAGE CONDO UNIT 2452"</f>
        <v>MASON RUN COURT MASON VILLAGE CONDO UNIT 2452</v>
      </c>
      <c r="D1121" s="1">
        <v>1131.94</v>
      </c>
    </row>
    <row r="1122" spans="1:4" x14ac:dyDescent="0.3">
      <c r="A1122" s="1" t="str">
        <f>"01007122100"</f>
        <v>01007122100</v>
      </c>
      <c r="B1122" s="1" t="str">
        <f>"BACK OF BEYOND LIMITED"</f>
        <v>BACK OF BEYOND LIMITED</v>
      </c>
      <c r="C1122" s="1" t="str">
        <f>"3736 N HIGH ST COR A RDEN ROAD DOMINION P ARK 8-9"</f>
        <v>3736 N HIGH ST COR A RDEN ROAD DOMINION P ARK 8-9</v>
      </c>
      <c r="D1122" s="1">
        <v>8799.34</v>
      </c>
    </row>
    <row r="1123" spans="1:4" x14ac:dyDescent="0.3">
      <c r="A1123" s="1" t="str">
        <f>"02000081700"</f>
        <v>02000081700</v>
      </c>
      <c r="B1123" s="1" t="str">
        <f>"BACKOFF JULIA R"</f>
        <v>BACKOFF JULIA R</v>
      </c>
      <c r="C1123" s="1" t="str">
        <f>"439 PARKVIEW AVE PARK VIEW LOT 1"</f>
        <v>439 PARKVIEW AVE PARK VIEW LOT 1</v>
      </c>
      <c r="D1123" s="1">
        <v>34042.75</v>
      </c>
    </row>
    <row r="1124" spans="1:4" x14ac:dyDescent="0.3">
      <c r="A1124" s="1" t="str">
        <f>"07000746900"</f>
        <v>07000746900</v>
      </c>
      <c r="B1124" s="1" t="str">
        <f>"BADGELEY BRYAN A"</f>
        <v>BADGELEY BRYAN A</v>
      </c>
      <c r="C1124" s="1" t="str">
        <f>"CLARMONT RE 201FT WE 111 &amp; 1/2 AMON LANE ADJ VAC WINDEMERE111"</f>
        <v>CLARMONT RE 201FT WE 111 &amp; 1/2 AMON LANE ADJ VAC WINDEMERE111</v>
      </c>
      <c r="D1124" s="1">
        <v>533.97</v>
      </c>
    </row>
    <row r="1125" spans="1:4" x14ac:dyDescent="0.3">
      <c r="A1125" s="1" t="str">
        <f>"07000746700"</f>
        <v>07000746700</v>
      </c>
      <c r="B1125" s="1" t="str">
        <f>"BADGELEY IRMA A TR"</f>
        <v>BADGELEY IRMA A TR</v>
      </c>
      <c r="C1125" s="1" t="str">
        <f>"4110 CLAIRMONT RD WINDEMER LOT 109-110"</f>
        <v>4110 CLAIRMONT RD WINDEMER LOT 109-110</v>
      </c>
      <c r="D1125" s="1">
        <v>439.04</v>
      </c>
    </row>
    <row r="1126" spans="1:4" x14ac:dyDescent="0.3">
      <c r="A1126" s="1" t="str">
        <f>"07000780000"</f>
        <v>07000780000</v>
      </c>
      <c r="B1126" s="1" t="str">
        <f>"BADGELEY JAMES P TR"</f>
        <v>BADGELEY JAMES P TR</v>
      </c>
      <c r="C1126" s="1" t="str">
        <f>"2493 MIDDLESEX RD AC .746 LOT 3-4-5URP WINDEMERE PARCEL 1-2"</f>
        <v>2493 MIDDLESEX RD AC .746 LOT 3-4-5URP WINDEMERE PARCEL 1-2</v>
      </c>
      <c r="D1126" s="1">
        <v>373.12</v>
      </c>
    </row>
    <row r="1127" spans="1:4" x14ac:dyDescent="0.3">
      <c r="A1127" s="1" t="str">
        <f>"07000349900"</f>
        <v>07000349900</v>
      </c>
      <c r="B1127" s="1" t="str">
        <f>"BAEHR DALE"</f>
        <v>BAEHR DALE</v>
      </c>
      <c r="C1127" s="1" t="str">
        <f>"2130 CAMBRIDGE BLVD UPPER ARLINGTON 14 BLK 115"</f>
        <v>2130 CAMBRIDGE BLVD UPPER ARLINGTON 14 BLK 115</v>
      </c>
      <c r="D1127" s="1">
        <v>4406.5</v>
      </c>
    </row>
    <row r="1128" spans="1:4" x14ac:dyDescent="0.3">
      <c r="A1128" s="1" t="str">
        <f>"01001870700"</f>
        <v>01001870700</v>
      </c>
      <c r="B1128" s="1" t="str">
        <f>"BAER DAVID"</f>
        <v>BAER DAVID</v>
      </c>
      <c r="C1128" s="1" t="str">
        <f>"335-37 KELSO RD CREST VIEW LOT1002-3"</f>
        <v>335-37 KELSO RD CREST VIEW LOT1002-3</v>
      </c>
      <c r="D1128" s="1">
        <v>7003.29</v>
      </c>
    </row>
    <row r="1129" spans="1:4" x14ac:dyDescent="0.3">
      <c r="A1129" s="1" t="str">
        <f>"05000410800"</f>
        <v>05000410800</v>
      </c>
      <c r="B1129" s="1" t="str">
        <f>"BAESMAN JACK CONRAD, DIAZ ALEJANDRA ANGELA"</f>
        <v>BAESMAN JACK CONRAD, DIAZ ALEJANDRA ANGELA</v>
      </c>
      <c r="C1129" s="1" t="str">
        <f>"3358 RIVER NARROWS RIVER LANDINGS SEC 1 LOT 27"</f>
        <v>3358 RIVER NARROWS RIVER LANDINGS SEC 1 LOT 27</v>
      </c>
      <c r="D1129" s="1">
        <v>5795.24</v>
      </c>
    </row>
    <row r="1130" spans="1:4" x14ac:dyDescent="0.3">
      <c r="A1130" s="1" t="str">
        <f>"01011351200"</f>
        <v>01011351200</v>
      </c>
      <c r="B1130" s="1" t="str">
        <f>"BAF ASSET 932 LLC"</f>
        <v>BAF ASSET 932 LLC</v>
      </c>
      <c r="C1130" s="1" t="str">
        <f>"DEXTER AVE S HIGH GARDENS LOT 39"</f>
        <v>DEXTER AVE S HIGH GARDENS LOT 39</v>
      </c>
      <c r="D1130" s="1">
        <v>1021.85</v>
      </c>
    </row>
    <row r="1131" spans="1:4" x14ac:dyDescent="0.3">
      <c r="A1131" s="1" t="str">
        <f>"01010297200"</f>
        <v>01010297200</v>
      </c>
      <c r="B1131" s="1" t="str">
        <f>"BAF ASSET 932 LLC"</f>
        <v>BAF ASSET 932 LLC</v>
      </c>
      <c r="C1131" s="1" t="str">
        <f>"GERALDINE AVE WOODLAND TERR LOT 18"</f>
        <v>GERALDINE AVE WOODLAND TERR LOT 18</v>
      </c>
      <c r="D1131" s="1">
        <v>1499.56</v>
      </c>
    </row>
    <row r="1132" spans="1:4" x14ac:dyDescent="0.3">
      <c r="A1132" s="1" t="str">
        <f>"24000215300"</f>
        <v>24000215300</v>
      </c>
      <c r="B1132" s="1" t="str">
        <f>"BAF ASSET 932 LLC"</f>
        <v>BAF ASSET 932 LLC</v>
      </c>
      <c r="C1132" s="1" t="str">
        <f>"OWEN ST ALL LOT 360 &amp; 15 FT ES LOT 361 ROME MANOR L 360-361"</f>
        <v>OWEN ST ALL LOT 360 &amp; 15 FT ES LOT 361 ROME MANOR L 360-361</v>
      </c>
      <c r="D1132" s="1">
        <v>1382.96</v>
      </c>
    </row>
    <row r="1133" spans="1:4" x14ac:dyDescent="0.3">
      <c r="A1133" s="1" t="str">
        <f>"01013418400"</f>
        <v>01013418400</v>
      </c>
      <c r="B1133" s="1" t="str">
        <f>"BAGLEY P WILLIAM"</f>
        <v>BAGLEY P WILLIAM</v>
      </c>
      <c r="C1133" s="1" t="str">
        <f>"FOREST PARK 3 LOT 564 "</f>
        <v xml:space="preserve">FOREST PARK 3 LOT 564 </v>
      </c>
      <c r="D1133" s="1">
        <v>1999.39</v>
      </c>
    </row>
    <row r="1134" spans="1:4" x14ac:dyDescent="0.3">
      <c r="A1134" s="1" t="str">
        <f>"01028265500"</f>
        <v>01028265500</v>
      </c>
      <c r="B1134" s="1" t="str">
        <f>"BAH THIERNO SOULEYMANE"</f>
        <v>BAH THIERNO SOULEYMANE</v>
      </c>
      <c r="C1134" s="1" t="str">
        <f>"2691 NATALIA DRIVE EAST LANDINGS SECTION 1 PART 1 LOT 62"</f>
        <v>2691 NATALIA DRIVE EAST LANDINGS SECTION 1 PART 1 LOT 62</v>
      </c>
      <c r="D1134" s="1">
        <v>4564.26</v>
      </c>
    </row>
    <row r="1135" spans="1:4" x14ac:dyDescent="0.3">
      <c r="A1135" s="1" t="str">
        <f>"01007709700"</f>
        <v>01007709700</v>
      </c>
      <c r="B1135" s="1" t="str">
        <f>"BAHGAT ADAM R"</f>
        <v>BAHGAT ADAM R</v>
      </c>
      <c r="C1135" s="1" t="str">
        <f>"458 60 HURON AVE BROADVIEW EXT LOT 23 BLK 28"</f>
        <v>458 60 HURON AVE BROADVIEW EXT LOT 23 BLK 28</v>
      </c>
      <c r="D1135" s="1">
        <v>2904.18</v>
      </c>
    </row>
    <row r="1136" spans="1:4" x14ac:dyDescent="0.3">
      <c r="A1136" s="1" t="str">
        <f>"59023185800"</f>
        <v>59023185800</v>
      </c>
      <c r="B1136" s="1" t="str">
        <f>"BAHLOUL MARWAH"</f>
        <v>BAHLOUL MARWAH</v>
      </c>
      <c r="C1136" s="1" t="str">
        <f>"DUBLIN GREEN CONDOMINIUM 2ND AMD UNIT 6823-205"</f>
        <v>DUBLIN GREEN CONDOMINIUM 2ND AMD UNIT 6823-205</v>
      </c>
      <c r="D1136" s="1">
        <v>3854.38</v>
      </c>
    </row>
    <row r="1137" spans="1:4" x14ac:dyDescent="0.3">
      <c r="A1137" s="1" t="str">
        <f>"27400031100"</f>
        <v>27400031100</v>
      </c>
      <c r="B1137" s="1" t="str">
        <f>"BAI YANG, WANG MIN"</f>
        <v>BAI YANG, WANG MIN</v>
      </c>
      <c r="C1137" s="1" t="str">
        <f>"WOERNER TEMPLE RD ENTRY 3004 2.642 ACRES"</f>
        <v>WOERNER TEMPLE RD ENTRY 3004 2.642 ACRES</v>
      </c>
      <c r="D1137" s="1">
        <v>465.19</v>
      </c>
    </row>
    <row r="1138" spans="1:4" x14ac:dyDescent="0.3">
      <c r="A1138" s="1" t="str">
        <f>"01003211800"</f>
        <v>01003211800</v>
      </c>
      <c r="B1138" s="1" t="str">
        <f>"BAILEY CLAUDE S JR, SECH BAILEY DEBRA L"</f>
        <v>BAILEY CLAUDE S JR, SECH BAILEY DEBRA L</v>
      </c>
      <c r="C1138" s="1" t="str">
        <f>"176 W PARK AVE ALL OF LOT 660&amp;2FT NS OF 661 W PK LT 660-661"</f>
        <v>176 W PARK AVE ALL OF LOT 660&amp;2FT NS OF 661 W PK LT 660-661</v>
      </c>
      <c r="D1138" s="1">
        <v>3731.28</v>
      </c>
    </row>
    <row r="1139" spans="1:4" x14ac:dyDescent="0.3">
      <c r="A1139" s="1" t="str">
        <f>"18400207500"</f>
        <v>18400207500</v>
      </c>
      <c r="B1139" s="1" t="str">
        <f>"BAILEY K C LLC"</f>
        <v>BAILEY K C LLC</v>
      </c>
      <c r="C1139" s="1" t="str">
        <f>"200 CEMETERY ROAD R20 T15 S19 0.855 ACRE"</f>
        <v>200 CEMETERY ROAD R20 T15 S19 0.855 ACRE</v>
      </c>
      <c r="D1139" s="1">
        <v>322.49</v>
      </c>
    </row>
    <row r="1140" spans="1:4" x14ac:dyDescent="0.3">
      <c r="A1140" s="1" t="str">
        <f>"18000099000"</f>
        <v>18000099000</v>
      </c>
      <c r="B1140" s="1" t="str">
        <f>"BAILEY MARVIN M, BAILEY GINA A"</f>
        <v>BAILEY MARVIN M, BAILEY GINA A</v>
      </c>
      <c r="C1140" s="1" t="str">
        <f>"SALTZGABER RD R21 T11 S20-29 2.0 ACRES"</f>
        <v>SALTZGABER RD R21 T11 S20-29 2.0 ACRES</v>
      </c>
      <c r="D1140" s="1">
        <v>174.8</v>
      </c>
    </row>
    <row r="1141" spans="1:4" x14ac:dyDescent="0.3">
      <c r="A1141" s="1" t="str">
        <f>"18000101500"</f>
        <v>18000101500</v>
      </c>
      <c r="B1141" s="1" t="str">
        <f>"BAILEY MARVIN M, BAILEY GINA A"</f>
        <v>BAILEY MARVIN M, BAILEY GINA A</v>
      </c>
      <c r="C1141" s="1" t="str">
        <f>"SALTZGABER RD R21 T11 S20-29 2.0 ACRES"</f>
        <v>SALTZGABER RD R21 T11 S20-29 2.0 ACRES</v>
      </c>
      <c r="D1141" s="1">
        <v>53.88</v>
      </c>
    </row>
    <row r="1142" spans="1:4" x14ac:dyDescent="0.3">
      <c r="A1142" s="1" t="str">
        <f>"01009480600"</f>
        <v>01009480600</v>
      </c>
      <c r="B1142" s="1" t="str">
        <f>"BAILEY ROBERT TODD TR"</f>
        <v>BAILEY ROBERT TODD TR</v>
      </c>
      <c r="C1142" s="1" t="str">
        <f>"KARL RD OAK PARK LOT 127"</f>
        <v>KARL RD OAK PARK LOT 127</v>
      </c>
      <c r="D1142" s="1">
        <v>1297.54</v>
      </c>
    </row>
    <row r="1143" spans="1:4" x14ac:dyDescent="0.3">
      <c r="A1143" s="1" t="str">
        <f>"01016734800"</f>
        <v>01016734800</v>
      </c>
      <c r="B1143" s="1" t="str">
        <f>"BAILEY ROCHELLE"</f>
        <v>BAILEY ROCHELLE</v>
      </c>
      <c r="C1143" s="1" t="str">
        <f>"2211 DELAVAN DRIVE AMVET HOMESTEAD 2 LOT 9 BLK R"</f>
        <v>2211 DELAVAN DRIVE AMVET HOMESTEAD 2 LOT 9 BLK R</v>
      </c>
      <c r="D1143" s="1">
        <v>1253.6600000000001</v>
      </c>
    </row>
    <row r="1144" spans="1:4" x14ac:dyDescent="0.3">
      <c r="A1144" s="1" t="str">
        <f>"08000720700"</f>
        <v>08000720700</v>
      </c>
      <c r="B1144" s="1" t="str">
        <f>"BAILEY THOMAS R, BAILEY VIVIAN L"</f>
        <v>BAILEY THOMAS R, BAILEY VIVIAN L</v>
      </c>
      <c r="C1144" s="1" t="str">
        <f>"1048 MELINDA DR SPRING GROVE 4 SEC 2 LOT 541"</f>
        <v>1048 MELINDA DR SPRING GROVE 4 SEC 2 LOT 541</v>
      </c>
      <c r="D1144" s="1">
        <v>3720.93</v>
      </c>
    </row>
    <row r="1145" spans="1:4" x14ac:dyDescent="0.3">
      <c r="A1145" s="1" t="str">
        <f>"15000030500"</f>
        <v>15000030500</v>
      </c>
      <c r="B1145" s="1" t="str">
        <f>"BAILEY ULLIE, BAILEY CHARLOTTE"</f>
        <v>BAILEY ULLIE, BAILEY CHARLOTTE</v>
      </c>
      <c r="C1145" s="1" t="str">
        <f>"1954 DREXEL AVE WALNUT HTS 29-30 "</f>
        <v xml:space="preserve">1954 DREXEL AVE WALNUT HTS 29-30 </v>
      </c>
      <c r="D1145" s="1">
        <v>1377.81</v>
      </c>
    </row>
    <row r="1146" spans="1:4" x14ac:dyDescent="0.3">
      <c r="A1146" s="1" t="str">
        <f>"07000100900"</f>
        <v>07000100900</v>
      </c>
      <c r="B1146" s="1" t="str">
        <f>"BAINBRIDGE MARK A, BAINBRIDGE MARGARET L"</f>
        <v>BAINBRIDGE MARK A, BAINBRIDGE MARGARET L</v>
      </c>
      <c r="C1146" s="1" t="str">
        <f>"2250 YORKSHIRE RD UPPER ARLINGTON LOT 12 BLK 83"</f>
        <v>2250 YORKSHIRE RD UPPER ARLINGTON LOT 12 BLK 83</v>
      </c>
      <c r="D1146" s="1">
        <v>1065.0899999999999</v>
      </c>
    </row>
    <row r="1147" spans="1:4" x14ac:dyDescent="0.3">
      <c r="A1147" s="1" t="str">
        <f>"56027341000"</f>
        <v>56027341000</v>
      </c>
      <c r="B1147" s="1" t="str">
        <f>"BAINBRIDGE THOMAS H III"</f>
        <v>BAINBRIDGE THOMAS H III</v>
      </c>
      <c r="C1147" s="1" t="str">
        <f>"MILLINGTON CONDOMINIUM AT MILL RUN 2ND AMD BLDG G UNIT 74 (GARAGE)"</f>
        <v>MILLINGTON CONDOMINIUM AT MILL RUN 2ND AMD BLDG G UNIT 74 (GARAGE)</v>
      </c>
      <c r="D1147" s="1">
        <v>233.4</v>
      </c>
    </row>
    <row r="1148" spans="1:4" x14ac:dyDescent="0.3">
      <c r="A1148" s="1" t="str">
        <f>"56027289600"</f>
        <v>56027289600</v>
      </c>
      <c r="B1148" s="1" t="str">
        <f>"BAINBRIDGE THOMAS H III"</f>
        <v>BAINBRIDGE THOMAS H III</v>
      </c>
      <c r="C1148" s="1" t="str">
        <f>"MILLINGTON CONDOMINIUM AT MILL RUN 1ST AMD BLDG A-12 UNIT 3649"</f>
        <v>MILLINGTON CONDOMINIUM AT MILL RUN 1ST AMD BLDG A-12 UNIT 3649</v>
      </c>
      <c r="D1148" s="1">
        <v>3668.91</v>
      </c>
    </row>
    <row r="1149" spans="1:4" x14ac:dyDescent="0.3">
      <c r="A1149" s="1" t="str">
        <f>"11000353200"</f>
        <v>11000353200</v>
      </c>
      <c r="B1149" s="1" t="str">
        <f>"BAIR ROGER W, BAIR GWENN D"</f>
        <v>BAIR ROGER W, BAIR GWENN D</v>
      </c>
      <c r="C1149" s="1" t="str">
        <f>"BUENOS AIRES BLVD H C HUBER PLAT 48 SEC 4 1595"</f>
        <v>BUENOS AIRES BLVD H C HUBER PLAT 48 SEC 4 1595</v>
      </c>
      <c r="D1149" s="1">
        <v>274.24</v>
      </c>
    </row>
    <row r="1150" spans="1:4" x14ac:dyDescent="0.3">
      <c r="A1150" s="1" t="str">
        <f>"60018985000"</f>
        <v>60018985000</v>
      </c>
      <c r="B1150" s="1" t="str">
        <f>"BAISDEN SHEILA J"</f>
        <v>BAISDEN SHEILA J</v>
      </c>
      <c r="C1150" s="1" t="str">
        <f>"JULIA CT VIL TANAGER WOODS 1 LOT 7"</f>
        <v>JULIA CT VIL TANAGER WOODS 1 LOT 7</v>
      </c>
      <c r="D1150" s="1">
        <v>77</v>
      </c>
    </row>
    <row r="1151" spans="1:4" x14ac:dyDescent="0.3">
      <c r="A1151" s="1" t="str">
        <f>"01011298800"</f>
        <v>01011298800</v>
      </c>
      <c r="B1151" s="1" t="str">
        <f>"BAKENHASTER DAVID W"</f>
        <v>BAKENHASTER DAVID W</v>
      </c>
      <c r="C1151" s="1" t="str">
        <f>"153 BENFIELD AVE RUTRB HIGH ST LOT 40"</f>
        <v>153 BENFIELD AVE RUTRB HIGH ST LOT 40</v>
      </c>
      <c r="D1151" s="1">
        <v>78.180000000000007</v>
      </c>
    </row>
    <row r="1152" spans="1:4" x14ac:dyDescent="0.3">
      <c r="A1152" s="1" t="str">
        <f>"01011221000"</f>
        <v>01011221000</v>
      </c>
      <c r="B1152" s="1" t="str">
        <f>"BAKER ALAINA, BAKER BRADLEY JR"</f>
        <v>BAKER ALAINA, BAKER BRADLEY JR</v>
      </c>
      <c r="C1152" s="1" t="str">
        <f>"2203 WATKINS RD ACRES 0.90 R22T4S1"</f>
        <v>2203 WATKINS RD ACRES 0.90 R22T4S1</v>
      </c>
      <c r="D1152" s="1">
        <v>1778.72</v>
      </c>
    </row>
    <row r="1153" spans="1:4" x14ac:dyDescent="0.3">
      <c r="A1153" s="1" t="str">
        <f>"01003164300"</f>
        <v>01003164300</v>
      </c>
      <c r="B1153" s="1" t="str">
        <f>"BAKER ALEXANDRA"</f>
        <v>BAKER ALEXANDRA</v>
      </c>
      <c r="C1153" s="1" t="str">
        <f>"167 SO 17TH ST MONETTS BRYDEN RD LOT 29"</f>
        <v>167 SO 17TH ST MONETTS BRYDEN RD LOT 29</v>
      </c>
      <c r="D1153" s="1">
        <v>784.06</v>
      </c>
    </row>
    <row r="1154" spans="1:4" x14ac:dyDescent="0.3">
      <c r="A1154" s="1" t="str">
        <f>"01013584500"</f>
        <v>01013584500</v>
      </c>
      <c r="B1154" s="1" t="str">
        <f>"BAKER ALICE J"</f>
        <v>BAKER ALICE J</v>
      </c>
      <c r="C1154" s="1" t="str">
        <f>"LINDENWOOD RD FOREST PARK 4 LOT 706"</f>
        <v>LINDENWOOD RD FOREST PARK 4 LOT 706</v>
      </c>
      <c r="D1154" s="1">
        <v>209.4</v>
      </c>
    </row>
    <row r="1155" spans="1:4" x14ac:dyDescent="0.3">
      <c r="A1155" s="1" t="str">
        <f>"14000158500"</f>
        <v>14000158500</v>
      </c>
      <c r="B1155" s="1" t="str">
        <f>"BAKER ANNA L"</f>
        <v>BAKER ANNA L</v>
      </c>
      <c r="C1155" s="1" t="str">
        <f>"2082 EAKIN ROAD ACRES .960 NO ENTRY 717"</f>
        <v>2082 EAKIN ROAD ACRES .960 NO ENTRY 717</v>
      </c>
      <c r="D1155" s="1">
        <v>2598.66</v>
      </c>
    </row>
    <row r="1156" spans="1:4" x14ac:dyDescent="0.3">
      <c r="A1156" s="1" t="str">
        <f>"03000063100"</f>
        <v>03000063100</v>
      </c>
      <c r="B1156" s="1" t="str">
        <f>"BAKER DAMON W"</f>
        <v>BAKER DAMON W</v>
      </c>
      <c r="C1156" s="1" t="str">
        <f>"1087 BROADVIEW AV GRANDVIEW 2 PT LTS 67-69=0.346 ACRE"</f>
        <v>1087 BROADVIEW AV GRANDVIEW 2 PT LTS 67-69=0.346 ACRE</v>
      </c>
      <c r="D1156" s="1">
        <v>233.9</v>
      </c>
    </row>
    <row r="1157" spans="1:4" x14ac:dyDescent="0.3">
      <c r="A1157" s="1" t="str">
        <f>"03000284300"</f>
        <v>03000284300</v>
      </c>
      <c r="B1157" s="1" t="str">
        <f>"BAKER DAMON W, BAKER ANN S"</f>
        <v>BAKER DAMON W, BAKER ANN S</v>
      </c>
      <c r="C1157" s="1" t="str">
        <f>"BROADVIEW AVE GRANDVIEW 2 PT LTS 67-69=0.824 ACRE"</f>
        <v>BROADVIEW AVE GRANDVIEW 2 PT LTS 67-69=0.824 ACRE</v>
      </c>
      <c r="D1157" s="1">
        <v>1433.06</v>
      </c>
    </row>
    <row r="1158" spans="1:4" x14ac:dyDescent="0.3">
      <c r="A1158" s="1" t="str">
        <f>"07000672800"</f>
        <v>07000672800</v>
      </c>
      <c r="B1158" s="1" t="str">
        <f>"BAKER DANIEL S"</f>
        <v>BAKER DANIEL S</v>
      </c>
      <c r="C1158" s="1" t="str">
        <f>"NOTTINGHAM RD RIVER RIDGE 1 BLK 27"</f>
        <v>NOTTINGHAM RD RIVER RIDGE 1 BLK 27</v>
      </c>
      <c r="D1158" s="1">
        <v>327.37</v>
      </c>
    </row>
    <row r="1159" spans="1:4" x14ac:dyDescent="0.3">
      <c r="A1159" s="1" t="str">
        <f>"05000252000"</f>
        <v>05000252000</v>
      </c>
      <c r="B1159" s="1" t="str">
        <f>"BAKER DENNIS, BAKER KIMBERLY"</f>
        <v>BAKER DENNIS, BAKER KIMBERLY</v>
      </c>
      <c r="C1159" s="1" t="str">
        <f>"4500 EDLER CT BEACON LOT 89"</f>
        <v>4500 EDLER CT BEACON LOT 89</v>
      </c>
      <c r="D1159" s="1">
        <v>3480.53</v>
      </c>
    </row>
    <row r="1160" spans="1:4" x14ac:dyDescent="0.3">
      <c r="A1160" s="1" t="str">
        <f>"05000206300"</f>
        <v>05000206300</v>
      </c>
      <c r="B1160" s="1" t="str">
        <f>"BAKER JAMES GREGORY"</f>
        <v>BAKER JAMES GREGORY</v>
      </c>
      <c r="C1160" s="1" t="str">
        <f>"5380 CAROLYN DR ROMAN HILL EST 81 "</f>
        <v xml:space="preserve">5380 CAROLYN DR ROMAN HILL EST 81 </v>
      </c>
      <c r="D1160" s="1">
        <v>2690.93</v>
      </c>
    </row>
    <row r="1161" spans="1:4" x14ac:dyDescent="0.3">
      <c r="A1161" s="1" t="str">
        <f>"01010349300"</f>
        <v>01010349300</v>
      </c>
      <c r="B1161" s="1" t="str">
        <f>"BAKER JAMES RICHARD JR, BAKER ANITA M"</f>
        <v>BAKER JAMES RICHARD JR, BAKER ANITA M</v>
      </c>
      <c r="C1161" s="1" t="str">
        <f>"WM H DAVIS LOT 66 "</f>
        <v xml:space="preserve">WM H DAVIS LOT 66 </v>
      </c>
      <c r="D1161" s="1">
        <v>1829.33</v>
      </c>
    </row>
    <row r="1162" spans="1:4" x14ac:dyDescent="0.3">
      <c r="A1162" s="1" t="str">
        <f>"01005720800"</f>
        <v>01005720800</v>
      </c>
      <c r="B1162" s="1" t="str">
        <f>"BAKER JESSE"</f>
        <v>BAKER JESSE</v>
      </c>
      <c r="C1162" s="1" t="str">
        <f>"66 N YALE AVE FRANKLIN 2ND LOT 17"</f>
        <v>66 N YALE AVE FRANKLIN 2ND LOT 17</v>
      </c>
      <c r="D1162" s="1">
        <v>1971.19</v>
      </c>
    </row>
    <row r="1163" spans="1:4" x14ac:dyDescent="0.3">
      <c r="A1163" s="1" t="str">
        <f>"01010357400"</f>
        <v>01010357400</v>
      </c>
      <c r="B1163" s="1" t="str">
        <f>"BAKER JOAN LE, SAVAGE KATHY J RMDR"</f>
        <v>BAKER JOAN LE, SAVAGE KATHY J RMDR</v>
      </c>
      <c r="C1163" s="1" t="str">
        <f>"GLENMAWR AVE BABY FARMS BLK 82 LOT 216-217"</f>
        <v>GLENMAWR AVE BABY FARMS BLK 82 LOT 216-217</v>
      </c>
      <c r="D1163" s="1">
        <v>175.37</v>
      </c>
    </row>
    <row r="1164" spans="1:4" x14ac:dyDescent="0.3">
      <c r="A1164" s="1" t="str">
        <f>"01018845500"</f>
        <v>01018845500</v>
      </c>
      <c r="B1164" s="1" t="str">
        <f>"BAKER JOSEPH B"</f>
        <v>BAKER JOSEPH B</v>
      </c>
      <c r="C1164" s="1" t="str">
        <f>"MERRIMAR CIR S HEARTHSTONE CONDO UNIT 1094-F BLDG 18"</f>
        <v>MERRIMAR CIR S HEARTHSTONE CONDO UNIT 1094-F BLDG 18</v>
      </c>
      <c r="D1164" s="1">
        <v>93.93</v>
      </c>
    </row>
    <row r="1165" spans="1:4" x14ac:dyDescent="0.3">
      <c r="A1165" s="1" t="str">
        <f>"01007636800"</f>
        <v>01007636800</v>
      </c>
      <c r="B1165" s="1" t="str">
        <f>"BAKER MARSHA"</f>
        <v>BAKER MARSHA</v>
      </c>
      <c r="C1165" s="1" t="str">
        <f>"1020 E 18TH AVE HIGHLAND PLACE LOT 98-99"</f>
        <v>1020 E 18TH AVE HIGHLAND PLACE LOT 98-99</v>
      </c>
      <c r="D1165" s="1">
        <v>146.13999999999999</v>
      </c>
    </row>
    <row r="1166" spans="1:4" x14ac:dyDescent="0.3">
      <c r="A1166" s="1" t="str">
        <f>"01014153900"</f>
        <v>01014153900</v>
      </c>
      <c r="B1166" s="1" t="str">
        <f>"BAKER MARY L"</f>
        <v>BAKER MARY L</v>
      </c>
      <c r="C1166" s="1" t="str">
        <f>"HASKELL DR SOMERSET 1 LOT 71"</f>
        <v>HASKELL DR SOMERSET 1 LOT 71</v>
      </c>
      <c r="D1166" s="1">
        <v>1235.78</v>
      </c>
    </row>
    <row r="1167" spans="1:4" x14ac:dyDescent="0.3">
      <c r="A1167" s="1" t="str">
        <f>"01006500700"</f>
        <v>01006500700</v>
      </c>
      <c r="B1167" s="1" t="str">
        <f>"BAKER MARY LYNNE"</f>
        <v>BAKER MARY LYNNE</v>
      </c>
      <c r="C1167" s="1" t="str">
        <f>"1139 SIDNEY ST S A SHOEMAKER HRS LOT 83"</f>
        <v>1139 SIDNEY ST S A SHOEMAKER HRS LOT 83</v>
      </c>
      <c r="D1167" s="1">
        <v>1539.18</v>
      </c>
    </row>
    <row r="1168" spans="1:4" x14ac:dyDescent="0.3">
      <c r="A1168" s="1" t="str">
        <f>"18500041800"</f>
        <v>18500041800</v>
      </c>
      <c r="B1168" s="1" t="str">
        <f>"BAKER MICHELE M"</f>
        <v>BAKER MICHELE M</v>
      </c>
      <c r="C1168" s="1" t="str">
        <f>"386 W MAIN ST 146FT SE ABRAM SHARP 7 "</f>
        <v xml:space="preserve">386 W MAIN ST 146FT SE ABRAM SHARP 7 </v>
      </c>
      <c r="D1168" s="1">
        <v>174.72</v>
      </c>
    </row>
    <row r="1169" spans="1:4" x14ac:dyDescent="0.3">
      <c r="A1169" s="1" t="str">
        <f>"24000250000"</f>
        <v>24000250000</v>
      </c>
      <c r="B1169" s="1" t="str">
        <f>"BAKER MIRANDA"</f>
        <v>BAKER MIRANDA</v>
      </c>
      <c r="C1169" s="1" t="str">
        <f>"GLADYS RD CRELLINS WOODLAWN 95 "</f>
        <v xml:space="preserve">GLADYS RD CRELLINS WOODLAWN 95 </v>
      </c>
      <c r="D1169" s="1">
        <v>507.41</v>
      </c>
    </row>
    <row r="1170" spans="1:4" x14ac:dyDescent="0.3">
      <c r="A1170" s="1" t="str">
        <f>"01010873000"</f>
        <v>01010873000</v>
      </c>
      <c r="B1170" s="1" t="str">
        <f>"BAKER PAUL"</f>
        <v>BAKER PAUL</v>
      </c>
      <c r="C1170" s="1" t="str">
        <f>"MOCK RD GREENDALE PL ANNEX LOT 5"</f>
        <v>MOCK RD GREENDALE PL ANNEX LOT 5</v>
      </c>
      <c r="D1170" s="1">
        <v>44.25</v>
      </c>
    </row>
    <row r="1171" spans="1:4" x14ac:dyDescent="0.3">
      <c r="A1171" s="1" t="str">
        <f>"01010874700"</f>
        <v>01010874700</v>
      </c>
      <c r="B1171" s="1" t="str">
        <f>"BAKER PAUL JR"</f>
        <v>BAKER PAUL JR</v>
      </c>
      <c r="C1171" s="1" t="str">
        <f>"BERRELL AVE GREENDALE PLC LOT 22"</f>
        <v>BERRELL AVE GREENDALE PLC LOT 22</v>
      </c>
      <c r="D1171" s="1">
        <v>44.36</v>
      </c>
    </row>
    <row r="1172" spans="1:4" x14ac:dyDescent="0.3">
      <c r="A1172" s="1" t="str">
        <f>"01009597900"</f>
        <v>01009597900</v>
      </c>
      <c r="B1172" s="1" t="str">
        <f>"BAKER PAUL JR, PARSONS CHERYL"</f>
        <v>BAKER PAUL JR, PARSONS CHERYL</v>
      </c>
      <c r="C1172" s="1" t="str">
        <f>"SELDON AVE WELDON PARK LOT 44"</f>
        <v>SELDON AVE WELDON PARK LOT 44</v>
      </c>
      <c r="D1172" s="1">
        <v>139.91999999999999</v>
      </c>
    </row>
    <row r="1173" spans="1:4" x14ac:dyDescent="0.3">
      <c r="A1173" s="1" t="str">
        <f>"01010872700"</f>
        <v>01010872700</v>
      </c>
      <c r="B1173" s="1" t="str">
        <f>"BAKER PAUL R JR"</f>
        <v>BAKER PAUL R JR</v>
      </c>
      <c r="C1173" s="1" t="str">
        <f>"MOCK RD GREENDALE PLC ANNEX LOT 2"</f>
        <v>MOCK RD GREENDALE PLC ANNEX LOT 2</v>
      </c>
      <c r="D1173" s="1">
        <v>40.25</v>
      </c>
    </row>
    <row r="1174" spans="1:4" x14ac:dyDescent="0.3">
      <c r="A1174" s="1" t="str">
        <f>"01010872800"</f>
        <v>01010872800</v>
      </c>
      <c r="B1174" s="1" t="str">
        <f>"BAKER PAUL R JR"</f>
        <v>BAKER PAUL R JR</v>
      </c>
      <c r="C1174" s="1" t="str">
        <f>"GREENDALE PLACE ANNEX LOT 3 "</f>
        <v xml:space="preserve">GREENDALE PLACE ANNEX LOT 3 </v>
      </c>
      <c r="D1174" s="1">
        <v>12.07</v>
      </c>
    </row>
    <row r="1175" spans="1:4" x14ac:dyDescent="0.3">
      <c r="A1175" s="1" t="str">
        <f>"01010902900"</f>
        <v>01010902900</v>
      </c>
      <c r="B1175" s="1" t="str">
        <f>"BAKER PAUL R JR"</f>
        <v>BAKER PAUL R JR</v>
      </c>
      <c r="C1175" s="1" t="str">
        <f>"BERRELL AVE CAPOCCIO ADDN LOT 16"</f>
        <v>BERRELL AVE CAPOCCIO ADDN LOT 16</v>
      </c>
      <c r="D1175" s="1">
        <v>63.65</v>
      </c>
    </row>
    <row r="1176" spans="1:4" x14ac:dyDescent="0.3">
      <c r="A1176" s="1" t="str">
        <f>"01031833500"</f>
        <v>01031833500</v>
      </c>
      <c r="B1176" s="1" t="str">
        <f>"BAKER ROBERT B TTEE, BAKER GAILLON A TTEE"</f>
        <v>BAKER ROBERT B TTEE, BAKER GAILLON A TTEE</v>
      </c>
      <c r="C1176" s="1" t="str">
        <f>"VILLAS OF CASTLETON CONDOMINIUM 13TH AMD UNIT 29"</f>
        <v>VILLAS OF CASTLETON CONDOMINIUM 13TH AMD UNIT 29</v>
      </c>
      <c r="D1176" s="1">
        <v>320.57</v>
      </c>
    </row>
    <row r="1177" spans="1:4" x14ac:dyDescent="0.3">
      <c r="A1177" s="1" t="str">
        <f>"01010801700"</f>
        <v>01010801700</v>
      </c>
      <c r="B1177" s="1" t="str">
        <f>"BAKER TAWANDA L"</f>
        <v>BAKER TAWANDA L</v>
      </c>
      <c r="C1177" s="1" t="str">
        <f>"ESTATES PLACE NORTHERN ESTATES LOT 9"</f>
        <v>ESTATES PLACE NORTHERN ESTATES LOT 9</v>
      </c>
      <c r="D1177" s="1">
        <v>1532.86</v>
      </c>
    </row>
    <row r="1178" spans="1:4" x14ac:dyDescent="0.3">
      <c r="A1178" s="1" t="str">
        <f>"02501312500"</f>
        <v>02501312500</v>
      </c>
      <c r="B1178" s="1" t="str">
        <f>"BAKER THOMAS J, BAKER DANIELLE RAE"</f>
        <v>BAKER THOMAS J, BAKER DANIELLE RAE</v>
      </c>
      <c r="C1178" s="1" t="str">
        <f>"THE WOODS AT SHAGBARK CONDOMINIUM 10TH AMD BLDG 37 UNIT 37-1190"</f>
        <v>THE WOODS AT SHAGBARK CONDOMINIUM 10TH AMD BLDG 37 UNIT 37-1190</v>
      </c>
      <c r="D1178" s="1">
        <v>239.34</v>
      </c>
    </row>
    <row r="1179" spans="1:4" x14ac:dyDescent="0.3">
      <c r="A1179" s="1" t="str">
        <f>"07000205900"</f>
        <v>07000205900</v>
      </c>
      <c r="B1179" s="1" t="str">
        <f>"BAKER VALERIE CHAKERES"</f>
        <v>BAKER VALERIE CHAKERES</v>
      </c>
      <c r="C1179" s="1" t="str">
        <f>"2303 YORKSHIRE RD UPPER ARLINGTON LOT 14 BLK 97"</f>
        <v>2303 YORKSHIRE RD UPPER ARLINGTON LOT 14 BLK 97</v>
      </c>
      <c r="D1179" s="1">
        <v>1649.53</v>
      </c>
    </row>
    <row r="1180" spans="1:4" x14ac:dyDescent="0.3">
      <c r="A1180" s="1" t="str">
        <f>"15200094700"</f>
        <v>15200094700</v>
      </c>
      <c r="B1180" s="1" t="str">
        <f>"BAKER VERONICA L"</f>
        <v>BAKER VERONICA L</v>
      </c>
      <c r="C1180" s="1" t="str">
        <f>"ORCHARD LANE R22 T4 S13 0.310 ACRE"</f>
        <v>ORCHARD LANE R22 T4 S13 0.310 ACRE</v>
      </c>
      <c r="D1180" s="1">
        <v>1514.41</v>
      </c>
    </row>
    <row r="1181" spans="1:4" x14ac:dyDescent="0.3">
      <c r="A1181" s="1" t="str">
        <f>"01005078500"</f>
        <v>01005078500</v>
      </c>
      <c r="B1181" s="1" t="str">
        <f>"BAKO FITUMI"</f>
        <v>BAKO FITUMI</v>
      </c>
      <c r="C1181" s="1" t="str">
        <f>"81 BARTHMAN AVE 88.12 FT N E L B TUSSING SUB 15"</f>
        <v>81 BARTHMAN AVE 88.12 FT N E L B TUSSING SUB 15</v>
      </c>
      <c r="D1181" s="1">
        <v>621.86</v>
      </c>
    </row>
    <row r="1182" spans="1:4" x14ac:dyDescent="0.3">
      <c r="A1182" s="1" t="str">
        <f>"01010757900"</f>
        <v>01010757900</v>
      </c>
      <c r="B1182" s="1" t="str">
        <f>"BALANCE HOMES 3Z LLC, RAGLAND JAMES C"</f>
        <v>BALANCE HOMES 3Z LLC, RAGLAND JAMES C</v>
      </c>
      <c r="C1182" s="1" t="str">
        <f>"CONWAY DR BERWICK MANOR 2 LOT 62"</f>
        <v>CONWAY DR BERWICK MANOR 2 LOT 62</v>
      </c>
      <c r="D1182" s="1">
        <v>3769.39</v>
      </c>
    </row>
    <row r="1183" spans="1:4" x14ac:dyDescent="0.3">
      <c r="A1183" s="1" t="str">
        <f>"06000465400"</f>
        <v>06000465400</v>
      </c>
      <c r="B1183" s="1" t="str">
        <f>"BALAS WILLIAM F TR, BALAS ANDREA K TR"</f>
        <v>BALAS WILLIAM F TR, BALAS ANDREA K TR</v>
      </c>
      <c r="C1183" s="1" t="str">
        <f>"BRIARCLIFF RD BRIARCLIFF 6 LOT 390"</f>
        <v>BRIARCLIFF RD BRIARCLIFF 6 LOT 390</v>
      </c>
      <c r="D1183" s="1">
        <v>2649.97</v>
      </c>
    </row>
    <row r="1184" spans="1:4" x14ac:dyDescent="0.3">
      <c r="A1184" s="1" t="str">
        <f>"23000226500"</f>
        <v>23000226500</v>
      </c>
      <c r="B1184" s="1" t="str">
        <f>"BALASICO RICHARD A SR, MECUM JANET L"</f>
        <v>BALASICO RICHARD A SR, MECUM JANET L</v>
      </c>
      <c r="C1184" s="1" t="str">
        <f>"LONDON &amp;GROVEPORT RD 1.953 ACR PAR 11 URP OQ 1200 ENTRY 978"</f>
        <v>LONDON &amp;GROVEPORT RD 1.953 ACR PAR 11 URP OQ 1200 ENTRY 978</v>
      </c>
      <c r="D1184" s="1">
        <v>1139.58</v>
      </c>
    </row>
    <row r="1185" spans="1:4" x14ac:dyDescent="0.3">
      <c r="A1185" s="1" t="str">
        <f>"22200450700"</f>
        <v>22200450700</v>
      </c>
      <c r="B1185" s="1" t="str">
        <f>"BALCERZAK DAVID E"</f>
        <v>BALCERZAK DAVID E</v>
      </c>
      <c r="C1185" s="1" t="str">
        <f>"NEW ALBANY COUNTRY CLUB   SECTION 20 PART 3         LOT 77                   "</f>
        <v xml:space="preserve">NEW ALBANY COUNTRY CLUB   SECTION 20 PART 3         LOT 77                   </v>
      </c>
      <c r="D1185" s="1">
        <v>13071.88</v>
      </c>
    </row>
    <row r="1186" spans="1:4" x14ac:dyDescent="0.3">
      <c r="A1186" s="1" t="str">
        <f>"01028494500"</f>
        <v>01028494500</v>
      </c>
      <c r="B1186" s="1" t="str">
        <f>"BALDINI RICHARD L, BALDINI VICKI A"</f>
        <v>BALDINI RICHARD L, BALDINI VICKI A</v>
      </c>
      <c r="C1186" s="1" t="str">
        <f>"3931 SHADOWSTONE WAY STONEBRIDGE CROSSING LOT 10"</f>
        <v>3931 SHADOWSTONE WAY STONEBRIDGE CROSSING LOT 10</v>
      </c>
      <c r="D1186" s="1">
        <v>544.07000000000005</v>
      </c>
    </row>
    <row r="1187" spans="1:4" x14ac:dyDescent="0.3">
      <c r="A1187" s="1" t="str">
        <f>"07001333100"</f>
        <v>07001333100</v>
      </c>
      <c r="B1187" s="1" t="str">
        <f>"BALDONE SAMUEL C"</f>
        <v>BALDONE SAMUEL C</v>
      </c>
      <c r="C1187" s="1" t="str">
        <f>"PICKET POST LANE SLATE RUN VIL PH TWO LOT 24"</f>
        <v>PICKET POST LANE SLATE RUN VIL PH TWO LOT 24</v>
      </c>
      <c r="D1187" s="1">
        <v>13767.05</v>
      </c>
    </row>
    <row r="1188" spans="1:4" x14ac:dyDescent="0.3">
      <c r="A1188" s="1" t="str">
        <f>"05001129800"</f>
        <v>05001129800</v>
      </c>
      <c r="B1188" s="1" t="str">
        <f>"BALDUF TODD J, BALDUF RACHEL A"</f>
        <v>BALDUF TODD J, BALDUF RACHEL A</v>
      </c>
      <c r="C1188" s="1" t="str">
        <f>"ESTATES AT HOFFMAN FARMS  SECTION 6                 LOT 318                  "</f>
        <v xml:space="preserve">ESTATES AT HOFFMAN FARMS  SECTION 6                 LOT 318                  </v>
      </c>
      <c r="D1188" s="1">
        <v>14995.87</v>
      </c>
    </row>
    <row r="1189" spans="1:4" x14ac:dyDescent="0.3">
      <c r="A1189" s="1" t="str">
        <f>"01007965700"</f>
        <v>01007965700</v>
      </c>
      <c r="B1189" s="1" t="str">
        <f>"BALDWIN FRANK W"</f>
        <v>BALDWIN FRANK W</v>
      </c>
      <c r="C1189" s="1" t="str">
        <f>"WALSH AVE SEIBERTS LOT 2"</f>
        <v>WALSH AVE SEIBERTS LOT 2</v>
      </c>
      <c r="D1189" s="1">
        <v>1120.06</v>
      </c>
    </row>
    <row r="1190" spans="1:4" x14ac:dyDescent="0.3">
      <c r="A1190" s="1" t="str">
        <f>"01005184400"</f>
        <v>01005184400</v>
      </c>
      <c r="B1190" s="1" t="str">
        <f>"BALDWIN LISA L"</f>
        <v>BALDWIN LISA L</v>
      </c>
      <c r="C1190" s="1" t="str">
        <f>"HANFORD ST 42.33FT ES MUELLERS LOT 4"</f>
        <v>HANFORD ST 42.33FT ES MUELLERS LOT 4</v>
      </c>
      <c r="D1190" s="1">
        <v>864.46</v>
      </c>
    </row>
    <row r="1191" spans="1:4" x14ac:dyDescent="0.3">
      <c r="A1191" s="1" t="str">
        <f>"01011211100"</f>
        <v>01011211100</v>
      </c>
      <c r="B1191" s="1" t="str">
        <f>"BALIYABHE RELIABLE SERVICES LLC"</f>
        <v>BALIYABHE RELIABLE SERVICES LLC</v>
      </c>
      <c r="C1191" s="1" t="str">
        <f>"2219 CURTIS AVE 40 FT N E STAMBAUGH LOT 18-19-20"</f>
        <v>2219 CURTIS AVE 40 FT N E STAMBAUGH LOT 18-19-20</v>
      </c>
      <c r="D1191" s="1">
        <v>78.09</v>
      </c>
    </row>
    <row r="1192" spans="1:4" x14ac:dyDescent="0.3">
      <c r="A1192" s="1" t="str">
        <f>"01007481500"</f>
        <v>01007481500</v>
      </c>
      <c r="B1192" s="1" t="str">
        <f>"BALIYABHE RELIABLE SERVICES LLC"</f>
        <v>BALIYABHE RELIABLE SERVICES LLC</v>
      </c>
      <c r="C1192" s="1" t="str">
        <f>"1155-57-59E HUDSON S GRASMERE GARDENS LOT 49EX IRR 0.001 ACRE NE COR"</f>
        <v>1155-57-59E HUDSON S GRASMERE GARDENS LOT 49EX IRR 0.001 ACRE NE COR</v>
      </c>
      <c r="D1192" s="1">
        <v>987.93</v>
      </c>
    </row>
    <row r="1193" spans="1:4" x14ac:dyDescent="0.3">
      <c r="A1193" s="1" t="str">
        <f>"20000235000"</f>
        <v>20000235000</v>
      </c>
      <c r="B1193" s="1" t="str">
        <f>"BALL CHARLES D"</f>
        <v>BALL CHARLES D</v>
      </c>
      <c r="C1193" s="1" t="str">
        <f>"BIRCHWOOD DR TIMBERBROOK WOODS 52 "</f>
        <v xml:space="preserve">BIRCHWOOD DR TIMBERBROOK WOODS 52 </v>
      </c>
      <c r="D1193" s="1">
        <v>3792.78</v>
      </c>
    </row>
    <row r="1194" spans="1:4" x14ac:dyDescent="0.3">
      <c r="A1194" s="1" t="str">
        <f>"01007178500"</f>
        <v>01007178500</v>
      </c>
      <c r="B1194" s="1" t="str">
        <f>"BALL VICTORIA W"</f>
        <v>BALL VICTORIA W</v>
      </c>
      <c r="C1194" s="1" t="str">
        <f>"199 GLENCOE RD DOMINION PARK LOT 590"</f>
        <v>199 GLENCOE RD DOMINION PARK LOT 590</v>
      </c>
      <c r="D1194" s="1">
        <v>269.06</v>
      </c>
    </row>
    <row r="1195" spans="1:4" x14ac:dyDescent="0.3">
      <c r="A1195" s="1" t="str">
        <f>"01019443100"</f>
        <v>01019443100</v>
      </c>
      <c r="B1195" s="1" t="str">
        <f>"BALLARD PAUL H"</f>
        <v>BALLARD PAUL H</v>
      </c>
      <c r="C1195" s="1" t="str">
        <f>"1366A LAKE SHORE DR HIDDEN LAKE CONDO PH3 UNIT 153 BLDG 10"</f>
        <v>1366A LAKE SHORE DR HIDDEN LAKE CONDO PH3 UNIT 153 BLDG 10</v>
      </c>
      <c r="D1195" s="1">
        <v>2602.0700000000002</v>
      </c>
    </row>
    <row r="1196" spans="1:4" x14ac:dyDescent="0.3">
      <c r="A1196" s="1" t="str">
        <f>"18000374800"</f>
        <v>18000374800</v>
      </c>
      <c r="B1196" s="1" t="str">
        <f>"BALLARD SUSAN E"</f>
        <v>BALLARD SUSAN E</v>
      </c>
      <c r="C1196" s="1" t="str">
        <f>"NEGLEY RD BLACKLICK ESTATES 6 LOT 947"</f>
        <v>NEGLEY RD BLACKLICK ESTATES 6 LOT 947</v>
      </c>
      <c r="D1196" s="1">
        <v>304.58</v>
      </c>
    </row>
    <row r="1197" spans="1:4" x14ac:dyDescent="0.3">
      <c r="A1197" s="1" t="str">
        <f>"01000676500"</f>
        <v>01000676500</v>
      </c>
      <c r="B1197" s="1" t="str">
        <f>"BALLENTINE MARLON R"</f>
        <v>BALLENTINE MARLON R</v>
      </c>
      <c r="C1197" s="1" t="str">
        <f>"919 WILSON AVE AUBURNDALE LOT 163"</f>
        <v>919 WILSON AVE AUBURNDALE LOT 163</v>
      </c>
      <c r="D1197" s="1">
        <v>3831.09</v>
      </c>
    </row>
    <row r="1198" spans="1:4" x14ac:dyDescent="0.3">
      <c r="A1198" s="1" t="str">
        <f>"14000390100"</f>
        <v>14000390100</v>
      </c>
      <c r="B1198" s="1" t="str">
        <f>"BALLING PATRICK A"</f>
        <v>BALLING PATRICK A</v>
      </c>
      <c r="C1198" s="1" t="str">
        <f>"2025 WHITEHEAD RD REA AND SON LOTS 23 &amp; 24"</f>
        <v>2025 WHITEHEAD RD REA AND SON LOTS 23 &amp; 24</v>
      </c>
      <c r="D1198" s="1">
        <v>1058.29</v>
      </c>
    </row>
    <row r="1199" spans="1:4" x14ac:dyDescent="0.3">
      <c r="A1199" s="1" t="str">
        <f>"18500137800"</f>
        <v>18500137800</v>
      </c>
      <c r="B1199" s="1" t="str">
        <f>"BAMBA FLORA ROSELINE, NZILA VANNE"</f>
        <v>BAMBA FLORA ROSELINE, NZILA VANNE</v>
      </c>
      <c r="C1199" s="1" t="str">
        <f>"GROVEPORT PIKE R21 T11 S28 .206 ACRES"</f>
        <v>GROVEPORT PIKE R21 T11 S28 .206 ACRES</v>
      </c>
      <c r="D1199" s="1">
        <v>1358.84</v>
      </c>
    </row>
    <row r="1200" spans="1:4" x14ac:dyDescent="0.3">
      <c r="A1200" s="1" t="str">
        <f>"01003575200"</f>
        <v>01003575200</v>
      </c>
      <c r="B1200" s="1" t="str">
        <f>"BANAS PATRICIA M"</f>
        <v>BANAS PATRICIA M</v>
      </c>
      <c r="C1200" s="1" t="str">
        <f>"78 N OHIO AVE HUTCHESON HRS LOT 12"</f>
        <v>78 N OHIO AVE HUTCHESON HRS LOT 12</v>
      </c>
      <c r="D1200" s="1">
        <v>2343.31</v>
      </c>
    </row>
    <row r="1201" spans="1:4" x14ac:dyDescent="0.3">
      <c r="A1201" s="1" t="str">
        <f>"01009052200"</f>
        <v>01009052200</v>
      </c>
      <c r="B1201" s="1" t="str">
        <f>"BANGERT JAMES MICHAEL"</f>
        <v>BANGERT JAMES MICHAEL</v>
      </c>
      <c r="C1201" s="1" t="str">
        <f>"EASTMINSTER LOT 299 &amp; PT VAC AL "</f>
        <v xml:space="preserve">EASTMINSTER LOT 299 &amp; PT VAC AL </v>
      </c>
      <c r="D1201" s="1">
        <v>1931.79</v>
      </c>
    </row>
    <row r="1202" spans="1:4" x14ac:dyDescent="0.3">
      <c r="A1202" s="1" t="str">
        <f>"09000178600"</f>
        <v>09000178600</v>
      </c>
      <c r="B1202" s="1" t="str">
        <f>"BANGO JOANNE TOD"</f>
        <v>BANGO JOANNE TOD</v>
      </c>
      <c r="C1202" s="1" t="str">
        <f>"935 FAIRWAY BLVD FAIRWAY 2 LOT 113"</f>
        <v>935 FAIRWAY BLVD FAIRWAY 2 LOT 113</v>
      </c>
      <c r="D1202" s="1">
        <v>371.91</v>
      </c>
    </row>
    <row r="1203" spans="1:4" x14ac:dyDescent="0.3">
      <c r="A1203" s="1" t="str">
        <f>"01012811700"</f>
        <v>01012811700</v>
      </c>
      <c r="B1203" s="1" t="str">
        <f>"BANISTER HATTIE"</f>
        <v>BANISTER HATTIE</v>
      </c>
      <c r="C1203" s="1" t="str">
        <f>"LANDON DR BERWYN LOT 243"</f>
        <v>LANDON DR BERWYN LOT 243</v>
      </c>
      <c r="D1203" s="1">
        <v>1764.93</v>
      </c>
    </row>
    <row r="1204" spans="1:4" x14ac:dyDescent="0.3">
      <c r="A1204" s="1" t="str">
        <f>"01004166000"</f>
        <v>01004166000</v>
      </c>
      <c r="B1204" s="1" t="str">
        <f>"BANISTER HATTIE"</f>
        <v>BANISTER HATTIE</v>
      </c>
      <c r="C1204" s="1" t="str">
        <f>"COURTRIGHT ROAD ACRES .216 R21 T12 S 19"</f>
        <v>COURTRIGHT ROAD ACRES .216 R21 T12 S 19</v>
      </c>
      <c r="D1204" s="1">
        <v>1563.78</v>
      </c>
    </row>
    <row r="1205" spans="1:4" x14ac:dyDescent="0.3">
      <c r="A1205" s="1" t="str">
        <f>"01009778300"</f>
        <v>01009778300</v>
      </c>
      <c r="B1205" s="1" t="str">
        <f>"BANISTER HATTIE, BANISTER HATTIE L"</f>
        <v>BANISTER HATTIE, BANISTER HATTIE L</v>
      </c>
      <c r="C1205" s="1" t="str">
        <f>"MILLERDALE RD BERWICK HTS LOT 23"</f>
        <v>MILLERDALE RD BERWICK HTS LOT 23</v>
      </c>
      <c r="D1205" s="1">
        <v>3098.25</v>
      </c>
    </row>
    <row r="1206" spans="1:4" x14ac:dyDescent="0.3">
      <c r="A1206" s="1" t="str">
        <f>"43529471300"</f>
        <v>43529471300</v>
      </c>
      <c r="B1206" s="1" t="str">
        <f>"BANKAAWLI REAL ESTATE LLC"</f>
        <v>BANKAAWLI REAL ESTATE LLC</v>
      </c>
      <c r="C1206" s="1" t="str">
        <f>"BIG RUN RIDGE    SECTION 3 PART 2 LOT 209"</f>
        <v>BIG RUN RIDGE    SECTION 3 PART 2 LOT 209</v>
      </c>
      <c r="D1206" s="1">
        <v>2299.29</v>
      </c>
    </row>
    <row r="1207" spans="1:4" x14ac:dyDescent="0.3">
      <c r="A1207" s="1" t="str">
        <f>"01013674100"</f>
        <v>01013674100</v>
      </c>
      <c r="B1207" s="1" t="str">
        <f>"BANKS CLIFFORD, BANKS KATHY"</f>
        <v>BANKS CLIFFORD, BANKS KATHY</v>
      </c>
      <c r="C1207" s="1" t="str">
        <f>"ALVASON AVE ARGYLE PARK LOT 125"</f>
        <v>ALVASON AVE ARGYLE PARK LOT 125</v>
      </c>
      <c r="D1207" s="1">
        <v>1268.96</v>
      </c>
    </row>
    <row r="1208" spans="1:4" x14ac:dyDescent="0.3">
      <c r="A1208" s="1" t="str">
        <f>"05000651500"</f>
        <v>05000651500</v>
      </c>
      <c r="B1208" s="1" t="str">
        <f>"BANKS JONATHAN M TR, BANKS SARAH A TR"</f>
        <v>BANKS JONATHAN M TR, BANKS SARAH A TR</v>
      </c>
      <c r="C1208" s="1" t="str">
        <f>"HYDE PARK AT HILLIARD SECTION 2 LOT 123"</f>
        <v>HYDE PARK AT HILLIARD SECTION 2 LOT 123</v>
      </c>
      <c r="D1208" s="1">
        <v>4843.75</v>
      </c>
    </row>
    <row r="1209" spans="1:4" x14ac:dyDescent="0.3">
      <c r="A1209" s="1" t="str">
        <f>"15200087300"</f>
        <v>15200087300</v>
      </c>
      <c r="B1209" s="1" t="str">
        <f>"BANKS PATRICK O"</f>
        <v>BANKS PATRICK O</v>
      </c>
      <c r="C1209" s="1" t="str">
        <f>"ORCHARD LANE R22 T4 S13 0.310 ACRE"</f>
        <v>ORCHARD LANE R22 T4 S13 0.310 ACRE</v>
      </c>
      <c r="D1209" s="1">
        <v>3224.21</v>
      </c>
    </row>
    <row r="1210" spans="1:4" x14ac:dyDescent="0.3">
      <c r="A1210" s="1" t="str">
        <f>"01019916400"</f>
        <v>01019916400</v>
      </c>
      <c r="B1210" s="1" t="str">
        <f>"BANNISTER JOYCE"</f>
        <v>BANNISTER JOYCE</v>
      </c>
      <c r="C1210" s="1" t="str">
        <f>"STORNOWAY DR N MCNAUGHTEN COM CONDO BLDG 10 UNIT 6183"</f>
        <v>STORNOWAY DR N MCNAUGHTEN COM CONDO BLDG 10 UNIT 6183</v>
      </c>
      <c r="D1210" s="1">
        <v>709.81</v>
      </c>
    </row>
    <row r="1211" spans="1:4" x14ac:dyDescent="0.3">
      <c r="A1211" s="1" t="str">
        <f>"05000224100"</f>
        <v>05000224100</v>
      </c>
      <c r="B1211" s="1" t="str">
        <f>"BANUSHI LUIZA, BANUSHI NEIM"</f>
        <v>BANUSHI LUIZA, BANUSHI NEIM</v>
      </c>
      <c r="C1211" s="1" t="str">
        <f>"5200 WILLIAMSBURG CR WILLIAMSBURG 73 "</f>
        <v xml:space="preserve">5200 WILLIAMSBURG CR WILLIAMSBURG 73 </v>
      </c>
      <c r="D1211" s="1">
        <v>3295.51</v>
      </c>
    </row>
    <row r="1212" spans="1:4" x14ac:dyDescent="0.3">
      <c r="A1212" s="1" t="str">
        <f>"01008153100"</f>
        <v>01008153100</v>
      </c>
      <c r="B1212" s="1" t="str">
        <f>"BANYAY ENTERPRISES LTD"</f>
        <v>BANYAY ENTERPRISES LTD</v>
      </c>
      <c r="C1212" s="1" t="str">
        <f>"BUTLER AVE HIGH RIDGE EXT LOT 13 BLK 8"</f>
        <v>BUTLER AVE HIGH RIDGE EXT LOT 13 BLK 8</v>
      </c>
      <c r="D1212" s="1">
        <v>895.8</v>
      </c>
    </row>
    <row r="1213" spans="1:4" x14ac:dyDescent="0.3">
      <c r="A1213" s="1" t="str">
        <f>"09000522300"</f>
        <v>09000522300</v>
      </c>
      <c r="B1213" s="1" t="str">
        <f>"BARAKI YOHANNES W, ZEGEYE ADIAM GHEBREHEWOT"</f>
        <v>BARAKI YOHANNES W, ZEGEYE ADIAM GHEBREHEWOT</v>
      </c>
      <c r="C1213" s="1" t="str">
        <f>"4346 AMALIA PL LOT 6 BERNHARDS 2ND"</f>
        <v>4346 AMALIA PL LOT 6 BERNHARDS 2ND</v>
      </c>
      <c r="D1213" s="1">
        <v>169.53</v>
      </c>
    </row>
    <row r="1214" spans="1:4" x14ac:dyDescent="0.3">
      <c r="A1214" s="1" t="str">
        <f>"01013625500"</f>
        <v>01013625500</v>
      </c>
      <c r="B1214" s="1" t="str">
        <f>"BARBOZA CRISTIAN DARIO, GUZZO SILVANA VERONICA"</f>
        <v>BARBOZA CRISTIAN DARIO, GUZZO SILVANA VERONICA</v>
      </c>
      <c r="C1214" s="1" t="str">
        <f>"HOLBROOK DR WALNUT BLUFF 2 LOT 756"</f>
        <v>HOLBROOK DR WALNUT BLUFF 2 LOT 756</v>
      </c>
      <c r="D1214" s="1">
        <v>137.87</v>
      </c>
    </row>
    <row r="1215" spans="1:4" x14ac:dyDescent="0.3">
      <c r="A1215" s="1" t="str">
        <f>"01018565300"</f>
        <v>01018565300</v>
      </c>
      <c r="B1215" s="1" t="str">
        <f>"BARCALOW GLORIA J, OLLOM CHAD W"</f>
        <v>BARCALOW GLORIA J, OLLOM CHAD W</v>
      </c>
      <c r="C1215" s="1" t="str">
        <f>"KENNY RD CHATHAM VILL CONDO UNIT 895 E BLDG 11"</f>
        <v>KENNY RD CHATHAM VILL CONDO UNIT 895 E BLDG 11</v>
      </c>
      <c r="D1215" s="1">
        <v>199.3</v>
      </c>
    </row>
    <row r="1216" spans="1:4" x14ac:dyDescent="0.3">
      <c r="A1216" s="1" t="str">
        <f>"27400096100"</f>
        <v>27400096100</v>
      </c>
      <c r="B1216" s="1" t="str">
        <f>"BARDOSI JACQUELYN ELIZABETH, PAPPAS MICHAEL CHRISTOPHER"</f>
        <v>BARDOSI JACQUELYN ELIZABETH, PAPPAS MICHAEL CHRISTOPHER</v>
      </c>
      <c r="C1216" s="1" t="str">
        <f>"BARONSCOURT LOOP BALLANTRAE SECTION 3 LOT 365"</f>
        <v>BARONSCOURT LOOP BALLANTRAE SECTION 3 LOT 365</v>
      </c>
      <c r="D1216" s="1">
        <v>753.1</v>
      </c>
    </row>
    <row r="1217" spans="1:4" x14ac:dyDescent="0.3">
      <c r="A1217" s="1" t="str">
        <f>"01004581800"</f>
        <v>01004581800</v>
      </c>
      <c r="B1217" s="1" t="str">
        <f>"BARDOWN LLC"</f>
        <v>BARDOWN LLC</v>
      </c>
      <c r="C1217" s="1" t="str">
        <f>"329 LINWOOD AVE 35X 129.9FT SHARP PARCLS 1/2 SEC 23 SUB 10"</f>
        <v>329 LINWOOD AVE 35X 129.9FT SHARP PARCLS 1/2 SEC 23 SUB 10</v>
      </c>
      <c r="D1217" s="1">
        <v>1799.26</v>
      </c>
    </row>
    <row r="1218" spans="1:4" x14ac:dyDescent="0.3">
      <c r="A1218" s="1" t="str">
        <f>"01007290600"</f>
        <v>01007290600</v>
      </c>
      <c r="B1218" s="1" t="str">
        <f>"BAREHL RACHEL J, BAREHL ADAM R"</f>
        <v>BAREHL RACHEL J, BAREHL ADAM R</v>
      </c>
      <c r="C1218" s="1" t="str">
        <f>"LAKEVIEW AVE ALL 44&amp; 2FT WS 45 CLINTON HTS AMD LOT 44-45"</f>
        <v>LAKEVIEW AVE ALL 44&amp; 2FT WS 45 CLINTON HTS AMD LOT 44-45</v>
      </c>
      <c r="D1218" s="1">
        <v>958.5</v>
      </c>
    </row>
    <row r="1219" spans="1:4" x14ac:dyDescent="0.3">
      <c r="A1219" s="1" t="str">
        <f>"51026117200"</f>
        <v>51026117200</v>
      </c>
      <c r="B1219" s="1" t="str">
        <f>"BARFIELD KIANA"</f>
        <v>BARFIELD KIANA</v>
      </c>
      <c r="C1219" s="1" t="str">
        <f>"UMIAK DRIVE HAMILTON LAKES NORTH SECTION 3 LOT 142"</f>
        <v>UMIAK DRIVE HAMILTON LAKES NORTH SECTION 3 LOT 142</v>
      </c>
      <c r="D1219" s="1">
        <v>4436.7299999999996</v>
      </c>
    </row>
    <row r="1220" spans="1:4" x14ac:dyDescent="0.3">
      <c r="A1220" s="1" t="str">
        <f>"56018285300"</f>
        <v>56018285300</v>
      </c>
      <c r="B1220" s="1" t="str">
        <f>"BARGA STEVE"</f>
        <v>BARGA STEVE</v>
      </c>
      <c r="C1220" s="1" t="str">
        <f>"EN-JOIE CT GOLFVIEW WOODS SEC 4 LOT 224"</f>
        <v>EN-JOIE CT GOLFVIEW WOODS SEC 4 LOT 224</v>
      </c>
      <c r="D1220" s="1">
        <v>2951.18</v>
      </c>
    </row>
    <row r="1221" spans="1:4" x14ac:dyDescent="0.3">
      <c r="A1221" s="1" t="str">
        <f>"15000260200"</f>
        <v>15000260200</v>
      </c>
      <c r="B1221" s="1" t="str">
        <f>"BARGMANN BARNARD"</f>
        <v>BARGMANN BARNARD</v>
      </c>
      <c r="C1221" s="1" t="str">
        <f>"HIBBS ROAD R22 T3-4 S3-35 3.933 ACRES"</f>
        <v>HIBBS ROAD R22 T3-4 S3-35 3.933 ACRES</v>
      </c>
      <c r="D1221" s="1">
        <v>695.48</v>
      </c>
    </row>
    <row r="1222" spans="1:4" x14ac:dyDescent="0.3">
      <c r="A1222" s="1" t="str">
        <f>"01003946500"</f>
        <v>01003946500</v>
      </c>
      <c r="B1222" s="1" t="str">
        <f>"BARKER ANDREA M"</f>
        <v>BARKER ANDREA M</v>
      </c>
      <c r="C1222" s="1" t="str">
        <f>"SIXTH AVE ALL 181 &amp; E 1/2 180 CASSADYS 5TH AVE"</f>
        <v>SIXTH AVE ALL 181 &amp; E 1/2 180 CASSADYS 5TH AVE</v>
      </c>
      <c r="D1222" s="1">
        <v>858.33</v>
      </c>
    </row>
    <row r="1223" spans="1:4" x14ac:dyDescent="0.3">
      <c r="A1223" s="1" t="str">
        <f>"01014171900"</f>
        <v>01014171900</v>
      </c>
      <c r="B1223" s="1" t="str">
        <f>"BARKER ANDREA M"</f>
        <v>BARKER ANDREA M</v>
      </c>
      <c r="C1223" s="1" t="str">
        <f>"ELMREEB DR SOMERSET 1 LOT 251"</f>
        <v>ELMREEB DR SOMERSET 1 LOT 251</v>
      </c>
      <c r="D1223" s="1">
        <v>3733.82</v>
      </c>
    </row>
    <row r="1224" spans="1:4" x14ac:dyDescent="0.3">
      <c r="A1224" s="1" t="str">
        <f>"01003934800"</f>
        <v>01003934800</v>
      </c>
      <c r="B1224" s="1" t="str">
        <f>"BARKER DIANE TR"</f>
        <v>BARKER DIANE TR</v>
      </c>
      <c r="C1224" s="1" t="str">
        <f>"1569 THOMAS AVE PORTERS PARCELS LOT 109"</f>
        <v>1569 THOMAS AVE PORTERS PARCELS LOT 109</v>
      </c>
      <c r="D1224" s="1">
        <v>1644.89</v>
      </c>
    </row>
    <row r="1225" spans="1:4" x14ac:dyDescent="0.3">
      <c r="A1225" s="1" t="str">
        <f>"01022592200"</f>
        <v>01022592200</v>
      </c>
      <c r="B1225" s="1" t="str">
        <f>"BARKER EMMA J"</f>
        <v>BARKER EMMA J</v>
      </c>
      <c r="C1225" s="1" t="str">
        <f>"RUMSEY ROAD HOME ACRES 75.03'WS LOT 141"</f>
        <v>RUMSEY ROAD HOME ACRES 75.03'WS LOT 141</v>
      </c>
      <c r="D1225" s="1">
        <v>2216.9299999999998</v>
      </c>
    </row>
    <row r="1226" spans="1:4" x14ac:dyDescent="0.3">
      <c r="A1226" s="1" t="str">
        <f>"05001050300"</f>
        <v>05001050300</v>
      </c>
      <c r="B1226" s="1" t="str">
        <f>"BARKER PHILLIP R, BARKER SUSAN V"</f>
        <v>BARKER PHILLIP R, BARKER SUSAN V</v>
      </c>
      <c r="C1226" s="1" t="str">
        <f>"VILLAS AT RAYS CROSSING CONDOMINIUM (4TH AMD) UNIT 4805"</f>
        <v>VILLAS AT RAYS CROSSING CONDOMINIUM (4TH AMD) UNIT 4805</v>
      </c>
      <c r="D1226" s="1">
        <v>297</v>
      </c>
    </row>
    <row r="1227" spans="1:4" x14ac:dyDescent="0.3">
      <c r="A1227" s="1" t="str">
        <f>"01002580900"</f>
        <v>01002580900</v>
      </c>
      <c r="B1227" s="1" t="str">
        <f>"BARKER SHERRY"</f>
        <v>BARKER SHERRY</v>
      </c>
      <c r="C1227" s="1" t="str">
        <f>"54-56 JONES AVE STEVENSON SUB 2"</f>
        <v>54-56 JONES AVE STEVENSON SUB 2</v>
      </c>
      <c r="D1227" s="1">
        <v>2603.9499999999998</v>
      </c>
    </row>
    <row r="1228" spans="1:4" x14ac:dyDescent="0.3">
      <c r="A1228" s="1" t="str">
        <f>"53013979500"</f>
        <v>53013979500</v>
      </c>
      <c r="B1228" s="1" t="str">
        <f>"BARKER TODD A, BARKER YUKI S"</f>
        <v>BARKER TODD A, BARKER YUKI S</v>
      </c>
      <c r="C1228" s="1" t="str">
        <f>"WARMINSTER DR AMBERLY LOT 91"</f>
        <v>WARMINSTER DR AMBERLY LOT 91</v>
      </c>
      <c r="D1228" s="1">
        <v>3555.55</v>
      </c>
    </row>
    <row r="1229" spans="1:4" x14ac:dyDescent="0.3">
      <c r="A1229" s="1" t="str">
        <f>"01018783200"</f>
        <v>01018783200</v>
      </c>
      <c r="B1229" s="1" t="str">
        <f>"BARKNEH MESFIN"</f>
        <v>BARKNEH MESFIN</v>
      </c>
      <c r="C1229" s="1" t="str">
        <f>"BEECHCROFT RD BEECHCROFT CONDO BLDG 8 UNIT 5738-J"</f>
        <v>BEECHCROFT RD BEECHCROFT CONDO BLDG 8 UNIT 5738-J</v>
      </c>
      <c r="D1229" s="1">
        <v>2100.14</v>
      </c>
    </row>
    <row r="1230" spans="1:4" x14ac:dyDescent="0.3">
      <c r="A1230" s="1" t="str">
        <f>"02500346700"</f>
        <v>02500346700</v>
      </c>
      <c r="B1230" s="1" t="str">
        <f>"BARNECUT ERMA J"</f>
        <v>BARNECUT ERMA J</v>
      </c>
      <c r="C1230" s="1" t="str">
        <f>"125 MOORFIELD DRIVE IMPERIAL RISE 1 42 "</f>
        <v xml:space="preserve">125 MOORFIELD DRIVE IMPERIAL RISE 1 42 </v>
      </c>
      <c r="D1230" s="1">
        <v>341.06</v>
      </c>
    </row>
    <row r="1231" spans="1:4" x14ac:dyDescent="0.3">
      <c r="A1231" s="1" t="str">
        <f>"05000579200"</f>
        <v>05000579200</v>
      </c>
      <c r="B1231" s="1" t="str">
        <f>"BARNES JAMES A"</f>
        <v>BARNES JAMES A</v>
      </c>
      <c r="C1231" s="1" t="str">
        <f>"VICKSBURG COURT RIVER PARK PART 1 LOT 24"</f>
        <v>VICKSBURG COURT RIVER PARK PART 1 LOT 24</v>
      </c>
      <c r="D1231" s="1">
        <v>11513.5</v>
      </c>
    </row>
    <row r="1232" spans="1:4" x14ac:dyDescent="0.3">
      <c r="A1232" s="1" t="str">
        <f>"51526110400"</f>
        <v>51526110400</v>
      </c>
      <c r="B1232" s="1" t="str">
        <f>"BARNES KATHERINE"</f>
        <v>BARNES KATHERINE</v>
      </c>
      <c r="C1232" s="1" t="str">
        <f>"RAVINES AT WAGGONER PARK  CONDOMINIUM               BLDG 1 UNIT 7948         "</f>
        <v xml:space="preserve">RAVINES AT WAGGONER PARK  CONDOMINIUM               BLDG 1 UNIT 7948         </v>
      </c>
      <c r="D1232" s="1">
        <v>2108.64</v>
      </c>
    </row>
    <row r="1233" spans="1:4" x14ac:dyDescent="0.3">
      <c r="A1233" s="1" t="str">
        <f>"18500215400"</f>
        <v>18500215400</v>
      </c>
      <c r="B1233" s="1" t="str">
        <f>"BARNES LISA"</f>
        <v>BARNES LISA</v>
      </c>
      <c r="C1233" s="1" t="str">
        <f>"VILLAGE AT CYPRESS GROVE CONDOMINIUM 4TH AMD UNIT 4741"</f>
        <v>VILLAGE AT CYPRESS GROVE CONDOMINIUM 4TH AMD UNIT 4741</v>
      </c>
      <c r="D1233" s="1">
        <v>3978.79</v>
      </c>
    </row>
    <row r="1234" spans="1:4" x14ac:dyDescent="0.3">
      <c r="A1234" s="1" t="str">
        <f>"01007225500"</f>
        <v>01007225500</v>
      </c>
      <c r="B1234" s="1" t="str">
        <f>"BARNES STEPHEN P, BARNES ANNE F"</f>
        <v>BARNES STEPHEN P, BARNES ANNE F</v>
      </c>
      <c r="C1234" s="1" t="str">
        <f>"100 CHATHAM RD NORTHRIDGE AMD LOT 283"</f>
        <v>100 CHATHAM RD NORTHRIDGE AMD LOT 283</v>
      </c>
      <c r="D1234" s="1">
        <v>3404.28</v>
      </c>
    </row>
    <row r="1235" spans="1:4" x14ac:dyDescent="0.3">
      <c r="A1235" s="1" t="str">
        <f>"01013735300"</f>
        <v>01013735300</v>
      </c>
      <c r="B1235" s="1" t="str">
        <f>"BARNES WILLIAM L"</f>
        <v>BARNES WILLIAM L</v>
      </c>
      <c r="C1235" s="1" t="str">
        <f>"ROBERTS PLACE INNIS GARDENS 4 LOT 15"</f>
        <v>ROBERTS PLACE INNIS GARDENS 4 LOT 15</v>
      </c>
      <c r="D1235" s="1">
        <v>2637.92</v>
      </c>
    </row>
    <row r="1236" spans="1:4" x14ac:dyDescent="0.3">
      <c r="A1236" s="1" t="str">
        <f>"01011464900"</f>
        <v>01011464900</v>
      </c>
      <c r="B1236" s="1" t="str">
        <f>"BARNETT BARBARA D"</f>
        <v>BARNETT BARBARA D</v>
      </c>
      <c r="C1236" s="1" t="str">
        <f>"BELLEVIEW AVE ACRES .518 R22 T4 S1"</f>
        <v>BELLEVIEW AVE ACRES .518 R22 T4 S1</v>
      </c>
      <c r="D1236" s="1">
        <v>11</v>
      </c>
    </row>
    <row r="1237" spans="1:4" x14ac:dyDescent="0.3">
      <c r="A1237" s="1" t="str">
        <f>"01007662900"</f>
        <v>01007662900</v>
      </c>
      <c r="B1237" s="1" t="str">
        <f>"BARNETT KENNETH D"</f>
        <v>BARNETT KENNETH D</v>
      </c>
      <c r="C1237" s="1" t="str">
        <f>"DUXBERRY AVE HOMESTEAD HTS 2 LOT 61"</f>
        <v>DUXBERRY AVE HOMESTEAD HTS 2 LOT 61</v>
      </c>
      <c r="D1237" s="1">
        <v>161.07</v>
      </c>
    </row>
    <row r="1238" spans="1:4" x14ac:dyDescent="0.3">
      <c r="A1238" s="1" t="str">
        <f>"01007257300"</f>
        <v>01007257300</v>
      </c>
      <c r="B1238" s="1" t="str">
        <f>"BARNETT REGINA L, SAULS CHRISTOPHER D"</f>
        <v>BARNETT REGINA L, SAULS CHRISTOPHER D</v>
      </c>
      <c r="C1238" s="1" t="str">
        <f>"OSCEOLA ST ALMADA LOT 185"</f>
        <v>OSCEOLA ST ALMADA LOT 185</v>
      </c>
      <c r="D1238" s="1">
        <v>1788.51</v>
      </c>
    </row>
    <row r="1239" spans="1:4" x14ac:dyDescent="0.3">
      <c r="A1239" s="1" t="str">
        <f>"01007571800"</f>
        <v>01007571800</v>
      </c>
      <c r="B1239" s="1" t="str">
        <f>"BARNEY E SHANE"</f>
        <v>BARNEY E SHANE</v>
      </c>
      <c r="C1239" s="1" t="str">
        <f>"WEBER RD SUNNYSIDE LOT 159"</f>
        <v>WEBER RD SUNNYSIDE LOT 159</v>
      </c>
      <c r="D1239" s="1">
        <v>1215.8900000000001</v>
      </c>
    </row>
    <row r="1240" spans="1:4" x14ac:dyDescent="0.3">
      <c r="A1240" s="1" t="str">
        <f>"59023688100"</f>
        <v>59023688100</v>
      </c>
      <c r="B1240" s="1" t="str">
        <f>"BARNHART JACK L"</f>
        <v>BARNHART JACK L</v>
      </c>
      <c r="C1240" s="1" t="str">
        <f>"DUBLIN GREEN CONDOMINIUM 7TH AMD UNIT 6699-104"</f>
        <v>DUBLIN GREEN CONDOMINIUM 7TH AMD UNIT 6699-104</v>
      </c>
      <c r="D1240" s="1">
        <v>1707.26</v>
      </c>
    </row>
    <row r="1241" spans="1:4" x14ac:dyDescent="0.3">
      <c r="A1241" s="1" t="str">
        <f>"01001638000"</f>
        <v>01001638000</v>
      </c>
      <c r="B1241" s="1" t="str">
        <f>"BARNISHIN JOHN D"</f>
        <v>BARNISHIN JOHN D</v>
      </c>
      <c r="C1241" s="1" t="str">
        <f>"1758 N 4TH ST INDIANOLA SUMMIT LOT 4 BLK 2"</f>
        <v>1758 N 4TH ST INDIANOLA SUMMIT LOT 4 BLK 2</v>
      </c>
      <c r="D1241" s="1">
        <v>90</v>
      </c>
    </row>
    <row r="1242" spans="1:4" x14ac:dyDescent="0.3">
      <c r="A1242" s="1" t="str">
        <f>"17000405600"</f>
        <v>17000405600</v>
      </c>
      <c r="B1242" s="1" t="str">
        <f>"BARON JAMES R, BARON JENNIFER S"</f>
        <v>BARON JAMES R, BARON JENNIFER S</v>
      </c>
      <c r="C1242" s="1" t="str">
        <f>"PARKWOOD PHASE 3 LOT 76"</f>
        <v>PARKWOOD PHASE 3 LOT 76</v>
      </c>
      <c r="D1242" s="1">
        <v>806.7</v>
      </c>
    </row>
    <row r="1243" spans="1:4" x14ac:dyDescent="0.3">
      <c r="A1243" s="1" t="str">
        <f>"08000550000"</f>
        <v>08000550000</v>
      </c>
      <c r="B1243" s="1" t="str">
        <f>"BARONE JOSEPH J, BARONE LYNNE A"</f>
        <v>BARONE JOSEPH J, BARONE LYNNE A</v>
      </c>
      <c r="C1243" s="1" t="str">
        <f>"WALNUT RIDGE LANE BEACHLER SUBDIVISION LOT 9"</f>
        <v>WALNUT RIDGE LANE BEACHLER SUBDIVISION LOT 9</v>
      </c>
      <c r="D1243" s="1">
        <v>583.53</v>
      </c>
    </row>
    <row r="1244" spans="1:4" x14ac:dyDescent="0.3">
      <c r="A1244" s="1" t="str">
        <f>"23000250700"</f>
        <v>23000250700</v>
      </c>
      <c r="B1244" s="1" t="str">
        <f>"BARONE SHANNON M, VEHR NANCY M"</f>
        <v>BARONE SHANNON M, VEHR NANCY M</v>
      </c>
      <c r="C1244" s="1" t="str">
        <f>"J STREET COVERED BRIDGE EXT 24 BLK 1"</f>
        <v>J STREET COVERED BRIDGE EXT 24 BLK 1</v>
      </c>
      <c r="D1244" s="1">
        <v>2943.99</v>
      </c>
    </row>
    <row r="1245" spans="1:4" x14ac:dyDescent="0.3">
      <c r="A1245" s="1" t="str">
        <f>"01007008100"</f>
        <v>01007008100</v>
      </c>
      <c r="B1245" s="1" t="str">
        <f>"BARONESS REALTY LLC"</f>
        <v>BARONESS REALTY LLC</v>
      </c>
      <c r="C1245" s="1" t="str">
        <f>"551 N CHAMPION AVE LT 137 &amp; 6 FT NS LOT 138 &amp; 6 FT SS LT 136"</f>
        <v>551 N CHAMPION AVE LT 137 &amp; 6 FT NS LOT 138 &amp; 6 FT SS LT 136</v>
      </c>
      <c r="D1245" s="1">
        <v>1680.61</v>
      </c>
    </row>
    <row r="1246" spans="1:4" x14ac:dyDescent="0.3">
      <c r="A1246" s="1" t="str">
        <f>"06000726900"</f>
        <v>06000726900</v>
      </c>
      <c r="B1246" s="1" t="str">
        <f>"BARR DAVID M, BARR PATRICIA A"</f>
        <v>BARR DAVID M, BARR PATRICIA A</v>
      </c>
      <c r="C1246" s="1" t="str">
        <f>"PATHFINDER DRIVE INDIAN CREEK SEC 2 LOT 75"</f>
        <v>PATHFINDER DRIVE INDIAN CREEK SEC 2 LOT 75</v>
      </c>
      <c r="D1246" s="1">
        <v>5643.52</v>
      </c>
    </row>
    <row r="1247" spans="1:4" x14ac:dyDescent="0.3">
      <c r="A1247" s="1" t="str">
        <f>"01007013400"</f>
        <v>01007013400</v>
      </c>
      <c r="B1247" s="1" t="str">
        <f>"BARRETT ANDRE"</f>
        <v>BARRETT ANDRE</v>
      </c>
      <c r="C1247" s="1" t="str">
        <f>"PONTIAC ST ALMADA LOT 308"</f>
        <v>PONTIAC ST ALMADA LOT 308</v>
      </c>
      <c r="D1247" s="1">
        <v>1896.19</v>
      </c>
    </row>
    <row r="1248" spans="1:4" x14ac:dyDescent="0.3">
      <c r="A1248" s="1" t="str">
        <f>"01002479500"</f>
        <v>01002479500</v>
      </c>
      <c r="B1248" s="1" t="str">
        <f>"BARRETT CHARLES A"</f>
        <v>BARRETT CHARLES A</v>
      </c>
      <c r="C1248" s="1" t="str">
        <f>"2051 SULLIVANT AVE HIGH RIDGE LOT 20"</f>
        <v>2051 SULLIVANT AVE HIGH RIDGE LOT 20</v>
      </c>
      <c r="D1248" s="1">
        <v>1792.32</v>
      </c>
    </row>
    <row r="1249" spans="1:4" x14ac:dyDescent="0.3">
      <c r="A1249" s="1" t="str">
        <f>"22000225700"</f>
        <v>22000225700</v>
      </c>
      <c r="B1249" s="1" t="str">
        <f>"BARRETT CHRISTOPHER T, BARRETT SARA E"</f>
        <v>BARRETT CHRISTOPHER T, BARRETT SARA E</v>
      </c>
      <c r="C1249" s="1" t="str">
        <f>"BEVELHEIMER RD 2.984 ACRES R16 T2 1/4T1"</f>
        <v>BEVELHEIMER RD 2.984 ACRES R16 T2 1/4T1</v>
      </c>
      <c r="D1249" s="1">
        <v>5228.62</v>
      </c>
    </row>
    <row r="1250" spans="1:4" x14ac:dyDescent="0.3">
      <c r="A1250" s="1" t="str">
        <f>"01011688700"</f>
        <v>01011688700</v>
      </c>
      <c r="B1250" s="1" t="str">
        <f>"BARRETT DYLAN E TR, BARRETT PAULA Y TR"</f>
        <v>BARRETT DYLAN E TR, BARRETT PAULA Y TR</v>
      </c>
      <c r="C1250" s="1" t="str">
        <f>"EFNER DR LEA-WOOD GDNS 3 LOT 203"</f>
        <v>EFNER DR LEA-WOOD GDNS 3 LOT 203</v>
      </c>
      <c r="D1250" s="1">
        <v>1628.25</v>
      </c>
    </row>
    <row r="1251" spans="1:4" x14ac:dyDescent="0.3">
      <c r="A1251" s="1" t="str">
        <f>"01006347500"</f>
        <v>01006347500</v>
      </c>
      <c r="B1251" s="1" t="str">
        <f>"BARRETT GARY E"</f>
        <v>BARRETT GARY E</v>
      </c>
      <c r="C1251" s="1" t="str">
        <f>"BRIARWOOD AVE KINER HRS LOT 35"</f>
        <v>BRIARWOOD AVE KINER HRS LOT 35</v>
      </c>
      <c r="D1251" s="1">
        <v>1180.3599999999999</v>
      </c>
    </row>
    <row r="1252" spans="1:4" x14ac:dyDescent="0.3">
      <c r="A1252" s="1" t="str">
        <f>"01011199600"</f>
        <v>01011199600</v>
      </c>
      <c r="B1252" s="1" t="str">
        <f>"BARRETT LORRETTA"</f>
        <v>BARRETT LORRETTA</v>
      </c>
      <c r="C1252" s="1" t="str">
        <f>"1340 AUGMONT AVE CLARFIELD SUBD LOT 78"</f>
        <v>1340 AUGMONT AVE CLARFIELD SUBD LOT 78</v>
      </c>
      <c r="D1252" s="1">
        <v>830.05</v>
      </c>
    </row>
    <row r="1253" spans="1:4" x14ac:dyDescent="0.3">
      <c r="A1253" s="1" t="str">
        <f>"08000799900"</f>
        <v>08000799900</v>
      </c>
      <c r="B1253" s="1" t="str">
        <f>"BARRETT MARK A"</f>
        <v>BARRETT MARK A</v>
      </c>
      <c r="C1253" s="1" t="str">
        <f>"1109 FOREST VIEW CT WOODGLEN SECTION 3 LOT 54"</f>
        <v>1109 FOREST VIEW CT WOODGLEN SECTION 3 LOT 54</v>
      </c>
      <c r="D1253" s="1">
        <v>11388.81</v>
      </c>
    </row>
    <row r="1254" spans="1:4" x14ac:dyDescent="0.3">
      <c r="A1254" s="1" t="str">
        <f>"19000496700"</f>
        <v>19000496700</v>
      </c>
      <c r="B1254" s="1" t="str">
        <f>"BARRETT RODNEY E, BARRETT TOCKA L"</f>
        <v>BARRETT RODNEY E, BARRETT TOCKA L</v>
      </c>
      <c r="C1254" s="1" t="str">
        <f>"SUNBURY RD ACRES 1.0 R17 T1 SEC 3 7 "</f>
        <v xml:space="preserve">SUNBURY RD ACRES 1.0 R17 T1 SEC 3 7 </v>
      </c>
      <c r="D1254" s="1">
        <v>10176.450000000001</v>
      </c>
    </row>
    <row r="1255" spans="1:4" x14ac:dyDescent="0.3">
      <c r="A1255" s="1" t="str">
        <f>"01009279900"</f>
        <v>01009279900</v>
      </c>
      <c r="B1255" s="1" t="str">
        <f>"BARRETT RODNEY E, BLACKWELL ALICE MAE"</f>
        <v>BARRETT RODNEY E, BLACKWELL ALICE MAE</v>
      </c>
      <c r="C1255" s="1" t="str">
        <f>"5TH AVE STELZER LOT 17 "</f>
        <v xml:space="preserve">5TH AVE STELZER LOT 17 </v>
      </c>
      <c r="D1255" s="1">
        <v>3059.91</v>
      </c>
    </row>
    <row r="1256" spans="1:4" x14ac:dyDescent="0.3">
      <c r="A1256" s="1" t="str">
        <f>"01009280200"</f>
        <v>01009280200</v>
      </c>
      <c r="B1256" s="1" t="str">
        <f>"BARRETT RODNEY E, BLACKWELL ALICE MAE"</f>
        <v>BARRETT RODNEY E, BLACKWELL ALICE MAE</v>
      </c>
      <c r="C1256" s="1" t="str">
        <f>"5TH AVE STELZER LOT 20"</f>
        <v>5TH AVE STELZER LOT 20</v>
      </c>
      <c r="D1256" s="1">
        <v>300.51</v>
      </c>
    </row>
    <row r="1257" spans="1:4" x14ac:dyDescent="0.3">
      <c r="A1257" s="1" t="str">
        <f>"01009280300"</f>
        <v>01009280300</v>
      </c>
      <c r="B1257" s="1" t="str">
        <f>"BARRETT RODNEY E, BLACKWELL ALICE MAE"</f>
        <v>BARRETT RODNEY E, BLACKWELL ALICE MAE</v>
      </c>
      <c r="C1257" s="1" t="str">
        <f>"5TH AVE STELZER LOT 21"</f>
        <v>5TH AVE STELZER LOT 21</v>
      </c>
      <c r="D1257" s="1">
        <v>175.81</v>
      </c>
    </row>
    <row r="1258" spans="1:4" x14ac:dyDescent="0.3">
      <c r="A1258" s="1" t="str">
        <f>"01003142200"</f>
        <v>01003142200</v>
      </c>
      <c r="B1258" s="1" t="str">
        <f>"BARRON LEONARD"</f>
        <v>BARRON LEONARD</v>
      </c>
      <c r="C1258" s="1" t="str">
        <f>"DOREN AVE GLENWOOD HTS LOT 277"</f>
        <v>DOREN AVE GLENWOOD HTS LOT 277</v>
      </c>
      <c r="D1258" s="1">
        <v>1241.3499999999999</v>
      </c>
    </row>
    <row r="1259" spans="1:4" x14ac:dyDescent="0.3">
      <c r="A1259" s="1" t="str">
        <f>"01006458500"</f>
        <v>01006458500</v>
      </c>
      <c r="B1259" s="1" t="str">
        <f>"BARROWMAN GEORGE M JR, BARROWMAN ELIZABETH R"</f>
        <v>BARROWMAN GEORGE M JR, BARROWMAN ELIZABETH R</v>
      </c>
      <c r="C1259" s="1" t="str">
        <f>"BINNS BLVD BROADVIEW LOT 12 BLK 11"</f>
        <v>BINNS BLVD BROADVIEW LOT 12 BLK 11</v>
      </c>
      <c r="D1259" s="1">
        <v>29.7</v>
      </c>
    </row>
    <row r="1260" spans="1:4" x14ac:dyDescent="0.3">
      <c r="A1260" s="1" t="str">
        <f>"01013130900"</f>
        <v>01013130900</v>
      </c>
      <c r="B1260" s="1" t="str">
        <f>"BARRY IBRAHIMA"</f>
        <v>BARRY IBRAHIMA</v>
      </c>
      <c r="C1260" s="1" t="str">
        <f>"STRIEBEL RD CHRISVIEW HTS LOT 42"</f>
        <v>STRIEBEL RD CHRISVIEW HTS LOT 42</v>
      </c>
      <c r="D1260" s="1">
        <v>1539.1</v>
      </c>
    </row>
    <row r="1261" spans="1:4" x14ac:dyDescent="0.3">
      <c r="A1261" s="1" t="str">
        <f>"09000559100"</f>
        <v>09000559100</v>
      </c>
      <c r="B1261" s="1" t="str">
        <f>"BARRY MARIE L, BRAGG BETTY FAYE"</f>
        <v>BARRY MARIE L, BRAGG BETTY FAYE</v>
      </c>
      <c r="C1261" s="1" t="str">
        <f>"775 BEECHWOOD AVE 50X200FT NE COR LOT 11 BLOWER SUB"</f>
        <v>775 BEECHWOOD AVE 50X200FT NE COR LOT 11 BLOWER SUB</v>
      </c>
      <c r="D1261" s="1">
        <v>235.19</v>
      </c>
    </row>
    <row r="1262" spans="1:4" x14ac:dyDescent="0.3">
      <c r="A1262" s="1" t="str">
        <f>"06000417200"</f>
        <v>06000417200</v>
      </c>
      <c r="B1262" s="1" t="str">
        <f>"BARRY VALERIE JANE"</f>
        <v>BARRY VALERIE JANE</v>
      </c>
      <c r="C1262" s="1" t="str">
        <f>"GRAHAM RD R20T16S17-181/4S28-9 0.182 ACRE"</f>
        <v>GRAHAM RD R20T16S17-181/4S28-9 0.182 ACRE</v>
      </c>
      <c r="D1262" s="1">
        <v>161.38999999999999</v>
      </c>
    </row>
    <row r="1263" spans="1:4" x14ac:dyDescent="0.3">
      <c r="A1263" s="1" t="str">
        <f>"01013762900"</f>
        <v>01013762900</v>
      </c>
      <c r="B1263" s="1" t="str">
        <f>"BARTEE MICHAEL A"</f>
        <v>BARTEE MICHAEL A</v>
      </c>
      <c r="C1263" s="1" t="str">
        <f>"3993 JUDSON RD SOUTHERN PINES SEC 1 PTS LOT 15-16"</f>
        <v>3993 JUDSON RD SOUTHERN PINES SEC 1 PTS LOT 15-16</v>
      </c>
      <c r="D1263" s="1">
        <v>2442.2800000000002</v>
      </c>
    </row>
    <row r="1264" spans="1:4" x14ac:dyDescent="0.3">
      <c r="A1264" s="1" t="str">
        <f>"06000933300"</f>
        <v>06000933300</v>
      </c>
      <c r="B1264" s="1" t="str">
        <f>"BARTH RICHARD E TR"</f>
        <v>BARTH RICHARD E TR</v>
      </c>
      <c r="C1264" s="1" t="str">
        <f>"1676 LANCASTER RD. 1. ACRE R20T16S181-4S29"</f>
        <v>1676 LANCASTER RD. 1. ACRE R20T16S181-4S29</v>
      </c>
      <c r="D1264" s="1">
        <v>479.65</v>
      </c>
    </row>
    <row r="1265" spans="1:4" x14ac:dyDescent="0.3">
      <c r="A1265" s="1" t="str">
        <f>"16000009900"</f>
        <v>16000009900</v>
      </c>
      <c r="B1265" s="1" t="str">
        <f>"BARTHELMAS TODD A"</f>
        <v>BARTHELMAS TODD A</v>
      </c>
      <c r="C1265" s="1" t="str">
        <f>"ZUBER RD 2.130 ACRES ENTRY 1365"</f>
        <v>ZUBER RD 2.130 ACRES ENTRY 1365</v>
      </c>
      <c r="D1265" s="1">
        <v>269.64999999999998</v>
      </c>
    </row>
    <row r="1266" spans="1:4" x14ac:dyDescent="0.3">
      <c r="A1266" s="1" t="str">
        <f>"01003928200"</f>
        <v>01003928200</v>
      </c>
      <c r="B1266" s="1" t="str">
        <f>"BARTHLOW EDITH"</f>
        <v>BARTHLOW EDITH</v>
      </c>
      <c r="C1266" s="1" t="str">
        <f>"359 KELSO RD CRESTVIEW LOT 1009-10"</f>
        <v>359 KELSO RD CRESTVIEW LOT 1009-10</v>
      </c>
      <c r="D1266" s="1">
        <v>127.57</v>
      </c>
    </row>
    <row r="1267" spans="1:4" x14ac:dyDescent="0.3">
      <c r="A1267" s="1" t="str">
        <f>"05000123900"</f>
        <v>05000123900</v>
      </c>
      <c r="B1267" s="1" t="str">
        <f>"BARTHLOW EDITH P"</f>
        <v>BARTHLOW EDITH P</v>
      </c>
      <c r="C1267" s="1" t="str">
        <f>"5160 DRIVEMERE ROAD LUXAIR 2 LOT 46"</f>
        <v>5160 DRIVEMERE ROAD LUXAIR 2 LOT 46</v>
      </c>
      <c r="D1267" s="1">
        <v>127.42</v>
      </c>
    </row>
    <row r="1268" spans="1:4" x14ac:dyDescent="0.3">
      <c r="A1268" s="1" t="str">
        <f>"01020456400"</f>
        <v>01020456400</v>
      </c>
      <c r="B1268" s="1" t="str">
        <f>"BARTHOLOMEW ROBERT C"</f>
        <v>BARTHOLOMEW ROBERT C</v>
      </c>
      <c r="C1268" s="1" t="str">
        <f>"SHADOW LAKES CONDOMINIUM 2 AMD BLDG 20 UNIT 5932"</f>
        <v>SHADOW LAKES CONDOMINIUM 2 AMD BLDG 20 UNIT 5932</v>
      </c>
      <c r="D1268" s="1">
        <v>3391.73</v>
      </c>
    </row>
    <row r="1269" spans="1:4" x14ac:dyDescent="0.3">
      <c r="A1269" s="1" t="str">
        <f>"01020456500"</f>
        <v>01020456500</v>
      </c>
      <c r="B1269" s="1" t="str">
        <f>"BARTHOLOMEW ROBERT C"</f>
        <v>BARTHOLOMEW ROBERT C</v>
      </c>
      <c r="C1269" s="1" t="str">
        <f>"SHADOW LAKES CONDOMINIUM 2 AMD BLDG 20 UNIT 5934"</f>
        <v>SHADOW LAKES CONDOMINIUM 2 AMD BLDG 20 UNIT 5934</v>
      </c>
      <c r="D1269" s="1">
        <v>3337.58</v>
      </c>
    </row>
    <row r="1270" spans="1:4" x14ac:dyDescent="0.3">
      <c r="A1270" s="1" t="str">
        <f>"01010959100"</f>
        <v>01010959100</v>
      </c>
      <c r="B1270" s="1" t="str">
        <f>"BARTON ANDREW JONATHAN TR, BARTON JENNIFER LEE TR"</f>
        <v>BARTON ANDREW JONATHAN TR, BARTON JENNIFER LEE TR</v>
      </c>
      <c r="C1270" s="1" t="str">
        <f>"CHASE AVE REAR &amp; 15 FT AL VAC CHASELAND"</f>
        <v>CHASE AVE REAR &amp; 15 FT AL VAC CHASELAND</v>
      </c>
      <c r="D1270" s="1">
        <v>50.42</v>
      </c>
    </row>
    <row r="1271" spans="1:4" x14ac:dyDescent="0.3">
      <c r="A1271" s="1" t="str">
        <f>"56024559900"</f>
        <v>56024559900</v>
      </c>
      <c r="B1271" s="1" t="str">
        <f>"BASERMAN SARAH-JANE"</f>
        <v>BASERMAN SARAH-JANE</v>
      </c>
      <c r="C1271" s="1" t="str">
        <f>"THE VILLAGE AT THORNAPPLE SECTION 7 LOT 251"</f>
        <v>THE VILLAGE AT THORNAPPLE SECTION 7 LOT 251</v>
      </c>
      <c r="D1271" s="1">
        <v>4964.8</v>
      </c>
    </row>
    <row r="1272" spans="1:4" x14ac:dyDescent="0.3">
      <c r="A1272" s="1" t="str">
        <f>"27300461600"</f>
        <v>27300461600</v>
      </c>
      <c r="B1272" s="1" t="str">
        <f>"BASHAW DONALD E, BASHAW KATHLEEN L"</f>
        <v>BASHAW DONALD E, BASHAW KATHLEEN L</v>
      </c>
      <c r="C1272" s="1" t="str">
        <f>"NEWGRANGE DRIVE LOWELL TRACE SEC 2 LOT 49"</f>
        <v>NEWGRANGE DRIVE LOWELL TRACE SEC 2 LOT 49</v>
      </c>
      <c r="D1272" s="1">
        <v>6474.35</v>
      </c>
    </row>
    <row r="1273" spans="1:4" x14ac:dyDescent="0.3">
      <c r="A1273" s="1" t="str">
        <f>"01006178400"</f>
        <v>01006178400</v>
      </c>
      <c r="B1273" s="1" t="str">
        <f>"BASHAW LISA TR"</f>
        <v>BASHAW LISA TR</v>
      </c>
      <c r="C1273" s="1" t="str">
        <f>"DOTEN AVE WHITE ROSE LOT 80"</f>
        <v>DOTEN AVE WHITE ROSE LOT 80</v>
      </c>
      <c r="D1273" s="1">
        <v>452.32</v>
      </c>
    </row>
    <row r="1274" spans="1:4" x14ac:dyDescent="0.3">
      <c r="A1274" s="1" t="str">
        <f>"01002982400"</f>
        <v>01002982400</v>
      </c>
      <c r="B1274" s="1" t="str">
        <f>"BASHIR EMILE S"</f>
        <v>BASHIR EMILE S</v>
      </c>
      <c r="C1274" s="1" t="str">
        <f>"545 LINWOOD S1/2 293&amp;ALL 294 OAKWOOD E LOT 293-294"</f>
        <v>545 LINWOOD S1/2 293&amp;ALL 294 OAKWOOD E LOT 293-294</v>
      </c>
      <c r="D1274" s="1">
        <v>70.73</v>
      </c>
    </row>
    <row r="1275" spans="1:4" x14ac:dyDescent="0.3">
      <c r="A1275" s="1" t="str">
        <f>"01008057900"</f>
        <v>01008057900</v>
      </c>
      <c r="B1275" s="1" t="str">
        <f>"BASHIR EMILE, BASHIR VICKIE"</f>
        <v>BASHIR EMILE, BASHIR VICKIE</v>
      </c>
      <c r="C1275" s="1" t="str">
        <f>"BERKELEY RD DRIVING PARK LOT 80"</f>
        <v>BERKELEY RD DRIVING PARK LOT 80</v>
      </c>
      <c r="D1275" s="1">
        <v>122.66</v>
      </c>
    </row>
    <row r="1276" spans="1:4" x14ac:dyDescent="0.3">
      <c r="A1276" s="1" t="str">
        <f>"04000126600"</f>
        <v>04000126600</v>
      </c>
      <c r="B1276" s="1" t="str">
        <f>"BASIL PROPERTY MANAGEMENT LLC"</f>
        <v>BASIL PROPERTY MANAGEMENT LLC</v>
      </c>
      <c r="C1276" s="1" t="str">
        <f>"3009-011 COLUMBUS ST ACRS OQ2000 ENTRY 1383"</f>
        <v>3009-011 COLUMBUS ST ACRS OQ2000 ENTRY 1383</v>
      </c>
      <c r="D1276" s="1">
        <v>19228.580000000002</v>
      </c>
    </row>
    <row r="1277" spans="1:4" x14ac:dyDescent="0.3">
      <c r="A1277" s="1" t="str">
        <f>"01006808100"</f>
        <v>01006808100</v>
      </c>
      <c r="B1277" s="1" t="str">
        <f>"BASILIO VINCENTE MARTIN"</f>
        <v>BASILIO VINCENTE MARTIN</v>
      </c>
      <c r="C1277" s="1" t="str">
        <f>"HILLTONIA ANNEX LOT 22 BLK 13 "</f>
        <v xml:space="preserve">HILLTONIA ANNEX LOT 22 BLK 13 </v>
      </c>
      <c r="D1277" s="1">
        <v>2171.38</v>
      </c>
    </row>
    <row r="1278" spans="1:4" x14ac:dyDescent="0.3">
      <c r="A1278" s="1" t="str">
        <f>"17100086100"</f>
        <v>17100086100</v>
      </c>
      <c r="B1278" s="1" t="str">
        <f>"BASNET DURGA S, BASNET GANGA M"</f>
        <v>BASNET DURGA S, BASNET GANGA M</v>
      </c>
      <c r="C1278" s="1" t="str">
        <f>"WILLOW OAK DRIVE WILLOW BROOK CROSSING PART 2 LOT 132"</f>
        <v>WILLOW OAK DRIVE WILLOW BROOK CROSSING PART 2 LOT 132</v>
      </c>
      <c r="D1278" s="1">
        <v>329.91</v>
      </c>
    </row>
    <row r="1279" spans="1:4" x14ac:dyDescent="0.3">
      <c r="A1279" s="1" t="str">
        <f>"01005660400"</f>
        <v>01005660400</v>
      </c>
      <c r="B1279" s="1" t="str">
        <f>"BASS KIMBERLY D"</f>
        <v>BASS KIMBERLY D</v>
      </c>
      <c r="C1279" s="1" t="str">
        <f>"1005 CAMDEN AVE S J WOOLEYS ADD LOTS 10,11 &amp; 14"</f>
        <v>1005 CAMDEN AVE S J WOOLEYS ADD LOTS 10,11 &amp; 14</v>
      </c>
      <c r="D1279" s="1">
        <v>1421.44</v>
      </c>
    </row>
    <row r="1280" spans="1:4" x14ac:dyDescent="0.3">
      <c r="A1280" s="1" t="str">
        <f>"24000562600"</f>
        <v>24000562600</v>
      </c>
      <c r="B1280" s="1" t="str">
        <f>"BASS STEPHEN J, BASS ANGELINA M"</f>
        <v>BASS STEPHEN J, BASS ANGELINA M</v>
      </c>
      <c r="C1280" s="1" t="str">
        <f>"6540 BIRCH PARK WAY VILLAGE PARK LOT 158"</f>
        <v>6540 BIRCH PARK WAY VILLAGE PARK LOT 158</v>
      </c>
      <c r="D1280" s="1">
        <v>1174.55</v>
      </c>
    </row>
    <row r="1281" spans="1:4" x14ac:dyDescent="0.3">
      <c r="A1281" s="1" t="str">
        <f>"01002289600"</f>
        <v>01002289600</v>
      </c>
      <c r="B1281" s="1" t="str">
        <f>"BASS TIMOTHY A"</f>
        <v>BASS TIMOTHY A</v>
      </c>
      <c r="C1281" s="1" t="str">
        <f>"36 KING AVE 23FT WS MCMILLEN LOT 7"</f>
        <v>36 KING AVE 23FT WS MCMILLEN LOT 7</v>
      </c>
      <c r="D1281" s="1">
        <v>1288.19</v>
      </c>
    </row>
    <row r="1282" spans="1:4" x14ac:dyDescent="0.3">
      <c r="A1282" s="1" t="str">
        <f>"01013533800"</f>
        <v>01013533800</v>
      </c>
      <c r="B1282" s="1" t="str">
        <f>"BASSETT OKEMA"</f>
        <v>BASSETT OKEMA</v>
      </c>
      <c r="C1282" s="1" t="str">
        <f>"NIAGARA COURT E BERWYN 5 LOT 16"</f>
        <v>NIAGARA COURT E BERWYN 5 LOT 16</v>
      </c>
      <c r="D1282" s="1">
        <v>1989.74</v>
      </c>
    </row>
    <row r="1283" spans="1:4" x14ac:dyDescent="0.3">
      <c r="A1283" s="1" t="str">
        <f>"05000896700"</f>
        <v>05000896700</v>
      </c>
      <c r="B1283" s="1" t="str">
        <f>"BATEMAN RHONDA L"</f>
        <v>BATEMAN RHONDA L</v>
      </c>
      <c r="C1283" s="1" t="str">
        <f>"SCIOTO RUN BOULEVARD SCIOTO RUN WEST LOT 266"</f>
        <v>SCIOTO RUN BOULEVARD SCIOTO RUN WEST LOT 266</v>
      </c>
      <c r="D1283" s="1">
        <v>5513.88</v>
      </c>
    </row>
    <row r="1284" spans="1:4" x14ac:dyDescent="0.3">
      <c r="A1284" s="1" t="str">
        <f>"01013707100"</f>
        <v>01013707100</v>
      </c>
      <c r="B1284" s="1" t="str">
        <f>"BATEMAN SCOTT O"</f>
        <v>BATEMAN SCOTT O</v>
      </c>
      <c r="C1284" s="1" t="str">
        <f>"ADELL RD HOLLY HILL 7 LOT 630"</f>
        <v>ADELL RD HOLLY HILL 7 LOT 630</v>
      </c>
      <c r="D1284" s="1">
        <v>652.46</v>
      </c>
    </row>
    <row r="1285" spans="1:4" x14ac:dyDescent="0.3">
      <c r="A1285" s="1" t="str">
        <f>"57022001500"</f>
        <v>57022001500</v>
      </c>
      <c r="B1285" s="1" t="str">
        <f>"BATES ADAM, BATES SARRAH"</f>
        <v>BATES ADAM, BATES SARRAH</v>
      </c>
      <c r="C1285" s="1" t="str">
        <f>"EPERNAY WAY EPERNAY LOT 66"</f>
        <v>EPERNAY WAY EPERNAY LOT 66</v>
      </c>
      <c r="D1285" s="1">
        <v>1032</v>
      </c>
    </row>
    <row r="1286" spans="1:4" x14ac:dyDescent="0.3">
      <c r="A1286" s="1" t="str">
        <f>"04001250200"</f>
        <v>04001250200</v>
      </c>
      <c r="B1286" s="1" t="str">
        <f>"BATES DAVID J, BATES PHYLLIS E"</f>
        <v>BATES DAVID J, BATES PHYLLIS E</v>
      </c>
      <c r="C1286" s="1" t="str">
        <f>"SHAWNEE STREET LEDGESTONE AT INDIAN TRAILS LOT 17"</f>
        <v>SHAWNEE STREET LEDGESTONE AT INDIAN TRAILS LOT 17</v>
      </c>
      <c r="D1286" s="1">
        <v>303.35000000000002</v>
      </c>
    </row>
    <row r="1287" spans="1:4" x14ac:dyDescent="0.3">
      <c r="A1287" s="1" t="str">
        <f>"01007257200"</f>
        <v>01007257200</v>
      </c>
      <c r="B1287" s="1" t="str">
        <f>"BATES DOUGLAS W"</f>
        <v>BATES DOUGLAS W</v>
      </c>
      <c r="C1287" s="1" t="str">
        <f>"OSCEOLA ST ALMADA LOT 127"</f>
        <v>OSCEOLA ST ALMADA LOT 127</v>
      </c>
      <c r="D1287" s="1">
        <v>1390.14</v>
      </c>
    </row>
    <row r="1288" spans="1:4" x14ac:dyDescent="0.3">
      <c r="A1288" s="1" t="str">
        <f>"01013276300"</f>
        <v>01013276300</v>
      </c>
      <c r="B1288" s="1" t="str">
        <f>"BATES GLORIA J"</f>
        <v>BATES GLORIA J</v>
      </c>
      <c r="C1288" s="1" t="str">
        <f>"PAMELLA DR SILVERBROOK HTS LOT 13"</f>
        <v>PAMELLA DR SILVERBROOK HTS LOT 13</v>
      </c>
      <c r="D1288" s="1">
        <v>164.99</v>
      </c>
    </row>
    <row r="1289" spans="1:4" x14ac:dyDescent="0.3">
      <c r="A1289" s="1" t="str">
        <f>"04000671700"</f>
        <v>04000671700</v>
      </c>
      <c r="B1289" s="1" t="str">
        <f>"BATES KATHRYN A"</f>
        <v>BATES KATHRYN A</v>
      </c>
      <c r="C1289" s="1" t="str">
        <f>"DAWN DR ANNABELLE ROBINSON LOT 35"</f>
        <v>DAWN DR ANNABELLE ROBINSON LOT 35</v>
      </c>
      <c r="D1289" s="1">
        <v>345.16</v>
      </c>
    </row>
    <row r="1290" spans="1:4" x14ac:dyDescent="0.3">
      <c r="A1290" s="1" t="str">
        <f>"61020876000"</f>
        <v>61020876000</v>
      </c>
      <c r="B1290" s="1" t="str">
        <f>"BATEY WILLIAM T"</f>
        <v>BATEY WILLIAM T</v>
      </c>
      <c r="C1290" s="1" t="str">
        <f>"WORTHINGTON WOODS WEST CONDOMINIUM 10 UNIT 13"</f>
        <v>WORTHINGTON WOODS WEST CONDOMINIUM 10 UNIT 13</v>
      </c>
      <c r="D1290" s="1">
        <v>1447.64</v>
      </c>
    </row>
    <row r="1291" spans="1:4" x14ac:dyDescent="0.3">
      <c r="A1291" s="1" t="str">
        <f>"27400036900"</f>
        <v>27400036900</v>
      </c>
      <c r="B1291" s="1" t="str">
        <f>"BATSCH BARBARA ANN TTEE, WALKER CAROL LYNN, BATSCH BENJAMIN T JR TTEE"</f>
        <v>BATSCH BARBARA ANN TTEE, WALKER CAROL LYNN, BATSCH BENJAMIN T JR TTEE</v>
      </c>
      <c r="C1291" s="1" t="str">
        <f>"VILLAGE OF BALGRIFFIN CONDOMINIUM 4TH AMD BLDG 6 UNIT 6183"</f>
        <v>VILLAGE OF BALGRIFFIN CONDOMINIUM 4TH AMD BLDG 6 UNIT 6183</v>
      </c>
      <c r="D1291" s="1">
        <v>183.14</v>
      </c>
    </row>
    <row r="1292" spans="1:4" x14ac:dyDescent="0.3">
      <c r="A1292" s="1" t="str">
        <f>"01000555100"</f>
        <v>01000555100</v>
      </c>
      <c r="B1292" s="1" t="str">
        <f>"BATTON ROGER P"</f>
        <v>BATTON ROGER P</v>
      </c>
      <c r="C1292" s="1" t="str">
        <f>"1416 OXFORD ST MONETTS CENTENIAL PK LOT 46"</f>
        <v>1416 OXFORD ST MONETTS CENTENIAL PK LOT 46</v>
      </c>
      <c r="D1292" s="1">
        <v>1045.0899999999999</v>
      </c>
    </row>
    <row r="1293" spans="1:4" x14ac:dyDescent="0.3">
      <c r="A1293" s="1" t="str">
        <f>"01023834300"</f>
        <v>01023834300</v>
      </c>
      <c r="B1293" s="1" t="str">
        <f>"BATY BONNIE"</f>
        <v>BATY BONNIE</v>
      </c>
      <c r="C1293" s="1" t="str">
        <f>"ABERDEEN AVENUE LINDEN PARK PLACE 16.4'X140.04'VAC AL"</f>
        <v>ABERDEEN AVENUE LINDEN PARK PLACE 16.4'X140.04'VAC AL</v>
      </c>
      <c r="D1293" s="1">
        <v>11.63</v>
      </c>
    </row>
    <row r="1294" spans="1:4" x14ac:dyDescent="0.3">
      <c r="A1294" s="1" t="str">
        <f>"53016081500"</f>
        <v>53016081500</v>
      </c>
      <c r="B1294" s="1" t="str">
        <f>"BAUCHMOYER DELANO R, BAUCHMOYER ROSA M"</f>
        <v>BAUCHMOYER DELANO R, BAUCHMOYER ROSA M</v>
      </c>
      <c r="C1294" s="1" t="str">
        <f>"3512 CHANTILLY ST VALLEY GREEN SUBD LOT 141"</f>
        <v>3512 CHANTILLY ST VALLEY GREEN SUBD LOT 141</v>
      </c>
      <c r="D1294" s="1">
        <v>3335.37</v>
      </c>
    </row>
    <row r="1295" spans="1:4" x14ac:dyDescent="0.3">
      <c r="A1295" s="1" t="str">
        <f>"53025166600"</f>
        <v>53025166600</v>
      </c>
      <c r="B1295" s="1" t="str">
        <f>"BAUCHMOYER DELANO R, BAUCHMOYER ROSA M"</f>
        <v>BAUCHMOYER DELANO R, BAUCHMOYER ROSA M</v>
      </c>
      <c r="C1295" s="1" t="str">
        <f>"TIMBERSTONE DRIVE KENSINGTON GLEN SECTION 1 LOT 12"</f>
        <v>TIMBERSTONE DRIVE KENSINGTON GLEN SECTION 1 LOT 12</v>
      </c>
      <c r="D1295" s="1">
        <v>2403.2600000000002</v>
      </c>
    </row>
    <row r="1296" spans="1:4" x14ac:dyDescent="0.3">
      <c r="A1296" s="1" t="str">
        <f>"18700001300"</f>
        <v>18700001300</v>
      </c>
      <c r="B1296" s="1" t="str">
        <f>"BAUCHMOYER DELANO R, BAUCHMOYER ROSA M"</f>
        <v>BAUCHMOYER DELANO R, BAUCHMOYER ROSA M</v>
      </c>
      <c r="C1296" s="1" t="str">
        <f>"PICKERINGTN&amp;BRICE RD R21 T15 S6 SE QR LOT 3 4.671 ACRES"</f>
        <v>PICKERINGTN&amp;BRICE RD R21 T15 S6 SE QR LOT 3 4.671 ACRES</v>
      </c>
      <c r="D1296" s="1">
        <v>1410.19</v>
      </c>
    </row>
    <row r="1297" spans="1:4" x14ac:dyDescent="0.3">
      <c r="A1297" s="1" t="str">
        <f>"01001635200"</f>
        <v>01001635200</v>
      </c>
      <c r="B1297" s="1" t="str">
        <f>"BAUER DRAKE"</f>
        <v>BAUER DRAKE</v>
      </c>
      <c r="C1297" s="1" t="str">
        <f>"995-3 MILLER AVE TEUTONIA LOT 7"</f>
        <v>995-3 MILLER AVE TEUTONIA LOT 7</v>
      </c>
      <c r="D1297" s="1">
        <v>2929.22</v>
      </c>
    </row>
    <row r="1298" spans="1:4" x14ac:dyDescent="0.3">
      <c r="A1298" s="1" t="str">
        <f>"59021680200"</f>
        <v>59021680200</v>
      </c>
      <c r="B1298" s="1" t="str">
        <f>"BAUER ERIC L"</f>
        <v>BAUER ERIC L</v>
      </c>
      <c r="C1298" s="1" t="str">
        <f>"TROTTERS CHASE CONDOMINIUM BLDG 23 UNIT 2535"</f>
        <v>TROTTERS CHASE CONDOMINIUM BLDG 23 UNIT 2535</v>
      </c>
      <c r="D1298" s="1">
        <v>222.54</v>
      </c>
    </row>
    <row r="1299" spans="1:4" x14ac:dyDescent="0.3">
      <c r="A1299" s="1" t="str">
        <f>"01000567000"</f>
        <v>01000567000</v>
      </c>
      <c r="B1299" s="1" t="str">
        <f>"BAUERIE ENTERPRISES LLC"</f>
        <v>BAUERIE ENTERPRISES LLC</v>
      </c>
      <c r="C1299" s="1" t="str">
        <f>"1570-1572 E LONG ST CALLENDER &amp; ROCKWELL LOT 29"</f>
        <v>1570-1572 E LONG ST CALLENDER &amp; ROCKWELL LOT 29</v>
      </c>
      <c r="D1299" s="1">
        <v>3725.16</v>
      </c>
    </row>
    <row r="1300" spans="1:4" x14ac:dyDescent="0.3">
      <c r="A1300" s="1" t="str">
        <f>"18000493400"</f>
        <v>18000493400</v>
      </c>
      <c r="B1300" s="1" t="str">
        <f>"BAUMAN M ANTHONY, BAUMAN CONNIE"</f>
        <v>BAUMAN M ANTHONY, BAUMAN CONNIE</v>
      </c>
      <c r="C1300" s="1" t="str">
        <f>"HAYES RD LEISHA MANOR LOT 6"</f>
        <v>HAYES RD LEISHA MANOR LOT 6</v>
      </c>
      <c r="D1300" s="1">
        <v>3782.34</v>
      </c>
    </row>
    <row r="1301" spans="1:4" x14ac:dyDescent="0.3">
      <c r="A1301" s="1" t="str">
        <f>"01005326600"</f>
        <v>01005326600</v>
      </c>
      <c r="B1301" s="1" t="str">
        <f>"BAUMGARTNER TERRANCE K"</f>
        <v>BAUMGARTNER TERRANCE K</v>
      </c>
      <c r="C1301" s="1" t="str">
        <f>"SCHULTZ AVE BELMONT LOT 176"</f>
        <v>SCHULTZ AVE BELMONT LOT 176</v>
      </c>
      <c r="D1301" s="1">
        <v>1822.17</v>
      </c>
    </row>
    <row r="1302" spans="1:4" x14ac:dyDescent="0.3">
      <c r="A1302" s="1" t="str">
        <f>"23000116100"</f>
        <v>23000116100</v>
      </c>
      <c r="B1302" s="1" t="str">
        <f>"BAUSCH FARM LLC"</f>
        <v>BAUSCH FARM LLC</v>
      </c>
      <c r="C1302" s="1" t="str">
        <f>"KROPP RD ENT 7281-9222-10326 110.8165 ACRES (0.7589 ACRE IN R/W)"</f>
        <v>KROPP RD ENT 7281-9222-10326 110.8165 ACRES (0.7589 ACRE IN R/W)</v>
      </c>
      <c r="D1302" s="1">
        <v>416.18</v>
      </c>
    </row>
    <row r="1303" spans="1:4" x14ac:dyDescent="0.3">
      <c r="A1303" s="1" t="str">
        <f>"01021742300"</f>
        <v>01021742300</v>
      </c>
      <c r="B1303" s="1" t="str">
        <f>"BAVELIS FAMILY LLC"</f>
        <v>BAVELIS FAMILY LLC</v>
      </c>
      <c r="C1303" s="1" t="str">
        <f>"STELZER RD R17 T1 1/3T3 2.144 ACRES"</f>
        <v>STELZER RD R17 T1 1/3T3 2.144 ACRES</v>
      </c>
      <c r="D1303" s="1">
        <v>8578.08</v>
      </c>
    </row>
    <row r="1304" spans="1:4" x14ac:dyDescent="0.3">
      <c r="A1304" s="1" t="str">
        <f>"01021720100"</f>
        <v>01021720100</v>
      </c>
      <c r="B1304" s="1" t="str">
        <f>"BAVELIS FAMILY LLC"</f>
        <v>BAVELIS FAMILY LLC</v>
      </c>
      <c r="C1304" s="1" t="str">
        <f>"JOHNSTOWN ROAD R17 T1 1/4T3 2.551 ACRES"</f>
        <v>JOHNSTOWN ROAD R17 T1 1/4T3 2.551 ACRES</v>
      </c>
      <c r="D1304" s="1">
        <v>9357.51</v>
      </c>
    </row>
    <row r="1305" spans="1:4" x14ac:dyDescent="0.3">
      <c r="A1305" s="1" t="str">
        <f>"01013519700"</f>
        <v>01013519700</v>
      </c>
      <c r="B1305" s="1" t="str">
        <f>"BAXTER JOYCE L"</f>
        <v>BAXTER JOYCE L</v>
      </c>
      <c r="C1305" s="1" t="str">
        <f>"RUNDELL DR BROOKSHIRE S LOT 228"</f>
        <v>RUNDELL DR BROOKSHIRE S LOT 228</v>
      </c>
      <c r="D1305" s="1">
        <v>109.91</v>
      </c>
    </row>
    <row r="1306" spans="1:4" x14ac:dyDescent="0.3">
      <c r="A1306" s="1" t="str">
        <f>"01014391800"</f>
        <v>01014391800</v>
      </c>
      <c r="B1306" s="1" t="str">
        <f>"BAXTER STEVEN A, COOPER THOMAS E"</f>
        <v>BAXTER STEVEN A, COOPER THOMAS E</v>
      </c>
      <c r="C1306" s="1" t="str">
        <f>"1415 REYMOND RD KNOLLS WEST SEC 2 LOT 44"</f>
        <v>1415 REYMOND RD KNOLLS WEST SEC 2 LOT 44</v>
      </c>
      <c r="D1306" s="1">
        <v>548.04</v>
      </c>
    </row>
    <row r="1307" spans="1:4" x14ac:dyDescent="0.3">
      <c r="A1307" s="1" t="str">
        <f>"01018316700"</f>
        <v>01018316700</v>
      </c>
      <c r="B1307" s="1" t="str">
        <f>"BAYE MERON"</f>
        <v>BAYE MERON</v>
      </c>
      <c r="C1307" s="1" t="str">
        <f>"SCOTLAND YARD CONDO UNIT 5764 BLDG 24 "</f>
        <v xml:space="preserve">SCOTLAND YARD CONDO UNIT 5764 BLDG 24 </v>
      </c>
      <c r="D1307" s="1">
        <v>1519.02</v>
      </c>
    </row>
    <row r="1308" spans="1:4" x14ac:dyDescent="0.3">
      <c r="A1308" s="1" t="str">
        <f>"23000192000"</f>
        <v>23000192000</v>
      </c>
      <c r="B1308" s="1" t="str">
        <f>"BAYS BARBARA J"</f>
        <v>BAYS BARBARA J</v>
      </c>
      <c r="C1308" s="1" t="str">
        <f>"PHEASANT DR TIMBERLAKE NO 2-A LOT 38"</f>
        <v>PHEASANT DR TIMBERLAKE NO 2-A LOT 38</v>
      </c>
      <c r="D1308" s="1">
        <v>4779.26</v>
      </c>
    </row>
    <row r="1309" spans="1:4" x14ac:dyDescent="0.3">
      <c r="A1309" s="1" t="str">
        <f>"01029735500"</f>
        <v>01029735500</v>
      </c>
      <c r="B1309" s="1" t="str">
        <f>"BAYS BRIAN KENT TTEE, BAYS CHERYL D TTEE"</f>
        <v>BAYS BRIAN KENT TTEE, BAYS CHERYL D TTEE</v>
      </c>
      <c r="C1309" s="1" t="str">
        <f>"SUMMERLYN SECTION 6 LOT 280"</f>
        <v>SUMMERLYN SECTION 6 LOT 280</v>
      </c>
      <c r="D1309" s="1">
        <v>2378.21</v>
      </c>
    </row>
    <row r="1310" spans="1:4" x14ac:dyDescent="0.3">
      <c r="A1310" s="1" t="str">
        <f>"01005243500"</f>
        <v>01005243500</v>
      </c>
      <c r="B1310" s="1" t="str">
        <f>"BAYTOS KENNETH"</f>
        <v>BAYTOS KENNETH</v>
      </c>
      <c r="C1310" s="1" t="str">
        <f>"161 N ROYS AVE HILLTOP LOT 48"</f>
        <v>161 N ROYS AVE HILLTOP LOT 48</v>
      </c>
      <c r="D1310" s="1">
        <v>1261.58</v>
      </c>
    </row>
    <row r="1311" spans="1:4" x14ac:dyDescent="0.3">
      <c r="A1311" s="1" t="str">
        <f>"01006421300"</f>
        <v>01006421300</v>
      </c>
      <c r="B1311" s="1" t="str">
        <f>"BAYTOS KENNETH"</f>
        <v>BAYTOS KENNETH</v>
      </c>
      <c r="C1311" s="1" t="str">
        <f>"POWELL AVE CAMP CHASE HTS AMD LOT 645"</f>
        <v>POWELL AVE CAMP CHASE HTS AMD LOT 645</v>
      </c>
      <c r="D1311" s="1">
        <v>419.83</v>
      </c>
    </row>
    <row r="1312" spans="1:4" x14ac:dyDescent="0.3">
      <c r="A1312" s="1" t="str">
        <f>"02000454600"</f>
        <v>02000454600</v>
      </c>
      <c r="B1312" s="1" t="str">
        <f>"BC MF BEXLEY II LLC"</f>
        <v>BC MF BEXLEY II LLC</v>
      </c>
      <c r="C1312" s="1" t="str">
        <f>"00000 E BROAD ST 1.325 AC N OF ALLEY BEXLEY EA EXT RES A"</f>
        <v>00000 E BROAD ST 1.325 AC N OF ALLEY BEXLEY EA EXT RES A</v>
      </c>
      <c r="D1312" s="1">
        <v>22257.99</v>
      </c>
    </row>
    <row r="1313" spans="1:4" x14ac:dyDescent="0.3">
      <c r="A1313" s="1" t="str">
        <f>"01007119400"</f>
        <v>01007119400</v>
      </c>
      <c r="B1313" s="1" t="str">
        <f>"BC2 HOLDINGS LLC"</f>
        <v>BC2 HOLDINGS LLC</v>
      </c>
      <c r="C1313" s="1" t="str">
        <f>"KENWORTH ROAD NORTH LAWN LOT 43"</f>
        <v>KENWORTH ROAD NORTH LAWN LOT 43</v>
      </c>
      <c r="D1313" s="1">
        <v>2539.17</v>
      </c>
    </row>
    <row r="1314" spans="1:4" x14ac:dyDescent="0.3">
      <c r="A1314" s="1" t="str">
        <f>"01019530000"</f>
        <v>01019530000</v>
      </c>
      <c r="B1314" s="1" t="str">
        <f>"BCP OH PROPERTIES LLC"</f>
        <v>BCP OH PROPERTIES LLC</v>
      </c>
      <c r="C1314" s="1" t="str">
        <f>"MEDINA AVE LINDEN GARDENS PT LOT 127"</f>
        <v>MEDINA AVE LINDEN GARDENS PT LOT 127</v>
      </c>
      <c r="D1314" s="1">
        <v>205.64</v>
      </c>
    </row>
    <row r="1315" spans="1:4" x14ac:dyDescent="0.3">
      <c r="A1315" s="1" t="str">
        <f>"01007566000"</f>
        <v>01007566000</v>
      </c>
      <c r="B1315" s="1" t="str">
        <f>"BCP OH PROPERTIES LLC"</f>
        <v>BCP OH PROPERTIES LLC</v>
      </c>
      <c r="C1315" s="1" t="str">
        <f>"MEDINA AVE LINDEN GARDENS PT MID PT LOTS 27-28"</f>
        <v>MEDINA AVE LINDEN GARDENS PT MID PT LOTS 27-28</v>
      </c>
      <c r="D1315" s="1">
        <v>263</v>
      </c>
    </row>
    <row r="1316" spans="1:4" x14ac:dyDescent="0.3">
      <c r="A1316" s="1" t="str">
        <f>"01019530200"</f>
        <v>01019530200</v>
      </c>
      <c r="B1316" s="1" t="str">
        <f>"BCP OH PROPERTIES LLC"</f>
        <v>BCP OH PROPERTIES LLC</v>
      </c>
      <c r="C1316" s="1" t="str">
        <f>"MEDINA AVE LINDEN GARDENS PT LOT 28"</f>
        <v>MEDINA AVE LINDEN GARDENS PT LOT 28</v>
      </c>
      <c r="D1316" s="1">
        <v>203.8</v>
      </c>
    </row>
    <row r="1317" spans="1:4" x14ac:dyDescent="0.3">
      <c r="A1317" s="1" t="str">
        <f>"01019530100"</f>
        <v>01019530100</v>
      </c>
      <c r="B1317" s="1" t="str">
        <f>"BCP OH PROPERTIES LLC"</f>
        <v>BCP OH PROPERTIES LLC</v>
      </c>
      <c r="C1317" s="1" t="str">
        <f>"N BROADWAY LINDEN GARDENS PT LOTS 27-28"</f>
        <v>N BROADWAY LINDEN GARDENS PT LOTS 27-28</v>
      </c>
      <c r="D1317" s="1">
        <v>254.45</v>
      </c>
    </row>
    <row r="1318" spans="1:4" x14ac:dyDescent="0.3">
      <c r="A1318" s="1" t="str">
        <f>"10000668500"</f>
        <v>10000668500</v>
      </c>
      <c r="B1318" s="1" t="str">
        <f>"BCR WORTHINGTON LLC"</f>
        <v>BCR WORTHINGTON LLC</v>
      </c>
      <c r="C1318" s="1" t="str">
        <f>"WORTHINGTON STATION       OFFICE CONDOMINIUM        1ST AMD UNIT 862A        "</f>
        <v xml:space="preserve">WORTHINGTON STATION       OFFICE CONDOMINIUM        1ST AMD UNIT 862A        </v>
      </c>
      <c r="D1318" s="1">
        <v>464.08</v>
      </c>
    </row>
    <row r="1319" spans="1:4" x14ac:dyDescent="0.3">
      <c r="A1319" s="1" t="str">
        <f>"08000964600"</f>
        <v>08000964600</v>
      </c>
      <c r="B1319" s="1" t="str">
        <f>"BEACH KATHERINE H"</f>
        <v>BEACH KATHERINE H</v>
      </c>
      <c r="C1319" s="1" t="str">
        <f>"SYCAMORE CREEK CONDO 1ST AMD UNIT H"</f>
        <v>SYCAMORE CREEK CONDO 1ST AMD UNIT H</v>
      </c>
      <c r="D1319" s="1">
        <v>6442.04</v>
      </c>
    </row>
    <row r="1320" spans="1:4" x14ac:dyDescent="0.3">
      <c r="A1320" s="1" t="str">
        <f>"61019302100"</f>
        <v>61019302100</v>
      </c>
      <c r="B1320" s="1" t="str">
        <f>"BEACHY CALEB, BEACHY LINDSEY"</f>
        <v>BEACHY CALEB, BEACHY LINDSEY</v>
      </c>
      <c r="C1320" s="1" t="str">
        <f>"WOODBLUFF DR WOODBRIDGE GREEN 2 LOT 84"</f>
        <v>WOODBLUFF DR WOODBRIDGE GREEN 2 LOT 84</v>
      </c>
      <c r="D1320" s="1">
        <v>440</v>
      </c>
    </row>
    <row r="1321" spans="1:4" x14ac:dyDescent="0.3">
      <c r="A1321" s="1" t="str">
        <f>"01012458700"</f>
        <v>01012458700</v>
      </c>
      <c r="B1321" s="1" t="str">
        <f>"BEAL CAROL A"</f>
        <v>BEAL CAROL A</v>
      </c>
      <c r="C1321" s="1" t="str">
        <f>"HEALY DR WALNUT VILLAGE 2 LOT 224"</f>
        <v>HEALY DR WALNUT VILLAGE 2 LOT 224</v>
      </c>
      <c r="D1321" s="1">
        <v>95.33</v>
      </c>
    </row>
    <row r="1322" spans="1:4" x14ac:dyDescent="0.3">
      <c r="A1322" s="1" t="str">
        <f>"60030073900"</f>
        <v>60030073900</v>
      </c>
      <c r="B1322" s="1" t="str">
        <f>"BEALE CHRISTOPHER F"</f>
        <v>BEALE CHRISTOPHER F</v>
      </c>
      <c r="C1322" s="1" t="str">
        <f>"PARKSIDE SECTION 1 RESERVE E"</f>
        <v>PARKSIDE SECTION 1 RESERVE E</v>
      </c>
      <c r="D1322" s="1">
        <v>93.16</v>
      </c>
    </row>
    <row r="1323" spans="1:4" x14ac:dyDescent="0.3">
      <c r="A1323" s="1" t="str">
        <f>"01008175700"</f>
        <v>01008175700</v>
      </c>
      <c r="B1323" s="1" t="str">
        <f>"BEANE ISAAC"</f>
        <v>BEANE ISAAC</v>
      </c>
      <c r="C1323" s="1" t="str">
        <f>"WILDWOOD AVE MEADOW-DALE LOT 96"</f>
        <v>WILDWOOD AVE MEADOW-DALE LOT 96</v>
      </c>
      <c r="D1323" s="1">
        <v>1286.03</v>
      </c>
    </row>
    <row r="1324" spans="1:4" x14ac:dyDescent="0.3">
      <c r="A1324" s="1" t="str">
        <f>"01010374400"</f>
        <v>01010374400</v>
      </c>
      <c r="B1324" s="1" t="str">
        <f>"BEARD 4337 LLC"</f>
        <v>BEARD 4337 LLC</v>
      </c>
      <c r="C1324" s="1" t="str">
        <f>"MORSE RD                  R18 T1 1/4T1              1.1952 ACRES             "</f>
        <v xml:space="preserve">MORSE RD                  R18 T1 1/4T1              1.1952 ACRES             </v>
      </c>
      <c r="D1324" s="1">
        <v>1025.1099999999999</v>
      </c>
    </row>
    <row r="1325" spans="1:4" x14ac:dyDescent="0.3">
      <c r="A1325" s="1" t="str">
        <f>"01010321600"</f>
        <v>01010321600</v>
      </c>
      <c r="B1325" s="1" t="str">
        <f>"BEARD 4536 LLC"</f>
        <v>BEARD 4536 LLC</v>
      </c>
      <c r="C1325" s="1" t="str">
        <f>"4536 KARL RD .5236AC "</f>
        <v xml:space="preserve">4536 KARL RD .5236AC </v>
      </c>
      <c r="D1325" s="1">
        <v>292.12</v>
      </c>
    </row>
    <row r="1326" spans="1:4" x14ac:dyDescent="0.3">
      <c r="A1326" s="1" t="str">
        <f>"02501073600"</f>
        <v>02501073600</v>
      </c>
      <c r="B1326" s="1" t="str">
        <f>"BEARD JACINTO W, BEARD KAREN L"</f>
        <v>BEARD JACINTO W, BEARD KAREN L</v>
      </c>
      <c r="C1326" s="1" t="str">
        <f>"SPRINGBROOK DRIVE SPRINGBROOK FARM LOT 9  .631AC"</f>
        <v>SPRINGBROOK DRIVE SPRINGBROOK FARM LOT 9  .631AC</v>
      </c>
      <c r="D1326" s="1">
        <v>769.35</v>
      </c>
    </row>
    <row r="1327" spans="1:4" x14ac:dyDescent="0.3">
      <c r="A1327" s="1" t="str">
        <f>"01006724900"</f>
        <v>01006724900</v>
      </c>
      <c r="B1327" s="1" t="str">
        <f>"BEASLEY STEPHAN D"</f>
        <v>BEASLEY STEPHAN D</v>
      </c>
      <c r="C1327" s="1" t="str">
        <f>"FAIRWOOD AVE LIVINGSTON WHITTIER GARDENS LOT 44"</f>
        <v>FAIRWOOD AVE LIVINGSTON WHITTIER GARDENS LOT 44</v>
      </c>
      <c r="D1327" s="1">
        <v>1300.3900000000001</v>
      </c>
    </row>
    <row r="1328" spans="1:4" x14ac:dyDescent="0.3">
      <c r="A1328" s="1" t="str">
        <f>"01001327800"</f>
        <v>01001327800</v>
      </c>
      <c r="B1328" s="1" t="str">
        <f>"BEATTY GLEN ANDREW JR"</f>
        <v>BEATTY GLEN ANDREW JR</v>
      </c>
      <c r="C1328" s="1" t="str">
        <f>"BARNETT RD BEXLEY VIEW ACRES PT LOT 24"</f>
        <v>BARNETT RD BEXLEY VIEW ACRES PT LOT 24</v>
      </c>
      <c r="D1328" s="1">
        <v>2577.94</v>
      </c>
    </row>
    <row r="1329" spans="1:4" x14ac:dyDescent="0.3">
      <c r="A1329" s="1" t="str">
        <f>"53016640000"</f>
        <v>53016640000</v>
      </c>
      <c r="B1329" s="1" t="str">
        <f>"BEATY JAMES W"</f>
        <v>BEATY JAMES W</v>
      </c>
      <c r="C1329" s="1" t="str">
        <f>"LONG RD R21 T10-15 S6 6.949 ACRES"</f>
        <v>LONG RD R21 T10-15 S6 6.949 ACRES</v>
      </c>
      <c r="D1329" s="1">
        <v>179.93</v>
      </c>
    </row>
    <row r="1330" spans="1:4" x14ac:dyDescent="0.3">
      <c r="A1330" s="1" t="str">
        <f>"53013773300"</f>
        <v>53013773300</v>
      </c>
      <c r="B1330" s="1" t="str">
        <f>"BEATY JAMES W, BEATY CHRISTINE A"</f>
        <v>BEATY JAMES W, BEATY CHRISTINE A</v>
      </c>
      <c r="C1330" s="1" t="str">
        <f>"PICK &amp; BRICE RD R21T10-15S16 1.314 ACRES"</f>
        <v>PICK &amp; BRICE RD R21T10-15S16 1.314 ACRES</v>
      </c>
      <c r="D1330" s="1">
        <v>212.69</v>
      </c>
    </row>
    <row r="1331" spans="1:4" x14ac:dyDescent="0.3">
      <c r="A1331" s="1" t="str">
        <f>"01013574800"</f>
        <v>01013574800</v>
      </c>
      <c r="B1331" s="1" t="str">
        <f>"BEAVER JAMES"</f>
        <v>BEAVER JAMES</v>
      </c>
      <c r="C1331" s="1" t="str">
        <f>"CRAWFORD DR NORTHVIEW EST 5 LOT 148"</f>
        <v>CRAWFORD DR NORTHVIEW EST 5 LOT 148</v>
      </c>
      <c r="D1331" s="1">
        <v>3807.16</v>
      </c>
    </row>
    <row r="1332" spans="1:4" x14ac:dyDescent="0.3">
      <c r="A1332" s="1" t="str">
        <f>"01001958300"</f>
        <v>01001958300</v>
      </c>
      <c r="B1332" s="1" t="str">
        <f>"BEAVER LAKESHA D"</f>
        <v>BEAVER LAKESHA D</v>
      </c>
      <c r="C1332" s="1" t="str">
        <f>"843 GILBERT NW COR FOREST   GILBERT CLAIRMONT LOT 98"</f>
        <v>843 GILBERT NW COR FOREST   GILBERT CLAIRMONT LOT 98</v>
      </c>
      <c r="D1332" s="1">
        <v>2685.06</v>
      </c>
    </row>
    <row r="1333" spans="1:4" x14ac:dyDescent="0.3">
      <c r="A1333" s="1" t="str">
        <f>"53016643800"</f>
        <v>53016643800</v>
      </c>
      <c r="B1333" s="1" t="str">
        <f>"BEAVER TONYA L"</f>
        <v>BEAVER TONYA L</v>
      </c>
      <c r="C1333" s="1" t="str">
        <f>"3010 PETERS ST 1.33 ACRES R21 T12 S25 1/4 S44"</f>
        <v>3010 PETERS ST 1.33 ACRES R21 T12 S25 1/4 S44</v>
      </c>
      <c r="D1333" s="1">
        <v>210.91</v>
      </c>
    </row>
    <row r="1334" spans="1:4" x14ac:dyDescent="0.3">
      <c r="A1334" s="1" t="str">
        <f>"04001170600"</f>
        <v>04001170600</v>
      </c>
      <c r="B1334" s="1" t="str">
        <f>"BEAVERS KENNETH"</f>
        <v>BEAVERS KENNETH</v>
      </c>
      <c r="C1334" s="1" t="str">
        <f>"EDGARTON DRIVE HOOVER PARK SECTION 6 PART 2 LOT 254"</f>
        <v>EDGARTON DRIVE HOOVER PARK SECTION 6 PART 2 LOT 254</v>
      </c>
      <c r="D1334" s="1">
        <v>3133.98</v>
      </c>
    </row>
    <row r="1335" spans="1:4" x14ac:dyDescent="0.3">
      <c r="A1335" s="1" t="str">
        <f>"02500176900"</f>
        <v>02500176900</v>
      </c>
      <c r="B1335" s="1" t="str">
        <f>"BEAVERS NICOLE"</f>
        <v>BEAVERS NICOLE</v>
      </c>
      <c r="C1335" s="1" t="str">
        <f>"394 BOWLING GREEN PL COLLEGE PARK 141"</f>
        <v>394 BOWLING GREEN PL COLLEGE PARK 141</v>
      </c>
      <c r="D1335" s="1">
        <v>547.96</v>
      </c>
    </row>
    <row r="1336" spans="1:4" x14ac:dyDescent="0.3">
      <c r="A1336" s="1" t="str">
        <f>"57021472100"</f>
        <v>57021472100</v>
      </c>
      <c r="B1336" s="1" t="str">
        <f>"BEAVERS RENEE M, BEAVERS KENNETH A"</f>
        <v>BEAVERS RENEE M, BEAVERS KENNETH A</v>
      </c>
      <c r="C1336" s="1" t="str">
        <f>"WESLIEGH RUN DRIVE WESLIEGH SECTION 2 LOT 37"</f>
        <v>WESLIEGH RUN DRIVE WESLIEGH SECTION 2 LOT 37</v>
      </c>
      <c r="D1336" s="1">
        <v>1650.41</v>
      </c>
    </row>
    <row r="1337" spans="1:4" x14ac:dyDescent="0.3">
      <c r="A1337" s="1" t="str">
        <f>"05000243500"</f>
        <v>05000243500</v>
      </c>
      <c r="B1337" s="1" t="str">
        <f>"BEAVERS-KIRBY JILL, KIRBY JAMES"</f>
        <v>BEAVERS-KIRBY JILL, KIRBY JAMES</v>
      </c>
      <c r="C1337" s="1" t="str">
        <f>"3584 LEAP RD BEACON LOT 2"</f>
        <v>3584 LEAP RD BEACON LOT 2</v>
      </c>
      <c r="D1337" s="1">
        <v>5310.12</v>
      </c>
    </row>
    <row r="1338" spans="1:4" x14ac:dyDescent="0.3">
      <c r="A1338" s="1" t="str">
        <f>"01018352000"</f>
        <v>01018352000</v>
      </c>
      <c r="B1338" s="1" t="str">
        <f>"BECK DONNA J"</f>
        <v>BECK DONNA J</v>
      </c>
      <c r="C1338" s="1" t="str">
        <f>"BENTLEY CONDOMINIUMS UNIT 5096 "</f>
        <v xml:space="preserve">BENTLEY CONDOMINIUMS UNIT 5096 </v>
      </c>
      <c r="D1338" s="1">
        <v>1865.62</v>
      </c>
    </row>
    <row r="1339" spans="1:4" x14ac:dyDescent="0.3">
      <c r="A1339" s="1" t="str">
        <f>"27300172900"</f>
        <v>27300172900</v>
      </c>
      <c r="B1339" s="1" t="str">
        <f>"BECK JOSEPH P, BECK KATHLEEN M"</f>
        <v>BECK JOSEPH P, BECK KATHLEEN M</v>
      </c>
      <c r="C1339" s="1" t="str">
        <f>"5356 DUBLIN RD ACRES .58 ENTRY 2418 "</f>
        <v xml:space="preserve">5356 DUBLIN RD ACRES .58 ENTRY 2418 </v>
      </c>
      <c r="D1339" s="1">
        <v>18870.46</v>
      </c>
    </row>
    <row r="1340" spans="1:4" x14ac:dyDescent="0.3">
      <c r="A1340" s="1" t="str">
        <f>"07000165600"</f>
        <v>07000165600</v>
      </c>
      <c r="B1340" s="1" t="str">
        <f>"BECKER MARK JOHN TR, WANG XIAODAN TR"</f>
        <v>BECKER MARK JOHN TR, WANG XIAODAN TR</v>
      </c>
      <c r="C1340" s="1" t="str">
        <f>"2237 CAMBRIDGE BLVD UPPER ARLINGTON AMD LOT 27 BLK 123"</f>
        <v>2237 CAMBRIDGE BLVD UPPER ARLINGTON AMD LOT 27 BLK 123</v>
      </c>
      <c r="D1340" s="1">
        <v>15204.27</v>
      </c>
    </row>
    <row r="1341" spans="1:4" x14ac:dyDescent="0.3">
      <c r="A1341" s="1" t="str">
        <f>"21200149200"</f>
        <v>21200149200</v>
      </c>
      <c r="B1341" s="1" t="str">
        <f>"BECKER RICHARD TR, BECKER HELEN TR"</f>
        <v>BECKER RICHARD TR, BECKER HELEN TR</v>
      </c>
      <c r="C1341" s="1" t="str">
        <f>"SKYLINE DR SKYLINE 3 LOT 13 "</f>
        <v xml:space="preserve">SKYLINE DR SKYLINE 3 LOT 13 </v>
      </c>
      <c r="D1341" s="1">
        <v>12309.34</v>
      </c>
    </row>
    <row r="1342" spans="1:4" x14ac:dyDescent="0.3">
      <c r="A1342" s="1" t="str">
        <f>"18000312400"</f>
        <v>18000312400</v>
      </c>
      <c r="B1342" s="1" t="str">
        <f>"BECKER ROBERT, BECKER SABRINA"</f>
        <v>BECKER ROBERT, BECKER SABRINA</v>
      </c>
      <c r="C1342" s="1" t="str">
        <f>"ZIMMER DR BLACKLICK ESTATES 3 480 "</f>
        <v xml:space="preserve">ZIMMER DR BLACKLICK ESTATES 3 480 </v>
      </c>
      <c r="D1342" s="1">
        <v>2941.21</v>
      </c>
    </row>
    <row r="1343" spans="1:4" x14ac:dyDescent="0.3">
      <c r="A1343" s="1" t="str">
        <f>"11000213000"</f>
        <v>11000213000</v>
      </c>
      <c r="B1343" s="1" t="str">
        <f>"BECKMAN CONSTANCE, BLACKMAN CAROLYN, YOUNG CHARLENE"</f>
        <v>BECKMAN CONSTANCE, BLACKMAN CAROLYN, YOUNG CHARLENE</v>
      </c>
      <c r="C1343" s="1" t="str">
        <f>"WESTERVILLE RD REAR R17 T2 1-4 T2  1 .358 ACRES"</f>
        <v>WESTERVILLE RD REAR R17 T2 1-4 T2  1 .358 ACRES</v>
      </c>
      <c r="D1343" s="1">
        <v>8.16</v>
      </c>
    </row>
    <row r="1344" spans="1:4" x14ac:dyDescent="0.3">
      <c r="A1344" s="1" t="str">
        <f>"11000212800"</f>
        <v>11000212800</v>
      </c>
      <c r="B1344" s="1" t="str">
        <f>"BECKMAN CONSTANCE, YOUNG CHARLENE, BLACKBURN CAROLYN"</f>
        <v>BECKMAN CONSTANCE, YOUNG CHARLENE, BLACKBURN CAROLYN</v>
      </c>
      <c r="C1344" s="1" t="str">
        <f>"WESTERVILLE RD REAR R17 T2 1-4T 2 1 0.622 ACRE"</f>
        <v>WESTERVILLE RD REAR R17 T2 1-4T 2 1 0.622 ACRE</v>
      </c>
      <c r="D1344" s="1">
        <v>28.22</v>
      </c>
    </row>
    <row r="1345" spans="1:4" x14ac:dyDescent="0.3">
      <c r="A1345" s="1" t="str">
        <f>"27200030100"</f>
        <v>27200030100</v>
      </c>
      <c r="B1345" s="1" t="str">
        <f>"BECKMAN JEFFREY T TTEE"</f>
        <v>BECKMAN JEFFREY T TTEE</v>
      </c>
      <c r="C1345" s="1" t="str">
        <f>"POST RD ACRES 1.086 ENT 6748"</f>
        <v>POST RD ACRES 1.086 ENT 6748</v>
      </c>
      <c r="D1345" s="1">
        <v>7541.94</v>
      </c>
    </row>
    <row r="1346" spans="1:4" x14ac:dyDescent="0.3">
      <c r="A1346" s="1" t="str">
        <f>"27200015100"</f>
        <v>27200015100</v>
      </c>
      <c r="B1346" s="1" t="str">
        <f>"BECKMAN JEFFREY T TTEE"</f>
        <v>BECKMAN JEFFREY T TTEE</v>
      </c>
      <c r="C1346" s="1" t="str">
        <f>"7679 POST RD OQ 555 ENTRY 6748 1.3676 ACRES"</f>
        <v>7679 POST RD OQ 555 ENTRY 6748 1.3676 ACRES</v>
      </c>
      <c r="D1346" s="1">
        <v>2669.06</v>
      </c>
    </row>
    <row r="1347" spans="1:4" x14ac:dyDescent="0.3">
      <c r="A1347" s="1" t="str">
        <f>"22000163500"</f>
        <v>22000163500</v>
      </c>
      <c r="B1347" s="1" t="str">
        <f>"BECKNER JOSHUA T"</f>
        <v>BECKNER JOSHUA T</v>
      </c>
      <c r="C1347" s="1" t="str">
        <f>"HOOVER RD 5.827 ACRES LOT 2"</f>
        <v>HOOVER RD 5.827 ACRES LOT 2</v>
      </c>
      <c r="D1347" s="1">
        <v>1847.01</v>
      </c>
    </row>
    <row r="1348" spans="1:4" x14ac:dyDescent="0.3">
      <c r="A1348" s="1" t="str">
        <f>"01009119600"</f>
        <v>01009119600</v>
      </c>
      <c r="B1348" s="1" t="str">
        <f>"BECKWITH JOHNNY, BECKWITH PHYLLIS"</f>
        <v>BECKWITH JOHNNY, BECKWITH PHYLLIS</v>
      </c>
      <c r="C1348" s="1" t="str">
        <f>"S EVERETT AVE CRESCENT HTS LOT 107-108"</f>
        <v>S EVERETT AVE CRESCENT HTS LOT 107-108</v>
      </c>
      <c r="D1348" s="1">
        <v>878.01</v>
      </c>
    </row>
    <row r="1349" spans="1:4" x14ac:dyDescent="0.3">
      <c r="A1349" s="1" t="str">
        <f>"08000429800"</f>
        <v>08000429800</v>
      </c>
      <c r="B1349" s="1" t="str">
        <f>"BEDDOES LANA N"</f>
        <v>BEDDOES LANA N</v>
      </c>
      <c r="C1349" s="1" t="str">
        <f>"GRANBY PLACE WEST ANNEHURST VILLAGE NO 7 LOT 444"</f>
        <v>GRANBY PLACE WEST ANNEHURST VILLAGE NO 7 LOT 444</v>
      </c>
      <c r="D1349" s="1">
        <v>1853.81</v>
      </c>
    </row>
    <row r="1350" spans="1:4" x14ac:dyDescent="0.3">
      <c r="A1350" s="1" t="str">
        <f>"01009765300"</f>
        <v>01009765300</v>
      </c>
      <c r="B1350" s="1" t="str">
        <f>"BEDEKE FIKRU A"</f>
        <v>BEDEKE FIKRU A</v>
      </c>
      <c r="C1350" s="1" t="str">
        <f>"TOWERS COURT SOUTH TOWERS COURT LOT 50"</f>
        <v>TOWERS COURT SOUTH TOWERS COURT LOT 50</v>
      </c>
      <c r="D1350" s="1">
        <v>3063.1</v>
      </c>
    </row>
    <row r="1351" spans="1:4" x14ac:dyDescent="0.3">
      <c r="A1351" s="1" t="str">
        <f>"55013692900"</f>
        <v>55013692900</v>
      </c>
      <c r="B1351" s="1" t="str">
        <f>"BEDNARSKI NORMAN C, BEDNARSKI DELORES D"</f>
        <v>BEDNARSKI NORMAN C, BEDNARSKI DELORES D</v>
      </c>
      <c r="C1351" s="1" t="str">
        <f>"945 SUTTON PL ROAD RED FOX HOLLOW 2 LOT 67"</f>
        <v>945 SUTTON PL ROAD RED FOX HOLLOW 2 LOT 67</v>
      </c>
      <c r="D1351" s="1">
        <v>128.79</v>
      </c>
    </row>
    <row r="1352" spans="1:4" x14ac:dyDescent="0.3">
      <c r="A1352" s="1" t="str">
        <f>"01014520700"</f>
        <v>01014520700</v>
      </c>
      <c r="B1352" s="1" t="str">
        <f>"BEEBE DOREENA M"</f>
        <v>BEEBE DOREENA M</v>
      </c>
      <c r="C1352" s="1" t="str">
        <f>"1943 WILMINGTON PL NORTHCREST LOT 74"</f>
        <v>1943 WILMINGTON PL NORTHCREST LOT 74</v>
      </c>
      <c r="D1352" s="1">
        <v>1570.42</v>
      </c>
    </row>
    <row r="1353" spans="1:4" x14ac:dyDescent="0.3">
      <c r="A1353" s="1" t="str">
        <f>"59021423100"</f>
        <v>59021423100</v>
      </c>
      <c r="B1353" s="1" t="str">
        <f>"BEEBE DOUGLAS P"</f>
        <v>BEEBE DOUGLAS P</v>
      </c>
      <c r="C1353" s="1" t="str">
        <f>"COPPERVIEW DRIVE COPPERTREE ESTATES LOT 39"</f>
        <v>COPPERVIEW DRIVE COPPERTREE ESTATES LOT 39</v>
      </c>
      <c r="D1353" s="1">
        <v>6760.29</v>
      </c>
    </row>
    <row r="1354" spans="1:4" x14ac:dyDescent="0.3">
      <c r="A1354" s="1" t="str">
        <f>"53022999000"</f>
        <v>53022999000</v>
      </c>
      <c r="B1354" s="1" t="str">
        <f>"BEEBE DOUGLAS P, BEEBE DOREENA M"</f>
        <v>BEEBE DOUGLAS P, BEEBE DOREENA M</v>
      </c>
      <c r="C1354" s="1" t="str">
        <f>"REMINGTON RIDGE SECTION 1 PART 2 LOT 52"</f>
        <v>REMINGTON RIDGE SECTION 1 PART 2 LOT 52</v>
      </c>
      <c r="D1354" s="1">
        <v>4128.2299999999996</v>
      </c>
    </row>
    <row r="1355" spans="1:4" x14ac:dyDescent="0.3">
      <c r="A1355" s="1" t="str">
        <f>"27400149100"</f>
        <v>27400149100</v>
      </c>
      <c r="B1355" s="1" t="str">
        <f>"BEEGLE JOHN TR, BEEGLE FRIEDA TR"</f>
        <v>BEEGLE JOHN TR, BEEGLE FRIEDA TR</v>
      </c>
      <c r="C1355" s="1" t="str">
        <f>"WOODLANDS AT BALLANTRAE CONDOMINIUM 7TH AMD BLDG 30 UNIT 30D-5634"</f>
        <v>WOODLANDS AT BALLANTRAE CONDOMINIUM 7TH AMD BLDG 30 UNIT 30D-5634</v>
      </c>
      <c r="D1355" s="1">
        <v>456.83</v>
      </c>
    </row>
    <row r="1356" spans="1:4" x14ac:dyDescent="0.3">
      <c r="A1356" s="1" t="str">
        <f>"56027225200"</f>
        <v>56027225200</v>
      </c>
      <c r="B1356" s="1" t="str">
        <f>"BEETHAM-FORD DEBORAH"</f>
        <v>BEETHAM-FORD DEBORAH</v>
      </c>
      <c r="C1356" s="1" t="str">
        <f>"THE MILLINGTON CONDOMINIUM AT MILL RUN BLDG C-6 UNIT 3365"</f>
        <v>THE MILLINGTON CONDOMINIUM AT MILL RUN BLDG C-6 UNIT 3365</v>
      </c>
      <c r="D1356" s="1">
        <v>4639.53</v>
      </c>
    </row>
    <row r="1357" spans="1:4" x14ac:dyDescent="0.3">
      <c r="A1357" s="1" t="str">
        <f>"27300923000"</f>
        <v>27300923000</v>
      </c>
      <c r="B1357" s="1" t="str">
        <f>"BEGGS SUSAN M TTEE"</f>
        <v>BEGGS SUSAN M TTEE</v>
      </c>
      <c r="C1357" s="1" t="str">
        <f>"MILLHOUSE LANE WEDGEWOOD HILLS LOT 75"</f>
        <v>MILLHOUSE LANE WEDGEWOOD HILLS LOT 75</v>
      </c>
      <c r="D1357" s="1">
        <v>1078.46</v>
      </c>
    </row>
    <row r="1358" spans="1:4" x14ac:dyDescent="0.3">
      <c r="A1358" s="1" t="str">
        <f>"09000628700"</f>
        <v>09000628700</v>
      </c>
      <c r="B1358" s="1" t="str">
        <f>"BEGLEY CHRISTOPHER"</f>
        <v>BEGLEY CHRISTOPHER</v>
      </c>
      <c r="C1358" s="1" t="str">
        <f>"517 BEECHWOOD RD OLPP LOT 37"</f>
        <v>517 BEECHWOOD RD OLPP LOT 37</v>
      </c>
      <c r="D1358" s="1">
        <v>1227.55</v>
      </c>
    </row>
    <row r="1359" spans="1:4" x14ac:dyDescent="0.3">
      <c r="A1359" s="1" t="str">
        <f>"61028339300"</f>
        <v>61028339300</v>
      </c>
      <c r="B1359" s="1" t="str">
        <f>"BEGLEY DEAN, BEGLEY AMANDA"</f>
        <v>BEGLEY DEAN, BEGLEY AMANDA</v>
      </c>
      <c r="C1359" s="1" t="str">
        <f>"530 ALTA VIEW VILLAGE CT ALTA VIEW VILLAGE LOT 6"</f>
        <v>530 ALTA VIEW VILLAGE CT ALTA VIEW VILLAGE LOT 6</v>
      </c>
      <c r="D1359" s="1">
        <v>9959.7999999999993</v>
      </c>
    </row>
    <row r="1360" spans="1:4" x14ac:dyDescent="0.3">
      <c r="A1360" s="1" t="str">
        <f>"56024144500"</f>
        <v>56024144500</v>
      </c>
      <c r="B1360" s="1" t="str">
        <f>"BEGUM MONOARA, HOSSAIN M D SANAULLAH"</f>
        <v>BEGUM MONOARA, HOSSAIN M D SANAULLAH</v>
      </c>
      <c r="C1360" s="1" t="str">
        <f>"DAMEULY DRIVE HILLIARD GREEN SECTION 4 LOT 274"</f>
        <v>DAMEULY DRIVE HILLIARD GREEN SECTION 4 LOT 274</v>
      </c>
      <c r="D1360" s="1">
        <v>984.6</v>
      </c>
    </row>
    <row r="1361" spans="1:4" x14ac:dyDescent="0.3">
      <c r="A1361" s="1" t="str">
        <f>"27300871900"</f>
        <v>27300871900</v>
      </c>
      <c r="B1361" s="1" t="str">
        <f>"BEHNKE RANDALL R, ELIAS-BEHNKE TERESA"</f>
        <v>BEHNKE RANDALL R, ELIAS-BEHNKE TERESA</v>
      </c>
      <c r="C1361" s="1" t="str">
        <f>"3643 TONTI DR DREXEL HILLS TERR 1 LOT 8"</f>
        <v>3643 TONTI DR DREXEL HILLS TERR 1 LOT 8</v>
      </c>
      <c r="D1361" s="1">
        <v>350.67</v>
      </c>
    </row>
    <row r="1362" spans="1:4" x14ac:dyDescent="0.3">
      <c r="A1362" s="1" t="str">
        <f>"27300876000"</f>
        <v>27300876000</v>
      </c>
      <c r="B1362" s="1" t="str">
        <f>"BEHNKE RANDALL R, ELIAS-BEHNKE TERESA"</f>
        <v>BEHNKE RANDALL R, ELIAS-BEHNKE TERESA</v>
      </c>
      <c r="C1362" s="1" t="str">
        <f>"TONTI DRIVE DREXEL HILLS TERR 1 E 1/2 LOT 7"</f>
        <v>TONTI DRIVE DREXEL HILLS TERR 1 E 1/2 LOT 7</v>
      </c>
      <c r="D1362" s="1">
        <v>22.37</v>
      </c>
    </row>
    <row r="1363" spans="1:4" x14ac:dyDescent="0.3">
      <c r="A1363" s="1" t="str">
        <f>"27200013900"</f>
        <v>27200013900</v>
      </c>
      <c r="B1363" s="1" t="str">
        <f>"BEHRMAN EDWARD J TR"</f>
        <v>BEHRMAN EDWARD J TR</v>
      </c>
      <c r="C1363" s="1" t="str">
        <f>"W HAYDEN ROAD ENTRY 6366 4.4965 ACRES"</f>
        <v>W HAYDEN ROAD ENTRY 6366 4.4965 ACRES</v>
      </c>
      <c r="D1363" s="1">
        <v>67.709999999999994</v>
      </c>
    </row>
    <row r="1364" spans="1:4" x14ac:dyDescent="0.3">
      <c r="A1364" s="1" t="str">
        <f>"27200024600"</f>
        <v>27200024600</v>
      </c>
      <c r="B1364" s="1" t="str">
        <f>"BEHRMAN EDWARD J TR"</f>
        <v>BEHRMAN EDWARD J TR</v>
      </c>
      <c r="C1364" s="1" t="str">
        <f>"HAYDEN RUN RD ENTRY 6366 ACRES 2.505"</f>
        <v>HAYDEN RUN RD ENTRY 6366 ACRES 2.505</v>
      </c>
      <c r="D1364" s="1">
        <v>6.63</v>
      </c>
    </row>
    <row r="1365" spans="1:4" x14ac:dyDescent="0.3">
      <c r="A1365" s="1" t="str">
        <f>"27200026800"</f>
        <v>27200026800</v>
      </c>
      <c r="B1365" s="1" t="str">
        <f>"BEHRMAN EDWARD J TR"</f>
        <v>BEHRMAN EDWARD J TR</v>
      </c>
      <c r="C1365" s="1" t="str">
        <f>"COSGRAY RD ENTRY 6366 8.192 ACRES"</f>
        <v>COSGRAY RD ENTRY 6366 8.192 ACRES</v>
      </c>
      <c r="D1365" s="1">
        <v>188.2</v>
      </c>
    </row>
    <row r="1366" spans="1:4" x14ac:dyDescent="0.3">
      <c r="A1366" s="1" t="str">
        <f>"27200033000"</f>
        <v>27200033000</v>
      </c>
      <c r="B1366" s="1" t="str">
        <f>"BEHRMAN EDWARD J TR"</f>
        <v>BEHRMAN EDWARD J TR</v>
      </c>
      <c r="C1366" s="1" t="str">
        <f>"5433 HAYDEN RUN RD ENTRY 6366 11.706 ACRES"</f>
        <v>5433 HAYDEN RUN RD ENTRY 6366 11.706 ACRES</v>
      </c>
      <c r="D1366" s="1">
        <v>4301.4399999999996</v>
      </c>
    </row>
    <row r="1367" spans="1:4" x14ac:dyDescent="0.3">
      <c r="A1367" s="1" t="str">
        <f>"56021090800"</f>
        <v>56021090800</v>
      </c>
      <c r="B1367" s="1" t="str">
        <f>"BEIFUS CHRISTINA M TR"</f>
        <v>BEIFUS CHRISTINA M TR</v>
      </c>
      <c r="C1367" s="1" t="str">
        <f>"MILLGROVE COURT VILLAGES AT HAYDEN RUN SEC 4 LOT 304"</f>
        <v>MILLGROVE COURT VILLAGES AT HAYDEN RUN SEC 4 LOT 304</v>
      </c>
      <c r="D1367" s="1">
        <v>4164.6000000000004</v>
      </c>
    </row>
    <row r="1368" spans="1:4" x14ac:dyDescent="0.3">
      <c r="A1368" s="1" t="str">
        <f>"07000879400"</f>
        <v>07000879400</v>
      </c>
      <c r="B1368" s="1" t="str">
        <f>"BEIS CHARLOTTA R"</f>
        <v>BEIS CHARLOTTA R</v>
      </c>
      <c r="C1368" s="1" t="str">
        <f>"3122 BRANDON RD WAKEFIELD FOREST 6 BLK 304"</f>
        <v>3122 BRANDON RD WAKEFIELD FOREST 6 BLK 304</v>
      </c>
      <c r="D1368" s="1">
        <v>464.4</v>
      </c>
    </row>
    <row r="1369" spans="1:4" x14ac:dyDescent="0.3">
      <c r="A1369" s="1" t="str">
        <f>"06000966200"</f>
        <v>06000966200</v>
      </c>
      <c r="B1369" s="1" t="str">
        <f>"BEITZEL MCKENNA PEYTON"</f>
        <v>BEITZEL MCKENNA PEYTON</v>
      </c>
      <c r="C1369" s="1" t="str">
        <f>"WILSON RIDGE TOWNHOME DEVELOPMENT LOT 9-B "</f>
        <v xml:space="preserve">WILSON RIDGE TOWNHOME DEVELOPMENT LOT 9-B </v>
      </c>
      <c r="D1369" s="1">
        <v>3.53</v>
      </c>
    </row>
    <row r="1370" spans="1:4" x14ac:dyDescent="0.3">
      <c r="A1370" s="1" t="str">
        <f>"01012318600"</f>
        <v>01012318600</v>
      </c>
      <c r="B1370" s="1" t="str">
        <f>"BEKOS PETE"</f>
        <v>BEKOS PETE</v>
      </c>
      <c r="C1370" s="1" t="str">
        <f>"PIERCE AVE PINECREST 4 LOT 482"</f>
        <v>PIERCE AVE PINECREST 4 LOT 482</v>
      </c>
      <c r="D1370" s="1">
        <v>166.4</v>
      </c>
    </row>
    <row r="1371" spans="1:4" x14ac:dyDescent="0.3">
      <c r="A1371" s="1" t="str">
        <f>"06000571200"</f>
        <v>06000571200</v>
      </c>
      <c r="B1371" s="1" t="str">
        <f>"BELACHGAR NAJAT"</f>
        <v>BELACHGAR NAJAT</v>
      </c>
      <c r="C1371" s="1" t="str">
        <f>"2203 BELLTREE DRIVE EASTSHIRE LOT 53"</f>
        <v>2203 BELLTREE DRIVE EASTSHIRE LOT 53</v>
      </c>
      <c r="D1371" s="1">
        <v>151.6</v>
      </c>
    </row>
    <row r="1372" spans="1:4" x14ac:dyDescent="0.3">
      <c r="A1372" s="1" t="str">
        <f>"01003208900"</f>
        <v>01003208900</v>
      </c>
      <c r="B1372" s="1" t="str">
        <f>"BELAIR NEAL A"</f>
        <v>BELAIR NEAL A</v>
      </c>
      <c r="C1372" s="1" t="str">
        <f>"44 E EUCLID AVE FISHER &amp; MILLER LOT 9"</f>
        <v>44 E EUCLID AVE FISHER &amp; MILLER LOT 9</v>
      </c>
      <c r="D1372" s="1">
        <v>2168.19</v>
      </c>
    </row>
    <row r="1373" spans="1:4" x14ac:dyDescent="0.3">
      <c r="A1373" s="1" t="str">
        <f>"24000437100"</f>
        <v>24000437100</v>
      </c>
      <c r="B1373" s="1" t="str">
        <f>"BELCHER JACK E, BELCHER ANNA L"</f>
        <v>BELCHER JACK E, BELCHER ANNA L</v>
      </c>
      <c r="C1373" s="1" t="str">
        <f>"HENLEY AVE LINCOLN VILLAGE SOUTH 208"</f>
        <v>HENLEY AVE LINCOLN VILLAGE SOUTH 208</v>
      </c>
      <c r="D1373" s="1">
        <v>3293.39</v>
      </c>
    </row>
    <row r="1374" spans="1:4" x14ac:dyDescent="0.3">
      <c r="A1374" s="1" t="str">
        <f>"01005266400"</f>
        <v>01005266400</v>
      </c>
      <c r="B1374" s="1" t="str">
        <f>"BELCHER MARY, STEWART FREDDIE"</f>
        <v>BELCHER MARY, STEWART FREDDIE</v>
      </c>
      <c r="C1374" s="1" t="str">
        <f>"975 E 11TH AVE MILLERS CLEVELAND TERRACE LOT 23"</f>
        <v>975 E 11TH AVE MILLERS CLEVELAND TERRACE LOT 23</v>
      </c>
      <c r="D1374" s="1">
        <v>1015.2</v>
      </c>
    </row>
    <row r="1375" spans="1:4" x14ac:dyDescent="0.3">
      <c r="A1375" s="1" t="str">
        <f>"16000148600"</f>
        <v>16000148600</v>
      </c>
      <c r="B1375" s="1" t="str">
        <f>"BELFORD LAWRENCE D JR"</f>
        <v>BELFORD LAWRENCE D JR</v>
      </c>
      <c r="C1375" s="1" t="str">
        <f>"HOLTON RD ENTRY 6840 2.732 ACRES"</f>
        <v>HOLTON RD ENTRY 6840 2.732 ACRES</v>
      </c>
      <c r="D1375" s="1">
        <v>187.7</v>
      </c>
    </row>
    <row r="1376" spans="1:4" x14ac:dyDescent="0.3">
      <c r="A1376" s="1" t="str">
        <f>"60018550400"</f>
        <v>60018550400</v>
      </c>
      <c r="B1376" s="1" t="str">
        <f>"BELGER JOSEPH H SR TR"</f>
        <v>BELGER JOSEPH H SR TR</v>
      </c>
      <c r="C1376" s="1" t="str">
        <f>"CANON RIDGE PL CANONGATE SECTION 1 LOT 24"</f>
        <v>CANON RIDGE PL CANONGATE SECTION 1 LOT 24</v>
      </c>
      <c r="D1376" s="1">
        <v>1330.15</v>
      </c>
    </row>
    <row r="1377" spans="1:4" x14ac:dyDescent="0.3">
      <c r="A1377" s="1" t="str">
        <f>"01001448500"</f>
        <v>01001448500</v>
      </c>
      <c r="B1377" s="1" t="str">
        <f>"BELIEVE IN THREE LLC"</f>
        <v>BELIEVE IN THREE LLC</v>
      </c>
      <c r="C1377" s="1" t="str">
        <f>"NOE BIXBY RD R21 T12 S15 1/2S23 3.291 ACRES"</f>
        <v>NOE BIXBY RD R21 T12 S15 1/2S23 3.291 ACRES</v>
      </c>
      <c r="D1377" s="1">
        <v>1333.7</v>
      </c>
    </row>
    <row r="1378" spans="1:4" x14ac:dyDescent="0.3">
      <c r="A1378" s="1" t="str">
        <f>"01010974500"</f>
        <v>01010974500</v>
      </c>
      <c r="B1378" s="1" t="str">
        <f>"BELJON AMY"</f>
        <v>BELJON AMY</v>
      </c>
      <c r="C1378" s="1" t="str">
        <f>"FAHRWAY DR 8FT WS L 50&amp;42FT ES L 51 GLEN BURN LOT 50-51"</f>
        <v>FAHRWAY DR 8FT WS L 50&amp;42FT ES L 51 GLEN BURN LOT 50-51</v>
      </c>
      <c r="D1378" s="1">
        <v>181.26</v>
      </c>
    </row>
    <row r="1379" spans="1:4" x14ac:dyDescent="0.3">
      <c r="A1379" s="1" t="str">
        <f>"01008598100"</f>
        <v>01008598100</v>
      </c>
      <c r="B1379" s="1" t="str">
        <f>"BELKNAP ERIC J"</f>
        <v>BELKNAP ERIC J</v>
      </c>
      <c r="C1379" s="1" t="str">
        <f>"DELAND AVE COOKE HTS LOT 25"</f>
        <v>DELAND AVE COOKE HTS LOT 25</v>
      </c>
      <c r="D1379" s="1">
        <v>268.64999999999998</v>
      </c>
    </row>
    <row r="1380" spans="1:4" x14ac:dyDescent="0.3">
      <c r="A1380" s="1" t="str">
        <f>"11000341900"</f>
        <v>11000341900</v>
      </c>
      <c r="B1380" s="1" t="str">
        <f>"BELL DIANE"</f>
        <v>BELL DIANE</v>
      </c>
      <c r="C1380" s="1" t="str">
        <f>"VIENNA DR H C HUBER PLAT 48 SEC 3 1487"</f>
        <v>VIENNA DR H C HUBER PLAT 48 SEC 3 1487</v>
      </c>
      <c r="D1380" s="1">
        <v>3259.47</v>
      </c>
    </row>
    <row r="1381" spans="1:4" x14ac:dyDescent="0.3">
      <c r="A1381" s="1" t="str">
        <f>"01004828900"</f>
        <v>01004828900</v>
      </c>
      <c r="B1381" s="1" t="str">
        <f>"BELL DIANE"</f>
        <v>BELL DIANE</v>
      </c>
      <c r="C1381" s="1" t="str">
        <f>"15.92 X 50.20FT R18 T1 SEC C "</f>
        <v xml:space="preserve">15.92 X 50.20FT R18 T1 SEC C </v>
      </c>
      <c r="D1381" s="1">
        <v>2024.69</v>
      </c>
    </row>
    <row r="1382" spans="1:4" x14ac:dyDescent="0.3">
      <c r="A1382" s="1" t="str">
        <f>"01004829700"</f>
        <v>01004829700</v>
      </c>
      <c r="B1382" s="1" t="str">
        <f>"BELL DIANE"</f>
        <v>BELL DIANE</v>
      </c>
      <c r="C1382" s="1" t="str">
        <f>"8 E BLAKE AVE 15.87X50.20FT MID PT R 18 T1 SEC 3"</f>
        <v>8 E BLAKE AVE 15.87X50.20FT MID PT R 18 T1 SEC 3</v>
      </c>
      <c r="D1382" s="1">
        <v>2024.69</v>
      </c>
    </row>
    <row r="1383" spans="1:4" x14ac:dyDescent="0.3">
      <c r="A1383" s="1" t="str">
        <f>"01000888200"</f>
        <v>01000888200</v>
      </c>
      <c r="B1383" s="1" t="str">
        <f>"BELL DIANE"</f>
        <v>BELL DIANE</v>
      </c>
      <c r="C1383" s="1" t="str">
        <f>"2190 INDIANOLA AVE INDIANOLA HTS LOT 138"</f>
        <v>2190 INDIANOLA AVE INDIANOLA HTS LOT 138</v>
      </c>
      <c r="D1383" s="1">
        <v>3029.96</v>
      </c>
    </row>
    <row r="1384" spans="1:4" x14ac:dyDescent="0.3">
      <c r="A1384" s="1" t="str">
        <f>"01004002400"</f>
        <v>01004002400</v>
      </c>
      <c r="B1384" s="1" t="str">
        <f>"BELL DIANE"</f>
        <v>BELL DIANE</v>
      </c>
      <c r="C1384" s="1" t="str">
        <f>"10 E BLAKE AVE 15.88 X 50.2 FT R18 T1 SEC 3"</f>
        <v>10 E BLAKE AVE 15.88 X 50.2 FT R18 T1 SEC 3</v>
      </c>
      <c r="D1384" s="1">
        <v>2024.69</v>
      </c>
    </row>
    <row r="1385" spans="1:4" x14ac:dyDescent="0.3">
      <c r="A1385" s="1" t="str">
        <f>"01000216500"</f>
        <v>01000216500</v>
      </c>
      <c r="B1385" s="1" t="str">
        <f>"BELL DIANE"</f>
        <v>BELL DIANE</v>
      </c>
      <c r="C1385" s="1" t="str">
        <f>"2216 INDIANOLA AVE INDIANOLA HTS LOT 143"</f>
        <v>2216 INDIANOLA AVE INDIANOLA HTS LOT 143</v>
      </c>
      <c r="D1385" s="1">
        <v>2619.62</v>
      </c>
    </row>
    <row r="1386" spans="1:4" x14ac:dyDescent="0.3">
      <c r="A1386" s="1" t="str">
        <f>"01004275500"</f>
        <v>01004275500</v>
      </c>
      <c r="B1386" s="1" t="str">
        <f>"BELL DIANE"</f>
        <v>BELL DIANE</v>
      </c>
      <c r="C1386" s="1" t="str">
        <f>"2232 INDIANOLA AVE INDIANOLA HTS LOT 146"</f>
        <v>2232 INDIANOLA AVE INDIANOLA HTS LOT 146</v>
      </c>
      <c r="D1386" s="1">
        <v>2619.62</v>
      </c>
    </row>
    <row r="1387" spans="1:4" x14ac:dyDescent="0.3">
      <c r="A1387" s="1" t="str">
        <f>"01001251800"</f>
        <v>01001251800</v>
      </c>
      <c r="B1387" s="1" t="str">
        <f>"BELL DIANE"</f>
        <v>BELL DIANE</v>
      </c>
      <c r="C1387" s="1" t="str">
        <f>"2229 INDIANA AVE INDIANOLA HTS LOT 106"</f>
        <v>2229 INDIANA AVE INDIANOLA HTS LOT 106</v>
      </c>
      <c r="D1387" s="1">
        <v>2619.36</v>
      </c>
    </row>
    <row r="1388" spans="1:4" x14ac:dyDescent="0.3">
      <c r="A1388" s="1" t="str">
        <f>"01000801700"</f>
        <v>01000801700</v>
      </c>
      <c r="B1388" s="1" t="str">
        <f>"BELL DIANE"</f>
        <v>BELL DIANE</v>
      </c>
      <c r="C1388" s="1" t="str">
        <f>"2222 INDIANOLA AVE INDIANOLA HTS LOT 144"</f>
        <v>2222 INDIANOLA AVE INDIANOLA HTS LOT 144</v>
      </c>
      <c r="D1388" s="1">
        <v>2998.84</v>
      </c>
    </row>
    <row r="1389" spans="1:4" x14ac:dyDescent="0.3">
      <c r="A1389" s="1" t="str">
        <f>"17000115800"</f>
        <v>17000115800</v>
      </c>
      <c r="B1389" s="1" t="str">
        <f>"BELL DIANE L"</f>
        <v>BELL DIANE L</v>
      </c>
      <c r="C1389" s="1" t="str">
        <f>"5266 CLOTTS RD R16 T1 1-4T2 PT PAR 1-2 2 1.384 ACRS"</f>
        <v>5266 CLOTTS RD R16 T1 1-4T2 PT PAR 1-2 2 1.384 ACRS</v>
      </c>
      <c r="D1389" s="1">
        <v>4770.66</v>
      </c>
    </row>
    <row r="1390" spans="1:4" x14ac:dyDescent="0.3">
      <c r="A1390" s="1" t="str">
        <f>"01003387000"</f>
        <v>01003387000</v>
      </c>
      <c r="B1390" s="1" t="str">
        <f>"BELL DIANE L"</f>
        <v>BELL DIANE L</v>
      </c>
      <c r="C1390" s="1" t="str">
        <f>"107 E NORTHWOOD AVE NORTHWOOD PARK LOT 153"</f>
        <v>107 E NORTHWOOD AVE NORTHWOOD PARK LOT 153</v>
      </c>
      <c r="D1390" s="1">
        <v>2619.36</v>
      </c>
    </row>
    <row r="1391" spans="1:4" x14ac:dyDescent="0.3">
      <c r="A1391" s="1" t="str">
        <f>"08000763100"</f>
        <v>08000763100</v>
      </c>
      <c r="B1391" s="1" t="str">
        <f>"BELL HENRY I, BELL ELLEN L"</f>
        <v>BELL HENRY I, BELL ELLEN L</v>
      </c>
      <c r="C1391" s="1" t="str">
        <f>"1213 OAK BLUFF CT CHATHAM RIDGE SEC 3 LOT 92"</f>
        <v>1213 OAK BLUFF CT CHATHAM RIDGE SEC 3 LOT 92</v>
      </c>
      <c r="D1391" s="1">
        <v>4795.2700000000004</v>
      </c>
    </row>
    <row r="1392" spans="1:4" x14ac:dyDescent="0.3">
      <c r="A1392" s="1" t="str">
        <f>"07001057700"</f>
        <v>07001057700</v>
      </c>
      <c r="B1392" s="1" t="str">
        <f>"BELL JENNIFER, BELL CHANDLER"</f>
        <v>BELL JENNIFER, BELL CHANDLER</v>
      </c>
      <c r="C1392" s="1" t="str">
        <f>"3670 ROMNAY RD HASTINGS PLACE LOT 19"</f>
        <v>3670 ROMNAY RD HASTINGS PLACE LOT 19</v>
      </c>
      <c r="D1392" s="1">
        <v>705.66</v>
      </c>
    </row>
    <row r="1393" spans="1:4" x14ac:dyDescent="0.3">
      <c r="A1393" s="1" t="str">
        <f>"01014446800"</f>
        <v>01014446800</v>
      </c>
      <c r="B1393" s="1" t="str">
        <f>"BELL KEVIN A, BELL DONNA J"</f>
        <v>BELL KEVIN A, BELL DONNA J</v>
      </c>
      <c r="C1393" s="1" t="str">
        <f>"ORMOND AVE BERNARD LOT 6"</f>
        <v>ORMOND AVE BERNARD LOT 6</v>
      </c>
      <c r="D1393" s="1">
        <v>1928.33</v>
      </c>
    </row>
    <row r="1394" spans="1:4" x14ac:dyDescent="0.3">
      <c r="A1394" s="1" t="str">
        <f>"06000079700"</f>
        <v>06000079700</v>
      </c>
      <c r="B1394" s="1" t="str">
        <f>"BELL MARK C"</f>
        <v>BELL MARK C</v>
      </c>
      <c r="C1394" s="1" t="str">
        <f>"LEBANON AVE BROOKSIDE PK 2 373 "</f>
        <v xml:space="preserve">LEBANON AVE BROOKSIDE PK 2 373 </v>
      </c>
      <c r="D1394" s="1">
        <v>3664.67</v>
      </c>
    </row>
    <row r="1395" spans="1:4" x14ac:dyDescent="0.3">
      <c r="A1395" s="1" t="str">
        <f>"01023551300"</f>
        <v>01023551300</v>
      </c>
      <c r="B1395" s="1" t="str">
        <f>"BELL MARK C"</f>
        <v>BELL MARK C</v>
      </c>
      <c r="C1395" s="1" t="str">
        <f>"MC NEILL FARMS EAST CONDOMINIUM 21ST AMD UNIT 64D"</f>
        <v>MC NEILL FARMS EAST CONDOMINIUM 21ST AMD UNIT 64D</v>
      </c>
      <c r="D1395" s="1">
        <v>2576.9499999999998</v>
      </c>
    </row>
    <row r="1396" spans="1:4" x14ac:dyDescent="0.3">
      <c r="A1396" s="1" t="str">
        <f>"01006243400"</f>
        <v>01006243400</v>
      </c>
      <c r="B1396" s="1" t="str">
        <f>"BELL RUTH A"</f>
        <v>BELL RUTH A</v>
      </c>
      <c r="C1396" s="1" t="str">
        <f>"HINKLE AVE JEROME A KLINE LOT 6"</f>
        <v>HINKLE AVE JEROME A KLINE LOT 6</v>
      </c>
      <c r="D1396" s="1">
        <v>362.81</v>
      </c>
    </row>
    <row r="1397" spans="1:4" x14ac:dyDescent="0.3">
      <c r="A1397" s="1" t="str">
        <f>"01003150800"</f>
        <v>01003150800</v>
      </c>
      <c r="B1397" s="1" t="str">
        <f>"BELL RUTH A"</f>
        <v>BELL RUTH A</v>
      </c>
      <c r="C1397" s="1" t="str">
        <f>"148 HINKLE AVE LINTONS SUB 14"</f>
        <v>148 HINKLE AVE LINTONS SUB 14</v>
      </c>
      <c r="D1397" s="1">
        <v>1297.44</v>
      </c>
    </row>
    <row r="1398" spans="1:4" x14ac:dyDescent="0.3">
      <c r="A1398" s="1" t="str">
        <f>"04000141800"</f>
        <v>04000141800</v>
      </c>
      <c r="B1398" s="1" t="str">
        <f>"BELL RUTH A"</f>
        <v>BELL RUTH A</v>
      </c>
      <c r="C1398" s="1" t="str">
        <f>"3457 VALERIE ST SHERRY LYNNE HOMES LOT 61"</f>
        <v>3457 VALERIE ST SHERRY LYNNE HOMES LOT 61</v>
      </c>
      <c r="D1398" s="1">
        <v>1238.83</v>
      </c>
    </row>
    <row r="1399" spans="1:4" x14ac:dyDescent="0.3">
      <c r="A1399" s="1" t="str">
        <f>"18500046800"</f>
        <v>18500046800</v>
      </c>
      <c r="B1399" s="1" t="str">
        <f>"BELL SHIRLEY M"</f>
        <v>BELL SHIRLEY M</v>
      </c>
      <c r="C1399" s="1" t="str">
        <f>"LESLEH AVE HELSEL 21 "</f>
        <v xml:space="preserve">LESLEH AVE HELSEL 21 </v>
      </c>
      <c r="D1399" s="1">
        <v>157.84</v>
      </c>
    </row>
    <row r="1400" spans="1:4" x14ac:dyDescent="0.3">
      <c r="A1400" s="1" t="str">
        <f>"01020055700"</f>
        <v>01020055700</v>
      </c>
      <c r="B1400" s="1" t="str">
        <f>"BELL STEVEN RUSSELL"</f>
        <v>BELL STEVEN RUSSELL</v>
      </c>
      <c r="C1400" s="1" t="str">
        <f>"5305 BERRYWOOD DR BETHEL WOODS CONDO BLDG 8 UNIT 5305"</f>
        <v>5305 BERRYWOOD DR BETHEL WOODS CONDO BLDG 8 UNIT 5305</v>
      </c>
      <c r="D1400" s="1">
        <v>450.62</v>
      </c>
    </row>
    <row r="1401" spans="1:4" x14ac:dyDescent="0.3">
      <c r="A1401" s="1" t="str">
        <f>"18400011200"</f>
        <v>18400011200</v>
      </c>
      <c r="B1401" s="1" t="str">
        <f>"BELLAD AND COMPANY LLC, BELL TERRENCE H, BELL MEGAN L"</f>
        <v>BELLAD AND COMPANY LLC, BELL TERRENCE H, BELL MEGAN L</v>
      </c>
      <c r="C1401" s="1" t="str">
        <f>"HIGH ST 20 FT S S MILLERS 1 8 "</f>
        <v xml:space="preserve">HIGH ST 20 FT S S MILLERS 1 8 </v>
      </c>
      <c r="D1401" s="1">
        <v>4816.96</v>
      </c>
    </row>
    <row r="1402" spans="1:4" x14ac:dyDescent="0.3">
      <c r="A1402" s="1" t="str">
        <f>"01007474100"</f>
        <v>01007474100</v>
      </c>
      <c r="B1402" s="1" t="str">
        <f>"BELLAHCENE ABDELILAH"</f>
        <v>BELLAHCENE ABDELILAH</v>
      </c>
      <c r="C1402" s="1" t="str">
        <f>"HIAWATHA PK DR HIAWATHA PK PLC LOT 167"</f>
        <v>HIAWATHA PK DR HIAWATHA PK PLC LOT 167</v>
      </c>
      <c r="D1402" s="1">
        <v>12.71</v>
      </c>
    </row>
    <row r="1403" spans="1:4" x14ac:dyDescent="0.3">
      <c r="A1403" s="1" t="str">
        <f>"01007473900"</f>
        <v>01007473900</v>
      </c>
      <c r="B1403" s="1" t="str">
        <f>"BELLAHCENE ABDELILAH"</f>
        <v>BELLAHCENE ABDELILAH</v>
      </c>
      <c r="C1403" s="1" t="str">
        <f>"HIAWATHA PARK DRIVE HIAWATHA PARK PLACE LOT 165"</f>
        <v>HIAWATHA PARK DRIVE HIAWATHA PARK PLACE LOT 165</v>
      </c>
      <c r="D1403" s="1">
        <v>12.71</v>
      </c>
    </row>
    <row r="1404" spans="1:4" x14ac:dyDescent="0.3">
      <c r="A1404" s="1" t="str">
        <f>"01007474000"</f>
        <v>01007474000</v>
      </c>
      <c r="B1404" s="1" t="str">
        <f>"BELLAHCENE ABDELILAH"</f>
        <v>BELLAHCENE ABDELILAH</v>
      </c>
      <c r="C1404" s="1" t="str">
        <f>"2257 HIAWATHA PK DR LOT HIAWATHA PK PLC LOT 166"</f>
        <v>2257 HIAWATHA PK DR LOT HIAWATHA PK PLC LOT 166</v>
      </c>
      <c r="D1404" s="1">
        <v>62.96</v>
      </c>
    </row>
    <row r="1405" spans="1:4" x14ac:dyDescent="0.3">
      <c r="A1405" s="1" t="str">
        <f>"01009826000"</f>
        <v>01009826000</v>
      </c>
      <c r="B1405" s="1" t="str">
        <f>"BELLAMY RAEJEAN F"</f>
        <v>BELLAMY RAEJEAN F</v>
      </c>
      <c r="C1405" s="1" t="str">
        <f>"NORWOOD ST OAK PARK 10 LOT 2"</f>
        <v>NORWOOD ST OAK PARK 10 LOT 2</v>
      </c>
      <c r="D1405" s="1">
        <v>1344.23</v>
      </c>
    </row>
    <row r="1406" spans="1:4" x14ac:dyDescent="0.3">
      <c r="A1406" s="1" t="str">
        <f>"18000532000"</f>
        <v>18000532000</v>
      </c>
      <c r="B1406" s="1" t="str">
        <f>"BELLAWOOD FARM LLC"</f>
        <v>BELLAWOOD FARM LLC</v>
      </c>
      <c r="C1406" s="1" t="str">
        <f>"BAIRD RD R21 T11 S11 33.3436 ACRES"</f>
        <v>BAIRD RD R21 T11 S11 33.3436 ACRES</v>
      </c>
      <c r="D1406" s="1">
        <v>1185.46</v>
      </c>
    </row>
    <row r="1407" spans="1:4" x14ac:dyDescent="0.3">
      <c r="A1407" s="1" t="str">
        <f>"18100128700"</f>
        <v>18100128700</v>
      </c>
      <c r="B1407" s="1" t="str">
        <f>"BELLAWOOD FARM LLC"</f>
        <v>BELLAWOOD FARM LLC</v>
      </c>
      <c r="C1407" s="1" t="str">
        <f>"OREGON RD R21 T10 S11 5.78 ACRES"</f>
        <v>OREGON RD R21 T10 S11 5.78 ACRES</v>
      </c>
      <c r="D1407" s="1">
        <v>7079.58</v>
      </c>
    </row>
    <row r="1408" spans="1:4" x14ac:dyDescent="0.3">
      <c r="A1408" s="1" t="str">
        <f>"18100135700"</f>
        <v>18100135700</v>
      </c>
      <c r="B1408" s="1" t="str">
        <f>"BELLAWOOD FARM LLC"</f>
        <v>BELLAWOOD FARM LLC</v>
      </c>
      <c r="C1408" s="1" t="str">
        <f>"BAIRD RD R21 T11 S11 42.6007 ACRES"</f>
        <v>BAIRD RD R21 T11 S11 42.6007 ACRES</v>
      </c>
      <c r="D1408" s="1">
        <v>1291.55</v>
      </c>
    </row>
    <row r="1409" spans="1:4" x14ac:dyDescent="0.3">
      <c r="A1409" s="1" t="str">
        <f>"22200538000"</f>
        <v>22200538000</v>
      </c>
      <c r="B1409" s="1" t="str">
        <f>"BELLEGARDE PROPERTIES LLC"</f>
        <v>BELLEGARDE PROPERTIES LLC</v>
      </c>
      <c r="C1409" s="1" t="str">
        <f>"COLS &amp; JOHNSTOWN RD R16 T2 1/4T4 0.177 ACRE"</f>
        <v>COLS &amp; JOHNSTOWN RD R16 T2 1/4T4 0.177 ACRE</v>
      </c>
      <c r="D1409" s="1">
        <v>4602.17</v>
      </c>
    </row>
    <row r="1410" spans="1:4" x14ac:dyDescent="0.3">
      <c r="A1410" s="1" t="str">
        <f>"18500046700"</f>
        <v>18500046700</v>
      </c>
      <c r="B1410" s="1" t="str">
        <f>"BELOAT DON W, BELOAT NANCY J"</f>
        <v>BELOAT DON W, BELOAT NANCY J</v>
      </c>
      <c r="C1410" s="1" t="str">
        <f>"LESLEH AVE HELSEL 20 "</f>
        <v xml:space="preserve">LESLEH AVE HELSEL 20 </v>
      </c>
      <c r="D1410" s="1">
        <v>1525.38</v>
      </c>
    </row>
    <row r="1411" spans="1:4" x14ac:dyDescent="0.3">
      <c r="A1411" s="1" t="str">
        <f>"55014343600"</f>
        <v>55014343600</v>
      </c>
      <c r="B1411" s="1" t="str">
        <f>"BELTZ ANGELA J"</f>
        <v>BELTZ ANGELA J</v>
      </c>
      <c r="C1411" s="1" t="str">
        <f>"6696 RED COACH LANE RED FOX HOLLOW 3 LOT 4"</f>
        <v>6696 RED COACH LANE RED FOX HOLLOW 3 LOT 4</v>
      </c>
      <c r="D1411" s="1">
        <v>114.43</v>
      </c>
    </row>
    <row r="1412" spans="1:4" x14ac:dyDescent="0.3">
      <c r="A1412" s="1" t="str">
        <f>"01012832100"</f>
        <v>01012832100</v>
      </c>
      <c r="B1412" s="1" t="str">
        <f>"BENDAHHOU HICHAM"</f>
        <v>BENDAHHOU HICHAM</v>
      </c>
      <c r="C1412" s="1" t="str">
        <f>"2178 EARL AVE ORCHARD HTS LOT 15"</f>
        <v>2178 EARL AVE ORCHARD HTS LOT 15</v>
      </c>
      <c r="D1412" s="1">
        <v>1334.36</v>
      </c>
    </row>
    <row r="1413" spans="1:4" x14ac:dyDescent="0.3">
      <c r="A1413" s="1" t="str">
        <f>"01013370100"</f>
        <v>01013370100</v>
      </c>
      <c r="B1413" s="1" t="str">
        <f>"BENDER EDWARD E TR, BENDER MATTIE TR"</f>
        <v>BENDER EDWARD E TR, BENDER MATTIE TR</v>
      </c>
      <c r="C1413" s="1" t="str">
        <f>"ZENNER DR SOUTHFIELD 3 LOT 599"</f>
        <v>ZENNER DR SOUTHFIELD 3 LOT 599</v>
      </c>
      <c r="D1413" s="1">
        <v>1021.85</v>
      </c>
    </row>
    <row r="1414" spans="1:4" x14ac:dyDescent="0.3">
      <c r="A1414" s="1" t="str">
        <f>"59023148500"</f>
        <v>59023148500</v>
      </c>
      <c r="B1414" s="1" t="str">
        <f>"BENDYIECKI GERALD R"</f>
        <v>BENDYIECKI GERALD R</v>
      </c>
      <c r="C1414" s="1" t="str">
        <f>"THE LAKES AT BETHEL PARK CONDO 2ND AMD BLDG 21 UNIT 2210"</f>
        <v>THE LAKES AT BETHEL PARK CONDO 2ND AMD BLDG 21 UNIT 2210</v>
      </c>
      <c r="D1414" s="1">
        <v>239.24</v>
      </c>
    </row>
    <row r="1415" spans="1:4" x14ac:dyDescent="0.3">
      <c r="A1415" s="1" t="str">
        <f>"01008444300"</f>
        <v>01008444300</v>
      </c>
      <c r="B1415" s="1" t="str">
        <f>"BENEDICT AGNES N TOD"</f>
        <v>BENEDICT AGNES N TOD</v>
      </c>
      <c r="C1415" s="1" t="str">
        <f>"CANYON DR N INDIAN SPRG AMD LOT 2"</f>
        <v>CANYON DR N INDIAN SPRG AMD LOT 2</v>
      </c>
      <c r="D1415" s="1">
        <v>3034.12</v>
      </c>
    </row>
    <row r="1416" spans="1:4" x14ac:dyDescent="0.3">
      <c r="A1416" s="1" t="str">
        <f>"01005886400"</f>
        <v>01005886400</v>
      </c>
      <c r="B1416" s="1" t="str">
        <f>"BENEDICT BRIAN D, BENEDICT DENISE M"</f>
        <v>BENEDICT BRIAN D, BENEDICT DENISE M</v>
      </c>
      <c r="C1416" s="1" t="str">
        <f>"MONTROSE WAY NORTHMOOR LOT 178"</f>
        <v>MONTROSE WAY NORTHMOOR LOT 178</v>
      </c>
      <c r="D1416" s="1">
        <v>4012.39</v>
      </c>
    </row>
    <row r="1417" spans="1:4" x14ac:dyDescent="0.3">
      <c r="A1417" s="1" t="str">
        <f>"01016132600"</f>
        <v>01016132600</v>
      </c>
      <c r="B1417" s="1" t="str">
        <f>"BENEDUM TAMELA, BENEDUM DANIELS CHRISTOPHER"</f>
        <v>BENEDUM TAMELA, BENEDUM DANIELS CHRISTOPHER</v>
      </c>
      <c r="C1417" s="1" t="str">
        <f>"WOODBROOK CR N WOODBROOK VILLAGE CONDO UNIT 360"</f>
        <v>WOODBROOK CR N WOODBROOK VILLAGE CONDO UNIT 360</v>
      </c>
      <c r="D1417" s="1">
        <v>1418.34</v>
      </c>
    </row>
    <row r="1418" spans="1:4" x14ac:dyDescent="0.3">
      <c r="A1418" s="1" t="str">
        <f>"13000218600"</f>
        <v>13000218600</v>
      </c>
      <c r="B1418" s="1" t="str">
        <f>"BENHAMMOU HICHAM"</f>
        <v>BENHAMMOU HICHAM</v>
      </c>
      <c r="C1418" s="1" t="str">
        <f>"SALE RD NORTH LINDEN 3 87 "</f>
        <v xml:space="preserve">SALE RD NORTH LINDEN 3 87 </v>
      </c>
      <c r="D1418" s="1">
        <v>792.84</v>
      </c>
    </row>
    <row r="1419" spans="1:4" x14ac:dyDescent="0.3">
      <c r="A1419" s="1" t="str">
        <f>"01010594200"</f>
        <v>01010594200</v>
      </c>
      <c r="B1419" s="1" t="str">
        <f>"BENJAMIN CATRINEA D"</f>
        <v>BENJAMIN CATRINEA D</v>
      </c>
      <c r="C1419" s="1" t="str">
        <f>"WILLIS PARK 2 LOT 462 "</f>
        <v xml:space="preserve">WILLIS PARK 2 LOT 462 </v>
      </c>
      <c r="D1419" s="1">
        <v>1812.37</v>
      </c>
    </row>
    <row r="1420" spans="1:4" x14ac:dyDescent="0.3">
      <c r="A1420" s="1" t="str">
        <f>"01016003700"</f>
        <v>01016003700</v>
      </c>
      <c r="B1420" s="1" t="str">
        <f>"BENJAMIN JOAN A, BENJAMIN GRETCHEN"</f>
        <v>BENJAMIN JOAN A, BENJAMIN GRETCHEN</v>
      </c>
      <c r="C1420" s="1" t="str">
        <f>"DELLWORTH STREET WALNUT BLUFF 3 LOT 923"</f>
        <v>DELLWORTH STREET WALNUT BLUFF 3 LOT 923</v>
      </c>
      <c r="D1420" s="1">
        <v>2131.35</v>
      </c>
    </row>
    <row r="1421" spans="1:4" x14ac:dyDescent="0.3">
      <c r="A1421" s="1" t="str">
        <f>"01003985600"</f>
        <v>01003985600</v>
      </c>
      <c r="B1421" s="1" t="str">
        <f>"BENJAMIN RUSSELL D"</f>
        <v>BENJAMIN RUSSELL D</v>
      </c>
      <c r="C1421" s="1" t="str">
        <f>"55 N HARRIS AVE VAN SICKLE LOT 20-19"</f>
        <v>55 N HARRIS AVE VAN SICKLE LOT 20-19</v>
      </c>
      <c r="D1421" s="1">
        <v>1929.31</v>
      </c>
    </row>
    <row r="1422" spans="1:4" x14ac:dyDescent="0.3">
      <c r="A1422" s="1" t="str">
        <f>"01019176800"</f>
        <v>01019176800</v>
      </c>
      <c r="B1422" s="1" t="str">
        <f>"BENNEL LLC"</f>
        <v>BENNEL LLC</v>
      </c>
      <c r="C1422" s="1" t="str">
        <f>"OLENTANGY THE CONDOMINIUM BLDG 1 UNIT 1-4730H"</f>
        <v>OLENTANGY THE CONDOMINIUM BLDG 1 UNIT 1-4730H</v>
      </c>
      <c r="D1422" s="1">
        <v>1594.56</v>
      </c>
    </row>
    <row r="1423" spans="1:4" x14ac:dyDescent="0.3">
      <c r="A1423" s="1" t="str">
        <f>"57024013400"</f>
        <v>57024013400</v>
      </c>
      <c r="B1423" s="1" t="str">
        <f>"BENNETT DENNIS A, KINKER-BENNETT LISA R"</f>
        <v>BENNETT DENNIS A, KINKER-BENNETT LISA R</v>
      </c>
      <c r="C1423" s="1" t="str">
        <f>"TENAGRA WAY TRABUE WOODS SEC 4 PART 1 LOT 219"</f>
        <v>TENAGRA WAY TRABUE WOODS SEC 4 PART 1 LOT 219</v>
      </c>
      <c r="D1423" s="1">
        <v>3613.07</v>
      </c>
    </row>
    <row r="1424" spans="1:4" x14ac:dyDescent="0.3">
      <c r="A1424" s="1" t="str">
        <f>"24000169800"</f>
        <v>24000169800</v>
      </c>
      <c r="B1424" s="1" t="str">
        <f>"BENNETT JONATHAN"</f>
        <v>BENNETT JONATHAN</v>
      </c>
      <c r="C1424" s="1" t="str">
        <f>"N HIGH ST GALLOWAY &amp; SMITH 75 "</f>
        <v xml:space="preserve">N HIGH ST GALLOWAY &amp; SMITH 75 </v>
      </c>
      <c r="D1424" s="1">
        <v>1502.64</v>
      </c>
    </row>
    <row r="1425" spans="1:4" x14ac:dyDescent="0.3">
      <c r="A1425" s="1" t="str">
        <f>"01008888200"</f>
        <v>01008888200</v>
      </c>
      <c r="B1425" s="1" t="str">
        <f>"BENNETT KAREN SUE"</f>
        <v>BENNETT KAREN SUE</v>
      </c>
      <c r="C1425" s="1" t="str">
        <f>"BARNETT RD WITEHALL LOT 30"</f>
        <v>BARNETT RD WITEHALL LOT 30</v>
      </c>
      <c r="D1425" s="1">
        <v>3211.6</v>
      </c>
    </row>
    <row r="1426" spans="1:4" x14ac:dyDescent="0.3">
      <c r="A1426" s="1" t="str">
        <f>"19000140400"</f>
        <v>19000140400</v>
      </c>
      <c r="B1426" s="1" t="str">
        <f>"BENNETT LARRY"</f>
        <v>BENNETT LARRY</v>
      </c>
      <c r="C1426" s="1" t="str">
        <f>"2106 MYRTLE AVE GREENDALE PLACE 50 "</f>
        <v xml:space="preserve">2106 MYRTLE AVE GREENDALE PLACE 50 </v>
      </c>
      <c r="D1426" s="1">
        <v>1693.97</v>
      </c>
    </row>
    <row r="1427" spans="1:4" x14ac:dyDescent="0.3">
      <c r="A1427" s="1" t="str">
        <f>"19000049400"</f>
        <v>19000049400</v>
      </c>
      <c r="B1427" s="1" t="str">
        <f>"BENNETT LARRY E II, BENNETT LARRY E"</f>
        <v>BENNETT LARRY E II, BENNETT LARRY E</v>
      </c>
      <c r="C1427" s="1" t="str">
        <f>"2757 BERRELL AVE E LINDEN 2ND PT LOT 45"</f>
        <v>2757 BERRELL AVE E LINDEN 2ND PT LOT 45</v>
      </c>
      <c r="D1427" s="1">
        <v>2338.61</v>
      </c>
    </row>
    <row r="1428" spans="1:4" x14ac:dyDescent="0.3">
      <c r="A1428" s="1" t="str">
        <f>"01016692700"</f>
        <v>01016692700</v>
      </c>
      <c r="B1428" s="1" t="str">
        <f>"BENNETT OIONA R"</f>
        <v>BENNETT OIONA R</v>
      </c>
      <c r="C1428" s="1" t="str">
        <f>"1874 JERMAIN DRIVE AMVET HOMESTEAD 2 LOT 11 BLK N"</f>
        <v>1874 JERMAIN DRIVE AMVET HOMESTEAD 2 LOT 11 BLK N</v>
      </c>
      <c r="D1428" s="1">
        <v>436.49</v>
      </c>
    </row>
    <row r="1429" spans="1:4" x14ac:dyDescent="0.3">
      <c r="A1429" s="1" t="str">
        <f>"15000241000"</f>
        <v>15000241000</v>
      </c>
      <c r="B1429" s="1" t="str">
        <f>"BENNETT OTIS R, BENNETT PATRICIA J"</f>
        <v>BENNETT OTIS R, BENNETT PATRICIA J</v>
      </c>
      <c r="C1429" s="1" t="str">
        <f>"95 JACKSON ST WALTER E DAVIS SUBDV LOT 1"</f>
        <v>95 JACKSON ST WALTER E DAVIS SUBDV LOT 1</v>
      </c>
      <c r="D1429" s="1">
        <v>1068.6400000000001</v>
      </c>
    </row>
    <row r="1430" spans="1:4" x14ac:dyDescent="0.3">
      <c r="A1430" s="1" t="str">
        <f>"01015561400"</f>
        <v>01015561400</v>
      </c>
      <c r="B1430" s="1" t="str">
        <f>"BENNETT PATRICIA A"</f>
        <v>BENNETT PATRICIA A</v>
      </c>
      <c r="C1430" s="1" t="str">
        <f>"KIMBERLY VILLAS CONDOMINIUM PHASE 3 LOT 21-C"</f>
        <v>KIMBERLY VILLAS CONDOMINIUM PHASE 3 LOT 21-C</v>
      </c>
      <c r="D1430" s="1">
        <v>1359.69</v>
      </c>
    </row>
    <row r="1431" spans="1:4" x14ac:dyDescent="0.3">
      <c r="A1431" s="1" t="str">
        <f>"01007426900"</f>
        <v>01007426900</v>
      </c>
      <c r="B1431" s="1" t="str">
        <f>"BENNETT QIONA R"</f>
        <v>BENNETT QIONA R</v>
      </c>
      <c r="C1431" s="1" t="str">
        <f>"ALTON ST E COLUMBUS HTS LOT 35"</f>
        <v>ALTON ST E COLUMBUS HTS LOT 35</v>
      </c>
      <c r="D1431" s="1">
        <v>1002.64</v>
      </c>
    </row>
    <row r="1432" spans="1:4" x14ac:dyDescent="0.3">
      <c r="A1432" s="1" t="str">
        <f>"07000157500"</f>
        <v>07000157500</v>
      </c>
      <c r="B1432" s="1" t="str">
        <f>"BENNETT RICHARD J TR"</f>
        <v>BENNETT RICHARD J TR</v>
      </c>
      <c r="C1432" s="1" t="str">
        <f>"DOONE RD UNIVERSITY LOT 15 BLK 5"</f>
        <v>DOONE RD UNIVERSITY LOT 15 BLK 5</v>
      </c>
      <c r="D1432" s="1">
        <v>575.04</v>
      </c>
    </row>
    <row r="1433" spans="1:4" x14ac:dyDescent="0.3">
      <c r="A1433" s="1" t="str">
        <f>"01016686200"</f>
        <v>01016686200</v>
      </c>
      <c r="B1433" s="1" t="str">
        <f>"BENNETT VIRGIL JR, BENNETT-FLORENCE EVA M, MARTIN MARY E, BENNETT-HILL SHARON"</f>
        <v>BENNETT VIRGIL JR, BENNETT-FLORENCE EVA M, MARTIN MARY E, BENNETT-HILL SHARON</v>
      </c>
      <c r="C1433" s="1" t="str">
        <f>"BRENTNELL AVE AMVET HOMESTEAD 2 LOT 26 BLK L"</f>
        <v>BRENTNELL AVE AMVET HOMESTEAD 2 LOT 26 BLK L</v>
      </c>
      <c r="D1433" s="1">
        <v>663.91</v>
      </c>
    </row>
    <row r="1434" spans="1:4" x14ac:dyDescent="0.3">
      <c r="A1434" s="1" t="str">
        <f>"01016672700"</f>
        <v>01016672700</v>
      </c>
      <c r="B1434" s="1" t="str">
        <f>"BENNETT VIRGIL JR, MARTIN MARY E, BENNETT-FLORENCE EVA M, BENNETT-HILL SHARON"</f>
        <v>BENNETT VIRGIL JR, MARTIN MARY E, BENNETT-FLORENCE EVA M, BENNETT-HILL SHARON</v>
      </c>
      <c r="C1434" s="1" t="str">
        <f>"1772 LANCASHIRE RD AMVET HOMESTEAD 2 LOT 7 BLK G"</f>
        <v>1772 LANCASHIRE RD AMVET HOMESTEAD 2 LOT 7 BLK G</v>
      </c>
      <c r="D1434" s="1">
        <v>933.41</v>
      </c>
    </row>
    <row r="1435" spans="1:4" x14ac:dyDescent="0.3">
      <c r="A1435" s="1" t="str">
        <f>"01016686700"</f>
        <v>01016686700</v>
      </c>
      <c r="B1435" s="1" t="str">
        <f>"BENNETT VIRGIL L JR, BENNETT PATRICIA D"</f>
        <v>BENNETT VIRGIL L JR, BENNETT PATRICIA D</v>
      </c>
      <c r="C1435" s="1" t="str">
        <f>"1819 BRENTNELL AVE AMVET HOMESTEAD 2 LOT 31 BLK L"</f>
        <v>1819 BRENTNELL AVE AMVET HOMESTEAD 2 LOT 31 BLK L</v>
      </c>
      <c r="D1435" s="1">
        <v>629.48</v>
      </c>
    </row>
    <row r="1436" spans="1:4" x14ac:dyDescent="0.3">
      <c r="A1436" s="1" t="str">
        <f>"27300306200"</f>
        <v>27300306200</v>
      </c>
      <c r="B1436" s="1" t="str">
        <f>"BENNEY MARY E"</f>
        <v>BENNEY MARY E</v>
      </c>
      <c r="C1436" s="1" t="str">
        <f>"6732 FALLEN TIMBER INDIAN RUN MEADOWS SEC 3 LOT 144"</f>
        <v>6732 FALLEN TIMBER INDIAN RUN MEADOWS SEC 3 LOT 144</v>
      </c>
      <c r="D1436" s="1">
        <v>417.02</v>
      </c>
    </row>
    <row r="1437" spans="1:4" x14ac:dyDescent="0.3">
      <c r="A1437" s="1" t="str">
        <f>"01010055900"</f>
        <v>01010055900</v>
      </c>
      <c r="B1437" s="1" t="str">
        <f>"BENSEN LINDA L"</f>
        <v>BENSEN LINDA L</v>
      </c>
      <c r="C1437" s="1" t="str">
        <f>"CROSWELL RD ROSELEA LOT 29"</f>
        <v>CROSWELL RD ROSELEA LOT 29</v>
      </c>
      <c r="D1437" s="1">
        <v>424.89</v>
      </c>
    </row>
    <row r="1438" spans="1:4" x14ac:dyDescent="0.3">
      <c r="A1438" s="1" t="str">
        <f>"02500572200"</f>
        <v>02500572200</v>
      </c>
      <c r="B1438" s="1" t="str">
        <f>"BENSON AUTUMN"</f>
        <v>BENSON AUTUMN</v>
      </c>
      <c r="C1438" s="1" t="str">
        <f>"334 RIMBEY AVENUE WOODSIDE GREEN SEC 2 LOT 176"</f>
        <v>334 RIMBEY AVENUE WOODSIDE GREEN SEC 2 LOT 176</v>
      </c>
      <c r="D1438" s="1">
        <v>3540.16</v>
      </c>
    </row>
    <row r="1439" spans="1:4" x14ac:dyDescent="0.3">
      <c r="A1439" s="1" t="str">
        <f>"07000937500"</f>
        <v>07000937500</v>
      </c>
      <c r="B1439" s="1" t="str">
        <f>"BENSON JOHN C, BENSON BARBARA L"</f>
        <v>BENSON JOHN C, BENSON BARBARA L</v>
      </c>
      <c r="C1439" s="1" t="str">
        <f>"1780 ARDLEIGH RD MILLWOOD LOT 16-17 BLK 295"</f>
        <v>1780 ARDLEIGH RD MILLWOOD LOT 16-17 BLK 295</v>
      </c>
      <c r="D1439" s="1">
        <v>603.42999999999995</v>
      </c>
    </row>
    <row r="1440" spans="1:4" x14ac:dyDescent="0.3">
      <c r="A1440" s="1" t="str">
        <f>"04001370900"</f>
        <v>04001370900</v>
      </c>
      <c r="B1440" s="1" t="str">
        <f>"BENSON JOSEPH M, BENSON EUGENIA T"</f>
        <v>BENSON JOSEPH M, BENSON EUGENIA T</v>
      </c>
      <c r="C1440" s="1" t="str">
        <f>"1036 PINNACLE CLUB DRIVE  PINNACLE CLUB SECTION 3   LOT 394                  "</f>
        <v xml:space="preserve">1036 PINNACLE CLUB DRIVE  PINNACLE CLUB SECTION 3   LOT 394                  </v>
      </c>
      <c r="D1440" s="1">
        <v>788.85</v>
      </c>
    </row>
    <row r="1441" spans="1:4" x14ac:dyDescent="0.3">
      <c r="A1441" s="1" t="str">
        <f>"05000664800"</f>
        <v>05000664800</v>
      </c>
      <c r="B1441" s="1" t="str">
        <f>"BENSTON-WALTER BARBARA A"</f>
        <v>BENSTON-WALTER BARBARA A</v>
      </c>
      <c r="C1441" s="1" t="str">
        <f>"DUBLIN RD ACRES 1.327 OQ 1000 ENTRY 1406"</f>
        <v>DUBLIN RD ACRES 1.327 OQ 1000 ENTRY 1406</v>
      </c>
      <c r="D1441" s="1">
        <v>7923.01</v>
      </c>
    </row>
    <row r="1442" spans="1:4" x14ac:dyDescent="0.3">
      <c r="A1442" s="1" t="str">
        <f>"04000141500"</f>
        <v>04000141500</v>
      </c>
      <c r="B1442" s="1" t="str">
        <f>"BENTON EDEN"</f>
        <v>BENTON EDEN</v>
      </c>
      <c r="C1442" s="1" t="str">
        <f>"4303 ROBIN ST SHERRY LYNNE HOMES LOT 58"</f>
        <v>4303 ROBIN ST SHERRY LYNNE HOMES LOT 58</v>
      </c>
      <c r="D1442" s="1">
        <v>145.83000000000001</v>
      </c>
    </row>
    <row r="1443" spans="1:4" x14ac:dyDescent="0.3">
      <c r="A1443" s="1" t="str">
        <f>"01018579700"</f>
        <v>01018579700</v>
      </c>
      <c r="B1443" s="1" t="str">
        <f>"BENTON JOHN C, BENTON KATHARINE P"</f>
        <v>BENTON JOHN C, BENTON KATHARINE P</v>
      </c>
      <c r="C1443" s="1" t="str">
        <f>"KENNY RD CHATHAM VILL CONDO UNIT 996 J BLDG 1"</f>
        <v>KENNY RD CHATHAM VILL CONDO UNIT 996 J BLDG 1</v>
      </c>
      <c r="D1443" s="1">
        <v>145.30000000000001</v>
      </c>
    </row>
    <row r="1444" spans="1:4" x14ac:dyDescent="0.3">
      <c r="A1444" s="1" t="str">
        <f>"16100069700"</f>
        <v>16100069700</v>
      </c>
      <c r="B1444" s="1" t="str">
        <f>"BENTON LORI"</f>
        <v>BENTON LORI</v>
      </c>
      <c r="C1444" s="1" t="str">
        <f>"3432 2ND AVE URBANCREST 38-39 BLK 15"</f>
        <v>3432 2ND AVE URBANCREST 38-39 BLK 15</v>
      </c>
      <c r="D1444" s="1">
        <v>308.76</v>
      </c>
    </row>
    <row r="1445" spans="1:4" x14ac:dyDescent="0.3">
      <c r="A1445" s="1" t="str">
        <f>"01025324700"</f>
        <v>01025324700</v>
      </c>
      <c r="B1445" s="1" t="str">
        <f>"BENTWOOD &amp; ASSOCIATES LLC"</f>
        <v>BENTWOOD &amp; ASSOCIATES LLC</v>
      </c>
      <c r="C1445" s="1" t="str">
        <f>"BETHEL GROVE OFFICE CONDOMINIUM UNIT 301-A"</f>
        <v>BETHEL GROVE OFFICE CONDOMINIUM UNIT 301-A</v>
      </c>
      <c r="D1445" s="1">
        <v>9102.8700000000008</v>
      </c>
    </row>
    <row r="1446" spans="1:4" x14ac:dyDescent="0.3">
      <c r="A1446" s="1" t="str">
        <f>"01002368300"</f>
        <v>01002368300</v>
      </c>
      <c r="B1446" s="1" t="str">
        <f>"BENUA W E TR"</f>
        <v>BENUA W E TR</v>
      </c>
      <c r="C1446" s="1" t="str">
        <f>"185 E. LONG ST. DESHLER LOT 31-32"</f>
        <v>185 E. LONG ST. DESHLER LOT 31-32</v>
      </c>
      <c r="D1446" s="1">
        <v>335.02</v>
      </c>
    </row>
    <row r="1447" spans="1:4" x14ac:dyDescent="0.3">
      <c r="A1447" s="1" t="str">
        <f>"03000057100"</f>
        <v>03000057100</v>
      </c>
      <c r="B1447" s="1" t="str">
        <f>"BENUA WILLIAM E TR"</f>
        <v>BENUA WILLIAM E TR</v>
      </c>
      <c r="C1447" s="1" t="str">
        <f>"1577-79 LINCOLN RD 43.5 FT S S LINCOLN PLACE 5"</f>
        <v>1577-79 LINCOLN RD 43.5 FT S S LINCOLN PLACE 5</v>
      </c>
      <c r="D1447" s="1">
        <v>532.78</v>
      </c>
    </row>
    <row r="1448" spans="1:4" x14ac:dyDescent="0.3">
      <c r="A1448" s="1" t="str">
        <f>"03000106000"</f>
        <v>03000106000</v>
      </c>
      <c r="B1448" s="1" t="str">
        <f>"BENUA WILLIAM E TR"</f>
        <v>BENUA WILLIAM E TR</v>
      </c>
      <c r="C1448" s="1" t="str">
        <f>"1171 GOODALE BLVD 80 FT E MID PT ZOLLINGRS HRS FARM 7"</f>
        <v>1171 GOODALE BLVD 80 FT E MID PT ZOLLINGRS HRS FARM 7</v>
      </c>
      <c r="D1448" s="1">
        <v>869.48</v>
      </c>
    </row>
    <row r="1449" spans="1:4" x14ac:dyDescent="0.3">
      <c r="A1449" s="1" t="str">
        <f>"01002777900"</f>
        <v>01002777900</v>
      </c>
      <c r="B1449" s="1" t="str">
        <f>"BENUA WILLIAM E TR"</f>
        <v>BENUA WILLIAM E TR</v>
      </c>
      <c r="C1449" s="1" t="str">
        <f>"415-417 S HAGUE AVE CAMP CHASE HTS LOT 491"</f>
        <v>415-417 S HAGUE AVE CAMP CHASE HTS LOT 491</v>
      </c>
      <c r="D1449" s="1">
        <v>94.12</v>
      </c>
    </row>
    <row r="1450" spans="1:4" x14ac:dyDescent="0.3">
      <c r="A1450" s="1" t="str">
        <f>"03000070900"</f>
        <v>03000070900</v>
      </c>
      <c r="B1450" s="1" t="str">
        <f>"BENUA WILLIAM E TR"</f>
        <v>BENUA WILLIAM E TR</v>
      </c>
      <c r="C1450" s="1" t="str">
        <f>"1171 W GOODALE BLVD SEE DUP FOR DESC ZOLLINGER RD FRM 7-8"</f>
        <v>1171 W GOODALE BLVD SEE DUP FOR DESC ZOLLINGER RD FRM 7-8</v>
      </c>
      <c r="D1450" s="1">
        <v>1598.71</v>
      </c>
    </row>
    <row r="1451" spans="1:4" x14ac:dyDescent="0.3">
      <c r="A1451" s="1" t="str">
        <f>"01006223800"</f>
        <v>01006223800</v>
      </c>
      <c r="B1451" s="1" t="str">
        <f>"BENUA WILLIAM E TR"</f>
        <v>BENUA WILLIAM E TR</v>
      </c>
      <c r="C1451" s="1" t="str">
        <f>"1661-3-5-7 WYANDOTTE SUMMIT PLAIN LOT 324-325-326"</f>
        <v>1661-3-5-7 WYANDOTTE SUMMIT PLAIN LOT 324-325-326</v>
      </c>
      <c r="D1451" s="1">
        <v>689.94</v>
      </c>
    </row>
    <row r="1452" spans="1:4" x14ac:dyDescent="0.3">
      <c r="A1452" s="1" t="str">
        <f>"03000229000"</f>
        <v>03000229000</v>
      </c>
      <c r="B1452" s="1" t="str">
        <f>"BENUA WILLIAM E TR"</f>
        <v>BENUA WILLIAM E TR</v>
      </c>
      <c r="C1452" s="1" t="str">
        <f>"1471-81 W GOODALE ST GRANDVIEW LOTS 131-134-135"</f>
        <v>1471-81 W GOODALE ST GRANDVIEW LOTS 131-134-135</v>
      </c>
      <c r="D1452" s="1">
        <v>2746.96</v>
      </c>
    </row>
    <row r="1453" spans="1:4" x14ac:dyDescent="0.3">
      <c r="A1453" s="1" t="str">
        <f>"01008115900"</f>
        <v>01008115900</v>
      </c>
      <c r="B1453" s="1" t="str">
        <f>"BENUA WILLIAM E TR"</f>
        <v>BENUA WILLIAM E TR</v>
      </c>
      <c r="C1453" s="1" t="str">
        <f>"1579-87 NW BLVD WM NEILS HRS LOT 15-16"</f>
        <v>1579-87 NW BLVD WM NEILS HRS LOT 15-16</v>
      </c>
      <c r="D1453" s="1">
        <v>968.65</v>
      </c>
    </row>
    <row r="1454" spans="1:4" x14ac:dyDescent="0.3">
      <c r="A1454" s="1" t="str">
        <f>"60017033100"</f>
        <v>60017033100</v>
      </c>
      <c r="B1454" s="1" t="str">
        <f>"BENYAN LLC"</f>
        <v>BENYAN LLC</v>
      </c>
      <c r="C1454" s="1" t="str">
        <f>"PINEROCK PL COOPER WOODS SEC 2 LOT 130"</f>
        <v>PINEROCK PL COOPER WOODS SEC 2 LOT 130</v>
      </c>
      <c r="D1454" s="1">
        <v>3139.91</v>
      </c>
    </row>
    <row r="1455" spans="1:4" x14ac:dyDescent="0.3">
      <c r="A1455" s="1" t="str">
        <f>"59020022300"</f>
        <v>59020022300</v>
      </c>
      <c r="B1455" s="1" t="str">
        <f>"BER HOMES LLC"</f>
        <v>BER HOMES LLC</v>
      </c>
      <c r="C1455" s="1" t="str">
        <f>"HEDGEROW ROAD ENCLAVE CONDO UNIT 2295H"</f>
        <v>HEDGEROW ROAD ENCLAVE CONDO UNIT 2295H</v>
      </c>
      <c r="D1455" s="1">
        <v>160.26</v>
      </c>
    </row>
    <row r="1456" spans="1:4" x14ac:dyDescent="0.3">
      <c r="A1456" s="1" t="str">
        <f>"59018536100"</f>
        <v>59018536100</v>
      </c>
      <c r="B1456" s="1" t="str">
        <f>"BER HOMES LLC"</f>
        <v>BER HOMES LLC</v>
      </c>
      <c r="C1456" s="1" t="str">
        <f>"BROOKEDGE CT RIVERSIDE VILL COND UNIT 6477 BLDG 11"</f>
        <v>BROOKEDGE CT RIVERSIDE VILL COND UNIT 6477 BLDG 11</v>
      </c>
      <c r="D1456" s="1">
        <v>124.16</v>
      </c>
    </row>
    <row r="1457" spans="1:4" x14ac:dyDescent="0.3">
      <c r="A1457" s="1" t="str">
        <f>"59018531000"</f>
        <v>59018531000</v>
      </c>
      <c r="B1457" s="1" t="str">
        <f>"BER HOMES LLC"</f>
        <v>BER HOMES LLC</v>
      </c>
      <c r="C1457" s="1" t="str">
        <f>"EDGEBROOK DR RIVERSIDE VILL COND UNIT 3322 BLDG 1"</f>
        <v>EDGEBROOK DR RIVERSIDE VILL COND UNIT 3322 BLDG 1</v>
      </c>
      <c r="D1457" s="1">
        <v>259.16000000000003</v>
      </c>
    </row>
    <row r="1458" spans="1:4" x14ac:dyDescent="0.3">
      <c r="A1458" s="1" t="str">
        <f>"59020020800"</f>
        <v>59020020800</v>
      </c>
      <c r="B1458" s="1" t="str">
        <f>"BER HOMES LLC"</f>
        <v>BER HOMES LLC</v>
      </c>
      <c r="C1458" s="1" t="str">
        <f>"HEDGEROW ROAD ENCLAVE CONDO UNIT 2291A"</f>
        <v>HEDGEROW ROAD ENCLAVE CONDO UNIT 2291A</v>
      </c>
      <c r="D1458" s="1">
        <v>158.63999999999999</v>
      </c>
    </row>
    <row r="1459" spans="1:4" x14ac:dyDescent="0.3">
      <c r="A1459" s="1" t="str">
        <f>"59018535800"</f>
        <v>59018535800</v>
      </c>
      <c r="B1459" s="1" t="str">
        <f>"BER HOMES LLC"</f>
        <v>BER HOMES LLC</v>
      </c>
      <c r="C1459" s="1" t="str">
        <f>"BROOKEDGE CT RIVERSIDE VILL COND UNIT 6471 BLDG 11"</f>
        <v>BROOKEDGE CT RIVERSIDE VILL COND UNIT 6471 BLDG 11</v>
      </c>
      <c r="D1459" s="1">
        <v>124.16</v>
      </c>
    </row>
    <row r="1460" spans="1:4" x14ac:dyDescent="0.3">
      <c r="A1460" s="1" t="str">
        <f>"59018534100"</f>
        <v>59018534100</v>
      </c>
      <c r="B1460" s="1" t="str">
        <f>"BER HOMES LLC"</f>
        <v>BER HOMES LLC</v>
      </c>
      <c r="C1460" s="1" t="str">
        <f>"EDGEBROOK DR RIVERSIDE VILL COND UNIT 6446 BLDG 8"</f>
        <v>EDGEBROOK DR RIVERSIDE VILL COND UNIT 6446 BLDG 8</v>
      </c>
      <c r="D1460" s="1">
        <v>124.16</v>
      </c>
    </row>
    <row r="1461" spans="1:4" x14ac:dyDescent="0.3">
      <c r="A1461" s="1" t="str">
        <f>"59018535900"</f>
        <v>59018535900</v>
      </c>
      <c r="B1461" s="1" t="str">
        <f>"BER HOMES LLC"</f>
        <v>BER HOMES LLC</v>
      </c>
      <c r="C1461" s="1" t="str">
        <f>"BROOKEDGE CT RIVERSIDE VILL COND UNIT 6473 BLDG 11"</f>
        <v>BROOKEDGE CT RIVERSIDE VILL COND UNIT 6473 BLDG 11</v>
      </c>
      <c r="D1461" s="1">
        <v>124.16</v>
      </c>
    </row>
    <row r="1462" spans="1:4" x14ac:dyDescent="0.3">
      <c r="A1462" s="1" t="str">
        <f>"59018535700"</f>
        <v>59018535700</v>
      </c>
      <c r="B1462" s="1" t="str">
        <f>"BER HOMES LLC"</f>
        <v>BER HOMES LLC</v>
      </c>
      <c r="C1462" s="1" t="str">
        <f>"BROOKEDGE CT RIVERSIDE VILL COND UNIT 6469 BLDG 11"</f>
        <v>BROOKEDGE CT RIVERSIDE VILL COND UNIT 6469 BLDG 11</v>
      </c>
      <c r="D1462" s="1">
        <v>124.16</v>
      </c>
    </row>
    <row r="1463" spans="1:4" x14ac:dyDescent="0.3">
      <c r="A1463" s="1" t="str">
        <f>"59020024800"</f>
        <v>59020024800</v>
      </c>
      <c r="B1463" s="1" t="str">
        <f>"BER HOMES LLC"</f>
        <v>BER HOMES LLC</v>
      </c>
      <c r="C1463" s="1" t="str">
        <f>"HEDGEROW ROAD ENCLAVE CONDO UNIT 2279A"</f>
        <v>HEDGEROW ROAD ENCLAVE CONDO UNIT 2279A</v>
      </c>
      <c r="D1463" s="1">
        <v>141.97999999999999</v>
      </c>
    </row>
    <row r="1464" spans="1:4" x14ac:dyDescent="0.3">
      <c r="A1464" s="1" t="str">
        <f>"22200191000"</f>
        <v>22200191000</v>
      </c>
      <c r="B1464" s="1" t="str">
        <f>"BERAN CHARLOTTE J, BERAN KEGAN R"</f>
        <v>BERAN CHARLOTTE J, BERAN KEGAN R</v>
      </c>
      <c r="C1464" s="1" t="str">
        <f>"NEW ALBANY COUNTRY CLUB SECTION 6B LOT 29"</f>
        <v>NEW ALBANY COUNTRY CLUB SECTION 6B LOT 29</v>
      </c>
      <c r="D1464" s="1">
        <v>16641.27</v>
      </c>
    </row>
    <row r="1465" spans="1:4" x14ac:dyDescent="0.3">
      <c r="A1465" s="1" t="str">
        <f>"27301061400"</f>
        <v>27301061400</v>
      </c>
      <c r="B1465" s="1" t="str">
        <f>"BERGEMANN DEREK J"</f>
        <v>BERGEMANN DEREK J</v>
      </c>
      <c r="C1465" s="1" t="str">
        <f>"BELLAIRE AVE DUBLIN ESTATES LOT 19"</f>
        <v>BELLAIRE AVE DUBLIN ESTATES LOT 19</v>
      </c>
      <c r="D1465" s="1">
        <v>541.42999999999995</v>
      </c>
    </row>
    <row r="1466" spans="1:4" x14ac:dyDescent="0.3">
      <c r="A1466" s="1" t="str">
        <f>"57014574300"</f>
        <v>57014574300</v>
      </c>
      <c r="B1466" s="1" t="str">
        <f>"BERGER ERNEST C II, BERGER PATRICIA J"</f>
        <v>BERGER ERNEST C II, BERGER PATRICIA J</v>
      </c>
      <c r="C1466" s="1" t="str">
        <f>"RIVER BEND PLACE RIVER BEND SEC 1 LOT 59"</f>
        <v>RIVER BEND PLACE RIVER BEND SEC 1 LOT 59</v>
      </c>
      <c r="D1466" s="1">
        <v>114.46</v>
      </c>
    </row>
    <row r="1467" spans="1:4" x14ac:dyDescent="0.3">
      <c r="A1467" s="1" t="str">
        <f>"01009951300"</f>
        <v>01009951300</v>
      </c>
      <c r="B1467" s="1" t="str">
        <f>"BERGER TYRONE SR, BERGER TYRONE"</f>
        <v>BERGER TYRONE SR, BERGER TYRONE</v>
      </c>
      <c r="C1467" s="1" t="str">
        <f>"3814 ASTOR AVE BEECHWOOD LOT 41"</f>
        <v>3814 ASTOR AVE BEECHWOOD LOT 41</v>
      </c>
      <c r="D1467" s="1">
        <v>1608.67</v>
      </c>
    </row>
    <row r="1468" spans="1:4" x14ac:dyDescent="0.3">
      <c r="A1468" s="1" t="str">
        <f>"61020902100"</f>
        <v>61020902100</v>
      </c>
      <c r="B1468" s="1" t="str">
        <f>"BERGHEIMER CHRISTOPHER L"</f>
        <v>BERGHEIMER CHRISTOPHER L</v>
      </c>
      <c r="C1468" s="1" t="str">
        <f>"DINA COURT DINA SUBDIVISION LOT 10"</f>
        <v>DINA COURT DINA SUBDIVISION LOT 10</v>
      </c>
      <c r="D1468" s="1">
        <v>7373.51</v>
      </c>
    </row>
    <row r="1469" spans="1:4" x14ac:dyDescent="0.3">
      <c r="A1469" s="1" t="str">
        <f>"56017035400"</f>
        <v>56017035400</v>
      </c>
      <c r="B1469" s="1" t="str">
        <f>"BERGMAN LAURIE J"</f>
        <v>BERGMAN LAURIE J</v>
      </c>
      <c r="C1469" s="1" t="str">
        <f>"BLUEGRASS WAY THE MEADOWS PHASE1 LOT 3"</f>
        <v>BLUEGRASS WAY THE MEADOWS PHASE1 LOT 3</v>
      </c>
      <c r="D1469" s="1">
        <v>201.15</v>
      </c>
    </row>
    <row r="1470" spans="1:4" x14ac:dyDescent="0.3">
      <c r="A1470" s="1" t="str">
        <f>"01004029500"</f>
        <v>01004029500</v>
      </c>
      <c r="B1470" s="1" t="str">
        <f>"BERGUNZI ANTOINETTE"</f>
        <v>BERGUNZI ANTOINETTE</v>
      </c>
      <c r="C1470" s="1" t="str">
        <f>"1106 THOMAS AVE AVONDALE LOT 162"</f>
        <v>1106 THOMAS AVE AVONDALE LOT 162</v>
      </c>
      <c r="D1470" s="1">
        <v>753.08</v>
      </c>
    </row>
    <row r="1471" spans="1:4" x14ac:dyDescent="0.3">
      <c r="A1471" s="1" t="str">
        <f>"01005377000"</f>
        <v>01005377000</v>
      </c>
      <c r="B1471" s="1" t="str">
        <f>"BERGUNZI ANTOINETTE M"</f>
        <v>BERGUNZI ANTOINETTE M</v>
      </c>
      <c r="C1471" s="1" t="str">
        <f>"195 CYPRESS AVE WEST PARK LOT 402"</f>
        <v>195 CYPRESS AVE WEST PARK LOT 402</v>
      </c>
      <c r="D1471" s="1">
        <v>1352.29</v>
      </c>
    </row>
    <row r="1472" spans="1:4" x14ac:dyDescent="0.3">
      <c r="A1472" s="1" t="str">
        <f>"18400082400"</f>
        <v>18400082400</v>
      </c>
      <c r="B1472" s="1" t="str">
        <f>"BERHANE KAHSAY, ASGEDOM ABADIT"</f>
        <v>BERHANE KAHSAY, ASGEDOM ABADIT</v>
      </c>
      <c r="C1472" s="1" t="str">
        <f>"GENDER RD R21 T11 S24 1.580 ACRES"</f>
        <v>GENDER RD R21 T11 S24 1.580 ACRES</v>
      </c>
      <c r="D1472" s="1">
        <v>420.66</v>
      </c>
    </row>
    <row r="1473" spans="1:4" x14ac:dyDescent="0.3">
      <c r="A1473" s="1" t="str">
        <f>"18400137700"</f>
        <v>18400137700</v>
      </c>
      <c r="B1473" s="1" t="str">
        <f>"BERHANE KAHSAY, ASGEDOM ABADIT"</f>
        <v>BERHANE KAHSAY, ASGEDOM ABADIT</v>
      </c>
      <c r="C1473" s="1" t="str">
        <f>"611 OLD WINCHESTER R21 T11 S23 SE QR 1.206 ACRE"</f>
        <v>611 OLD WINCHESTER R21 T11 S23 SE QR 1.206 ACRE</v>
      </c>
      <c r="D1473" s="1">
        <v>1873.43</v>
      </c>
    </row>
    <row r="1474" spans="1:4" x14ac:dyDescent="0.3">
      <c r="A1474" s="1" t="str">
        <f>"01009974700"</f>
        <v>01009974700</v>
      </c>
      <c r="B1474" s="1" t="str">
        <f>"BERHE MERON T, TECLEMICHAEL SENAIT T"</f>
        <v>BERHE MERON T, TECLEMICHAEL SENAIT T</v>
      </c>
      <c r="C1474" s="1" t="str">
        <f>"MC ALLISTER AVE CARLYLE ESTATES LOT 46"</f>
        <v>MC ALLISTER AVE CARLYLE ESTATES LOT 46</v>
      </c>
      <c r="D1474" s="1">
        <v>3683.94</v>
      </c>
    </row>
    <row r="1475" spans="1:4" x14ac:dyDescent="0.3">
      <c r="A1475" s="1" t="str">
        <f>"22200087700"</f>
        <v>22200087700</v>
      </c>
      <c r="B1475" s="1" t="str">
        <f>"BERK MICHAEL S TR"</f>
        <v>BERK MICHAEL S TR</v>
      </c>
      <c r="C1475" s="1" t="str">
        <f>"NEW ALBANY-CONDIT RD R16 T2 1/4T1 1.932 ACRES"</f>
        <v>NEW ALBANY-CONDIT RD R16 T2 1/4T1 1.932 ACRES</v>
      </c>
      <c r="D1475" s="1">
        <v>600.04999999999995</v>
      </c>
    </row>
    <row r="1476" spans="1:4" x14ac:dyDescent="0.3">
      <c r="A1476" s="1" t="str">
        <f>"01016474100"</f>
        <v>01016474100</v>
      </c>
      <c r="B1476" s="1" t="str">
        <f>"BERKEMER ELIZABETH A"</f>
        <v>BERKEMER ELIZABETH A</v>
      </c>
      <c r="C1476" s="1" t="str">
        <f>"COLONY HILL CONDOMINIUM SEC TWO BLDG 14 UNIT 58"</f>
        <v>COLONY HILL CONDOMINIUM SEC TWO BLDG 14 UNIT 58</v>
      </c>
      <c r="D1476" s="1">
        <v>2457.36</v>
      </c>
    </row>
    <row r="1477" spans="1:4" x14ac:dyDescent="0.3">
      <c r="A1477" s="1" t="str">
        <f>"60016906400"</f>
        <v>60016906400</v>
      </c>
      <c r="B1477" s="1" t="str">
        <f>"BERKHEIMER LORI R"</f>
        <v>BERKHEIMER LORI R</v>
      </c>
      <c r="C1477" s="1" t="str">
        <f>"CHIPPEWILL CONDM STAGE II BLDG 48 UNIT 4"</f>
        <v>CHIPPEWILL CONDM STAGE II BLDG 48 UNIT 4</v>
      </c>
      <c r="D1477" s="1">
        <v>245.03</v>
      </c>
    </row>
    <row r="1478" spans="1:4" x14ac:dyDescent="0.3">
      <c r="A1478" s="1" t="str">
        <f>"26000041300"</f>
        <v>26000041300</v>
      </c>
      <c r="B1478" s="1" t="str">
        <f>"BERKLEY SHAWN M, BERKLEY COLLEEN L"</f>
        <v>BERKLEY SHAWN M, BERKLEY COLLEEN L</v>
      </c>
      <c r="C1478" s="1" t="str">
        <f>"TALBERT DR QUALSTAN EAST LOT 556"</f>
        <v>TALBERT DR QUALSTAN EAST LOT 556</v>
      </c>
      <c r="D1478" s="1">
        <v>3739.09</v>
      </c>
    </row>
    <row r="1479" spans="1:4" x14ac:dyDescent="0.3">
      <c r="A1479" s="1" t="str">
        <f>"61018945700"</f>
        <v>61018945700</v>
      </c>
      <c r="B1479" s="1" t="str">
        <f>"BERLINER LLOYD M, BERLINER TERESA T"</f>
        <v>BERLINER LLOYD M, BERLINER TERESA T</v>
      </c>
      <c r="C1479" s="1" t="str">
        <f>"CHERRYFIELD AVE WORTHINGRIDGE LOT 2"</f>
        <v>CHERRYFIELD AVE WORTHINGRIDGE LOT 2</v>
      </c>
      <c r="D1479" s="1">
        <v>610.57000000000005</v>
      </c>
    </row>
    <row r="1480" spans="1:4" x14ac:dyDescent="0.3">
      <c r="A1480" s="1" t="str">
        <f>"01007199100"</f>
        <v>01007199100</v>
      </c>
      <c r="B1480" s="1" t="str">
        <f>"BERMAN BARBARA N"</f>
        <v>BERMAN BARBARA N</v>
      </c>
      <c r="C1480" s="1" t="str">
        <f>"450 FALLIS RD DOMINI/N PARK LOT 266"</f>
        <v>450 FALLIS RD DOMINI/N PARK LOT 266</v>
      </c>
      <c r="D1480" s="1">
        <v>267.01</v>
      </c>
    </row>
    <row r="1481" spans="1:4" x14ac:dyDescent="0.3">
      <c r="A1481" s="1" t="str">
        <f>"01009807200"</f>
        <v>01009807200</v>
      </c>
      <c r="B1481" s="1" t="str">
        <f>"BERNADETTE ROAD LLC"</f>
        <v>BERNADETTE ROAD LLC</v>
      </c>
      <c r="C1481" s="1" t="str">
        <f>"BERNADETTE RD 30FT WS198&amp;25FT ES199 L198-199 BRKSHRE PK"</f>
        <v>BERNADETTE RD 30FT WS198&amp;25FT ES199 L198-199 BRKSHRE PK</v>
      </c>
      <c r="D1481" s="1">
        <v>5950.19</v>
      </c>
    </row>
    <row r="1482" spans="1:4" x14ac:dyDescent="0.3">
      <c r="A1482" s="1" t="str">
        <f>"01008039500"</f>
        <v>01008039500</v>
      </c>
      <c r="B1482" s="1" t="str">
        <f>"BERNAL BARBARA M"</f>
        <v>BERNAL BARBARA M</v>
      </c>
      <c r="C1482" s="1" t="str">
        <f>"FAIRWOOD AVE 24FT NS 49&amp;15FT SS LOT 48 LENOX LOT 48-49"</f>
        <v>FAIRWOOD AVE 24FT NS 49&amp;15FT SS LOT 48 LENOX LOT 48-49</v>
      </c>
      <c r="D1482" s="1">
        <v>2014.44</v>
      </c>
    </row>
    <row r="1483" spans="1:4" x14ac:dyDescent="0.3">
      <c r="A1483" s="1" t="str">
        <f>"02000174100"</f>
        <v>02000174100</v>
      </c>
      <c r="B1483" s="1" t="str">
        <f>"BERNDT JEFFREY A"</f>
        <v>BERNDT JEFFREY A</v>
      </c>
      <c r="C1483" s="1" t="str">
        <f>"952 S ROOSEVELT AVE EAST LAWN LOT 65"</f>
        <v>952 S ROOSEVELT AVE EAST LAWN LOT 65</v>
      </c>
      <c r="D1483" s="1">
        <v>3544.27</v>
      </c>
    </row>
    <row r="1484" spans="1:4" x14ac:dyDescent="0.3">
      <c r="A1484" s="1" t="str">
        <f>"01002870100"</f>
        <v>01002870100</v>
      </c>
      <c r="B1484" s="1" t="str">
        <f>"BERRY ANGELA"</f>
        <v>BERRY ANGELA</v>
      </c>
      <c r="C1484" s="1" t="str">
        <f>"1461 E MOUND ST &amp; 10 ALLEY VAC T MILLER LOT 19"</f>
        <v>1461 E MOUND ST &amp; 10 ALLEY VAC T MILLER LOT 19</v>
      </c>
      <c r="D1484" s="1">
        <v>2460.63</v>
      </c>
    </row>
    <row r="1485" spans="1:4" x14ac:dyDescent="0.3">
      <c r="A1485" s="1" t="str">
        <f>"02500083200"</f>
        <v>02500083200</v>
      </c>
      <c r="B1485" s="1" t="str">
        <f>"BERRY BRYAN T"</f>
        <v>BERRY BRYAN T</v>
      </c>
      <c r="C1485" s="1" t="str">
        <f>"504 JOHNSTOWN RD ACRES .57 R17 T1 1-4T4"</f>
        <v>504 JOHNSTOWN RD ACRES .57 R17 T1 1-4T4</v>
      </c>
      <c r="D1485" s="1">
        <v>3188.07</v>
      </c>
    </row>
    <row r="1486" spans="1:4" x14ac:dyDescent="0.3">
      <c r="A1486" s="1" t="str">
        <f>"57024872900"</f>
        <v>57024872900</v>
      </c>
      <c r="B1486" s="1" t="str">
        <f>"BERRY KAREN D"</f>
        <v>BERRY KAREN D</v>
      </c>
      <c r="C1486" s="1" t="str">
        <f>"ANDERLEY ROAD LANGFORD MEADOW SECTION 1 LOT 8"</f>
        <v>ANDERLEY ROAD LANGFORD MEADOW SECTION 1 LOT 8</v>
      </c>
      <c r="D1486" s="1">
        <v>2796.42</v>
      </c>
    </row>
    <row r="1487" spans="1:4" x14ac:dyDescent="0.3">
      <c r="A1487" s="1" t="str">
        <f>"02500153400"</f>
        <v>02500153400</v>
      </c>
      <c r="B1487" s="1" t="str">
        <f>"BERRY MIKE"</f>
        <v>BERRY MIKE</v>
      </c>
      <c r="C1487" s="1" t="str">
        <f>"540 DAVENTRY LN ROYAL MANOR 352 "</f>
        <v xml:space="preserve">540 DAVENTRY LN ROYAL MANOR 352 </v>
      </c>
      <c r="D1487" s="1">
        <v>4645.66</v>
      </c>
    </row>
    <row r="1488" spans="1:4" x14ac:dyDescent="0.3">
      <c r="A1488" s="1" t="str">
        <f>"01013555700"</f>
        <v>01013555700</v>
      </c>
      <c r="B1488" s="1" t="str">
        <f>"BERRY TINA L, COOK LETITIA, BERRY ROBERT"</f>
        <v>BERRY TINA L, COOK LETITIA, BERRY ROBERT</v>
      </c>
      <c r="C1488" s="1" t="str">
        <f>"2189 LISA DRIVE ORIOLE HTS 2 LOT 19"</f>
        <v>2189 LISA DRIVE ORIOLE HTS 2 LOT 19</v>
      </c>
      <c r="D1488" s="1">
        <v>125.92</v>
      </c>
    </row>
    <row r="1489" spans="1:4" x14ac:dyDescent="0.3">
      <c r="A1489" s="1" t="str">
        <f>"01014665600"</f>
        <v>01014665600</v>
      </c>
      <c r="B1489" s="1" t="str">
        <f>"BERRY YOLANDA K"</f>
        <v>BERRY YOLANDA K</v>
      </c>
      <c r="C1489" s="1" t="str">
        <f>"MERWIN DR CHARLES J SNOW LOT 6"</f>
        <v>MERWIN DR CHARLES J SNOW LOT 6</v>
      </c>
      <c r="D1489" s="1">
        <v>4341.9399999999996</v>
      </c>
    </row>
    <row r="1490" spans="1:4" x14ac:dyDescent="0.3">
      <c r="A1490" s="1" t="str">
        <f>"01012270100"</f>
        <v>01012270100</v>
      </c>
      <c r="B1490" s="1" t="str">
        <f>"BERTLEY FREDERIC"</f>
        <v>BERTLEY FREDERIC</v>
      </c>
      <c r="C1490" s="1" t="str">
        <f>"GAULT ST 1922 CARVER LOT 75"</f>
        <v>GAULT ST 1922 CARVER LOT 75</v>
      </c>
      <c r="D1490" s="1">
        <v>2954.33</v>
      </c>
    </row>
    <row r="1491" spans="1:4" x14ac:dyDescent="0.3">
      <c r="A1491" s="1" t="str">
        <f>"24100034400"</f>
        <v>24100034400</v>
      </c>
      <c r="B1491" s="1" t="str">
        <f>"BERTON GREGORY S"</f>
        <v>BERTON GREGORY S</v>
      </c>
      <c r="C1491" s="1" t="str">
        <f>"HUBBARD ROAD LAKE DARBY ESTATES 2 LOT 410"</f>
        <v>HUBBARD ROAD LAKE DARBY ESTATES 2 LOT 410</v>
      </c>
      <c r="D1491" s="1">
        <v>2500.5100000000002</v>
      </c>
    </row>
    <row r="1492" spans="1:4" x14ac:dyDescent="0.3">
      <c r="A1492" s="1" t="str">
        <f>"25000438500"</f>
        <v>25000438500</v>
      </c>
      <c r="B1492" s="1" t="str">
        <f>"BESHUK JOHN"</f>
        <v>BESHUK JOHN</v>
      </c>
      <c r="C1492" s="1" t="str">
        <f>"PARK DR MOUNT AIR 2 L 974-75-80-81"</f>
        <v>PARK DR MOUNT AIR 2 L 974-75-80-81</v>
      </c>
      <c r="D1492" s="1">
        <v>366.07</v>
      </c>
    </row>
    <row r="1493" spans="1:4" x14ac:dyDescent="0.3">
      <c r="A1493" s="1" t="str">
        <f>"53011183800"</f>
        <v>53011183800</v>
      </c>
      <c r="B1493" s="1" t="str">
        <f>"BESSE STEVEN M"</f>
        <v>BESSE STEVEN M</v>
      </c>
      <c r="C1493" s="1" t="str">
        <f>"3831 ALUM CREEK DR R22 T4 S12 0.441 ACRE"</f>
        <v>3831 ALUM CREEK DR R22 T4 S12 0.441 ACRE</v>
      </c>
      <c r="D1493" s="1">
        <v>2738.44</v>
      </c>
    </row>
    <row r="1494" spans="1:4" x14ac:dyDescent="0.3">
      <c r="A1494" s="1" t="str">
        <f>"56029487200"</f>
        <v>56029487200</v>
      </c>
      <c r="B1494" s="1" t="str">
        <f>"BEST CAROLYN"</f>
        <v>BEST CAROLYN</v>
      </c>
      <c r="C1494" s="1" t="str">
        <f>"VILLAGE AT HILLIARD RUN  SECTION 4 LOT 275"</f>
        <v>VILLAGE AT HILLIARD RUN  SECTION 4 LOT 275</v>
      </c>
      <c r="D1494" s="1">
        <v>28.5</v>
      </c>
    </row>
    <row r="1495" spans="1:4" x14ac:dyDescent="0.3">
      <c r="A1495" s="1" t="str">
        <f>"04001528300"</f>
        <v>04001528300</v>
      </c>
      <c r="B1495" s="1" t="str">
        <f>"BEST CAROLYN"</f>
        <v>BEST CAROLYN</v>
      </c>
      <c r="C1495" s="1" t="str">
        <f>"PINNACLE CLUB SECTION 2 PHASE 8 LOT 911"</f>
        <v>PINNACLE CLUB SECTION 2 PHASE 8 LOT 911</v>
      </c>
      <c r="D1495" s="1">
        <v>28.27</v>
      </c>
    </row>
    <row r="1496" spans="1:4" x14ac:dyDescent="0.3">
      <c r="A1496" s="1" t="str">
        <f>"61027350500"</f>
        <v>61027350500</v>
      </c>
      <c r="B1496" s="1" t="str">
        <f>"BEST CORPORATE PROPERTIES II LLC"</f>
        <v>BEST CORPORATE PROPERTIES II LLC</v>
      </c>
      <c r="C1496" s="1" t="str">
        <f>"PARK STORAGE CONDOMINIUM UNIT 200"</f>
        <v>PARK STORAGE CONDOMINIUM UNIT 200</v>
      </c>
      <c r="D1496" s="1">
        <v>3032.27</v>
      </c>
    </row>
    <row r="1497" spans="1:4" x14ac:dyDescent="0.3">
      <c r="A1497" s="1" t="str">
        <f>"07001306900"</f>
        <v>07001306900</v>
      </c>
      <c r="B1497" s="1" t="str">
        <f>"BEST ERIC ASHER"</f>
        <v>BEST ERIC ASHER</v>
      </c>
      <c r="C1497" s="1" t="str">
        <f>"CARRIAGE HILL COND UNIT 1577 TYPE W "</f>
        <v xml:space="preserve">CARRIAGE HILL COND UNIT 1577 TYPE W </v>
      </c>
      <c r="D1497" s="1">
        <v>3832.17</v>
      </c>
    </row>
    <row r="1498" spans="1:4" x14ac:dyDescent="0.3">
      <c r="A1498" s="1" t="str">
        <f>"01010928900"</f>
        <v>01010928900</v>
      </c>
      <c r="B1498" s="1" t="str">
        <f>"BESTER ALICIA"</f>
        <v>BESTER ALICIA</v>
      </c>
      <c r="C1498" s="1" t="str">
        <f>"WOODLAND AVE ARLINGTON PK TRACT 2 LOT 20 BLK V"</f>
        <v>WOODLAND AVE ARLINGTON PK TRACT 2 LOT 20 BLK V</v>
      </c>
      <c r="D1498" s="1">
        <v>87.52</v>
      </c>
    </row>
    <row r="1499" spans="1:4" x14ac:dyDescent="0.3">
      <c r="A1499" s="1" t="str">
        <f>"01004370700"</f>
        <v>01004370700</v>
      </c>
      <c r="B1499" s="1" t="str">
        <f>"BESTER ROBERT"</f>
        <v>BESTER ROBERT</v>
      </c>
      <c r="C1499" s="1" t="str">
        <f>"750-752 LILLEY AVE MCLILLEY PT LOT 109 ALL 108"</f>
        <v>750-752 LILLEY AVE MCLILLEY PT LOT 109 ALL 108</v>
      </c>
      <c r="D1499" s="1">
        <v>2855.16</v>
      </c>
    </row>
    <row r="1500" spans="1:4" x14ac:dyDescent="0.3">
      <c r="A1500" s="1" t="str">
        <f>"02000206300"</f>
        <v>02000206300</v>
      </c>
      <c r="B1500" s="1" t="str">
        <f>"BETHEL FAMILY LLC"</f>
        <v>BETHEL FAMILY LLC</v>
      </c>
      <c r="C1500" s="1" t="str">
        <f>"510 N CASSADY AVE BELLWOOD LOT 526"</f>
        <v>510 N CASSADY AVE BELLWOOD LOT 526</v>
      </c>
      <c r="D1500" s="1">
        <v>482.9</v>
      </c>
    </row>
    <row r="1501" spans="1:4" x14ac:dyDescent="0.3">
      <c r="A1501" s="1" t="str">
        <f>"57010461600"</f>
        <v>57010461600</v>
      </c>
      <c r="B1501" s="1" t="str">
        <f>"BETTERTON CO LLC"</f>
        <v>BETTERTON CO LLC</v>
      </c>
      <c r="C1501" s="1" t="str">
        <f>"1280 BROWN RD .561 ACRE ENTRY 420-417"</f>
        <v>1280 BROWN RD .561 ACRE ENTRY 420-417</v>
      </c>
      <c r="D1501" s="1">
        <v>152.79</v>
      </c>
    </row>
    <row r="1502" spans="1:4" x14ac:dyDescent="0.3">
      <c r="A1502" s="1" t="str">
        <f>"01014428000"</f>
        <v>01014428000</v>
      </c>
      <c r="B1502" s="1" t="str">
        <f>"BETTON MITTIE M"</f>
        <v>BETTON MITTIE M</v>
      </c>
      <c r="C1502" s="1" t="str">
        <f>"BROWNFIELD RD. MAYBURY 37 "</f>
        <v xml:space="preserve">BROWNFIELD RD. MAYBURY 37 </v>
      </c>
      <c r="D1502" s="1">
        <v>2678.63</v>
      </c>
    </row>
    <row r="1503" spans="1:4" x14ac:dyDescent="0.3">
      <c r="A1503" s="1" t="str">
        <f>"56021798000"</f>
        <v>56021798000</v>
      </c>
      <c r="B1503" s="1" t="str">
        <f>"BETZ JACQUELYN M"</f>
        <v>BETZ JACQUELYN M</v>
      </c>
      <c r="C1503" s="1" t="str">
        <f>"CROSS CREEK VILLAGE SECTION 8 LOT 714"</f>
        <v>CROSS CREEK VILLAGE SECTION 8 LOT 714</v>
      </c>
      <c r="D1503" s="1">
        <v>6290.81</v>
      </c>
    </row>
    <row r="1504" spans="1:4" x14ac:dyDescent="0.3">
      <c r="A1504" s="1" t="str">
        <f>"01014408900"</f>
        <v>01014408900</v>
      </c>
      <c r="B1504" s="1" t="str">
        <f>"BEVAN PATRICIA K"</f>
        <v>BEVAN PATRICIA K</v>
      </c>
      <c r="C1504" s="1" t="str">
        <f>"PARKDALE DR DEVONSHIRE 7 LOT 973"</f>
        <v>PARKDALE DR DEVONSHIRE 7 LOT 973</v>
      </c>
      <c r="D1504" s="1">
        <v>1122.27</v>
      </c>
    </row>
    <row r="1505" spans="1:4" x14ac:dyDescent="0.3">
      <c r="A1505" s="1" t="str">
        <f>"01012670900"</f>
        <v>01012670900</v>
      </c>
      <c r="B1505" s="1" t="str">
        <f>"BEXLEY CITY SCHOOL DISTRICT BOARD OF EDUCATION"</f>
        <v>BEXLEY CITY SCHOOL DISTRICT BOARD OF EDUCATION</v>
      </c>
      <c r="C1505" s="1" t="str">
        <f>"N CASSADY AVE R17 T1 1/4T3 28.362 ACRES"</f>
        <v>N CASSADY AVE R17 T1 1/4T3 28.362 ACRES</v>
      </c>
      <c r="D1505" s="1">
        <v>316537.62</v>
      </c>
    </row>
    <row r="1506" spans="1:4" x14ac:dyDescent="0.3">
      <c r="A1506" s="1" t="str">
        <f>"01008830900"</f>
        <v>01008830900</v>
      </c>
      <c r="B1506" s="1" t="str">
        <f>"BEXLEY PROJECT 1 LLC"</f>
        <v>BEXLEY PROJECT 1 LLC</v>
      </c>
      <c r="C1506" s="1" t="str">
        <f>"E LIVINGSTON ACRES .9815 R.21 T.12 S. 18-29"</f>
        <v>E LIVINGSTON ACRES .9815 R.21 T.12 S. 18-29</v>
      </c>
      <c r="D1506" s="1">
        <v>5121.9799999999996</v>
      </c>
    </row>
    <row r="1507" spans="1:4" x14ac:dyDescent="0.3">
      <c r="A1507" s="1" t="str">
        <f>"01025921700"</f>
        <v>01025921700</v>
      </c>
      <c r="B1507" s="1" t="str">
        <f>"BEXLEY VIEW LLC"</f>
        <v>BEXLEY VIEW LLC</v>
      </c>
      <c r="C1507" s="1" t="str">
        <f>"2790 E MAIN ST LUDWIGS SUB BEXLEY VIEW LTS 12-15 &amp; 5.88'NL WS 22"</f>
        <v>2790 E MAIN ST LUDWIGS SUB BEXLEY VIEW LTS 12-15 &amp; 5.88'NL WS 22</v>
      </c>
      <c r="D1507" s="1">
        <v>1199.32</v>
      </c>
    </row>
    <row r="1508" spans="1:4" x14ac:dyDescent="0.3">
      <c r="A1508" s="1" t="str">
        <f>"01025160700"</f>
        <v>01025160700</v>
      </c>
      <c r="B1508" s="1" t="str">
        <f>"BEYENE EDEN, MULUGETA TEDIA"</f>
        <v>BEYENE EDEN, MULUGETA TEDIA</v>
      </c>
      <c r="C1508" s="1" t="str">
        <f>"CONNORS GROVE RESUB OF MCNAUGHTEN GROVE LOT 73B"</f>
        <v>CONNORS GROVE RESUB OF MCNAUGHTEN GROVE LOT 73B</v>
      </c>
      <c r="D1508" s="1">
        <v>2043.46</v>
      </c>
    </row>
    <row r="1509" spans="1:4" x14ac:dyDescent="0.3">
      <c r="A1509" s="1" t="str">
        <f>"01012336600"</f>
        <v>01012336600</v>
      </c>
      <c r="B1509" s="1" t="str">
        <f>"BEYENE GEBENESH"</f>
        <v>BEYENE GEBENESH</v>
      </c>
      <c r="C1509" s="1" t="str">
        <f>"SIDWAY AVE PINECREST 4 LOT 693"</f>
        <v>SIDWAY AVE PINECREST 4 LOT 693</v>
      </c>
      <c r="D1509" s="1">
        <v>1074.5899999999999</v>
      </c>
    </row>
    <row r="1510" spans="1:4" x14ac:dyDescent="0.3">
      <c r="A1510" s="1" t="str">
        <f>"24000590900"</f>
        <v>24000590900</v>
      </c>
      <c r="B1510" s="1" t="str">
        <f>"BEYT BARAKAH LLC"</f>
        <v>BEYT BARAKAH LLC</v>
      </c>
      <c r="C1510" s="1" t="str">
        <f>"GLENFORD VILL CONDMN UNIT 7-2G "</f>
        <v xml:space="preserve">GLENFORD VILL CONDMN UNIT 7-2G </v>
      </c>
      <c r="D1510" s="1">
        <v>571.57000000000005</v>
      </c>
    </row>
    <row r="1511" spans="1:4" x14ac:dyDescent="0.3">
      <c r="A1511" s="1" t="str">
        <f>"08001136200"</f>
        <v>08001136200</v>
      </c>
      <c r="B1511" s="1" t="str">
        <f>"BG AND JD MEDICAL OFFICE LLC"</f>
        <v>BG AND JD MEDICAL OFFICE LLC</v>
      </c>
      <c r="C1511" s="1" t="str">
        <f>"MEDWEST CONDOMINIUM 3RD AMD UNIT D-2 (AMENDED)"</f>
        <v>MEDWEST CONDOMINIUM 3RD AMD UNIT D-2 (AMENDED)</v>
      </c>
      <c r="D1511" s="1">
        <v>244.16</v>
      </c>
    </row>
    <row r="1512" spans="1:4" x14ac:dyDescent="0.3">
      <c r="A1512" s="1" t="str">
        <f>"01016948700"</f>
        <v>01016948700</v>
      </c>
      <c r="B1512" s="1" t="str">
        <f>"BH SHARED OWNERSHIP I OH LLC, FRANKLIN ALISON G"</f>
        <v>BH SHARED OWNERSHIP I OH LLC, FRANKLIN ALISON G</v>
      </c>
      <c r="C1512" s="1" t="str">
        <f>"FOX CHAPLE DRIVE WALNUT BLUFF NO 5 SEC ONE LOT 1249"</f>
        <v>FOX CHAPLE DRIVE WALNUT BLUFF NO 5 SEC ONE LOT 1249</v>
      </c>
      <c r="D1512" s="1">
        <v>3066.64</v>
      </c>
    </row>
    <row r="1513" spans="1:4" x14ac:dyDescent="0.3">
      <c r="A1513" s="1" t="str">
        <f>"04001414000"</f>
        <v>04001414000</v>
      </c>
      <c r="B1513" s="1" t="str">
        <f>"BHANDARI RITA"</f>
        <v>BHANDARI RITA</v>
      </c>
      <c r="C1513" s="1" t="str">
        <f>"PARKWAY CROSSING CONDOMINIUM 2ND AMD UNIT 2-1895"</f>
        <v>PARKWAY CROSSING CONDOMINIUM 2ND AMD UNIT 2-1895</v>
      </c>
      <c r="D1513" s="1">
        <v>4835.2700000000004</v>
      </c>
    </row>
    <row r="1514" spans="1:4" x14ac:dyDescent="0.3">
      <c r="A1514" s="1" t="str">
        <f>"51529372500"</f>
        <v>51529372500</v>
      </c>
      <c r="B1514" s="1" t="str">
        <f>"BHARATI BAL, BHARATI AMBIKA"</f>
        <v>BHARATI BAL, BHARATI AMBIKA</v>
      </c>
      <c r="C1514" s="1" t="str">
        <f>"CEDAR RUN                 SECTION 4 PART 1          LOT 517                  "</f>
        <v xml:space="preserve">CEDAR RUN                 SECTION 4 PART 1          LOT 517                  </v>
      </c>
      <c r="D1514" s="1">
        <v>331.27</v>
      </c>
    </row>
    <row r="1515" spans="1:4" x14ac:dyDescent="0.3">
      <c r="A1515" s="1" t="str">
        <f>"04000857900"</f>
        <v>04000857900</v>
      </c>
      <c r="B1515" s="1" t="str">
        <f>"BIALT BETTY J"</f>
        <v>BIALT BETTY J</v>
      </c>
      <c r="C1515" s="1" t="str">
        <f>"SIMSBURY WALK CONDOMINIUM 1ST AMD UNIT 2491"</f>
        <v>SIMSBURY WALK CONDOMINIUM 1ST AMD UNIT 2491</v>
      </c>
      <c r="D1515" s="1">
        <v>211.47</v>
      </c>
    </row>
    <row r="1516" spans="1:4" x14ac:dyDescent="0.3">
      <c r="A1516" s="1" t="str">
        <f>"06000081600"</f>
        <v>06000081600</v>
      </c>
      <c r="B1516" s="1" t="str">
        <f>"BIANCHI JENNIFER"</f>
        <v>BIANCHI JENNIFER</v>
      </c>
      <c r="C1516" s="1" t="str">
        <f>"SABRE AVE BROOKSIDE PK 2 392 "</f>
        <v xml:space="preserve">SABRE AVE BROOKSIDE PK 2 392 </v>
      </c>
      <c r="D1516" s="1">
        <v>200.16</v>
      </c>
    </row>
    <row r="1517" spans="1:4" x14ac:dyDescent="0.3">
      <c r="A1517" s="1" t="str">
        <f>"01012530200"</f>
        <v>01012530200</v>
      </c>
      <c r="B1517" s="1" t="str">
        <f>"BIBLE MISSIONARIES FELLOWSHIP INC"</f>
        <v>BIBLE MISSIONARIES FELLOWSHIP INC</v>
      </c>
      <c r="C1517" s="1" t="str">
        <f>"BLUEFIELD DR SOUTHFIELD 2ND LOT 107"</f>
        <v>BLUEFIELD DR SOUTHFIELD 2ND LOT 107</v>
      </c>
      <c r="D1517" s="1">
        <v>1016.14</v>
      </c>
    </row>
    <row r="1518" spans="1:4" x14ac:dyDescent="0.3">
      <c r="A1518" s="1" t="str">
        <f>"14000266700"</f>
        <v>14000266700</v>
      </c>
      <c r="B1518" s="1" t="str">
        <f>"BIBLE TRUTH TABERNACLE"</f>
        <v>BIBLE TRUTH TABERNACLE</v>
      </c>
      <c r="C1518" s="1" t="str">
        <f>"717 N HAGUE AVE 1. ACRE OQ 350 NO OF ENTRY 1279"</f>
        <v>717 N HAGUE AVE 1. ACRE OQ 350 NO OF ENTRY 1279</v>
      </c>
      <c r="D1518" s="1">
        <v>3118.67</v>
      </c>
    </row>
    <row r="1519" spans="1:4" x14ac:dyDescent="0.3">
      <c r="A1519" s="1" t="str">
        <f>"55015596600"</f>
        <v>55015596600</v>
      </c>
      <c r="B1519" s="1" t="str">
        <f>"BICBOI MANAGEMENT LLC"</f>
        <v>BICBOI MANAGEMENT LLC</v>
      </c>
      <c r="C1519" s="1" t="str">
        <f>"ROSELAWN AVE IDLEWILD MANOR LOT 64"</f>
        <v>ROSELAWN AVE IDLEWILD MANOR LOT 64</v>
      </c>
      <c r="D1519" s="1">
        <v>4467.22</v>
      </c>
    </row>
    <row r="1520" spans="1:4" x14ac:dyDescent="0.3">
      <c r="A1520" s="1" t="str">
        <f>"14000140400"</f>
        <v>14000140400</v>
      </c>
      <c r="B1520" s="1" t="str">
        <f>"BICKEL RITA G"</f>
        <v>BICKEL RITA G</v>
      </c>
      <c r="C1520" s="1" t="str">
        <f>"1730 BROWN RD 5.ACRES O Q 1000 NO ENTRY 717"</f>
        <v>1730 BROWN RD 5.ACRES O Q 1000 NO ENTRY 717</v>
      </c>
      <c r="D1520" s="1">
        <v>9685.75</v>
      </c>
    </row>
    <row r="1521" spans="1:4" x14ac:dyDescent="0.3">
      <c r="A1521" s="1" t="str">
        <f>"53015663300"</f>
        <v>53015663300</v>
      </c>
      <c r="B1521" s="1" t="str">
        <f>"BICKERDT OSCAR D JR, BICKERDT REBECCA L"</f>
        <v>BICKERDT OSCAR D JR, BICKERDT REBECCA L</v>
      </c>
      <c r="C1521" s="1" t="str">
        <f>"3090 WATKINS RD AC .574 R21 T11 SEC 6 5-6"</f>
        <v>3090 WATKINS RD AC .574 R21 T11 SEC 6 5-6</v>
      </c>
      <c r="D1521" s="1">
        <v>2615.44</v>
      </c>
    </row>
    <row r="1522" spans="1:4" x14ac:dyDescent="0.3">
      <c r="A1522" s="1" t="str">
        <f>"18000334400"</f>
        <v>18000334400</v>
      </c>
      <c r="B1522" s="1" t="str">
        <f>"BICKERDT SHARON L TTEE"</f>
        <v>BICKERDT SHARON L TTEE</v>
      </c>
      <c r="C1522" s="1" t="str">
        <f>"WYMORE DR BLACKLICK ESTATES 3 700"</f>
        <v>WYMORE DR BLACKLICK ESTATES 3 700</v>
      </c>
      <c r="D1522" s="1">
        <v>1250.79</v>
      </c>
    </row>
    <row r="1523" spans="1:4" x14ac:dyDescent="0.3">
      <c r="A1523" s="1" t="str">
        <f>"01012485800"</f>
        <v>01012485800</v>
      </c>
      <c r="B1523" s="1" t="str">
        <f>"BIDDLE ROSEMARY C"</f>
        <v>BIDDLE ROSEMARY C</v>
      </c>
      <c r="C1523" s="1" t="str">
        <f>"SCHURTZ AVE BROOKSHIRE PK 3 LOT 168"</f>
        <v>SCHURTZ AVE BROOKSHIRE PK 3 LOT 168</v>
      </c>
      <c r="D1523" s="1">
        <v>135.5</v>
      </c>
    </row>
    <row r="1524" spans="1:4" x14ac:dyDescent="0.3">
      <c r="A1524" s="1" t="str">
        <f>"61019348900"</f>
        <v>61019348900</v>
      </c>
      <c r="B1524" s="1" t="str">
        <f>"BIDWELL HOMES LLC"</f>
        <v>BIDWELL HOMES LLC</v>
      </c>
      <c r="C1524" s="1" t="str">
        <f>"WIMBERLY CT WIMBERLY VILLAGE LOT 7"</f>
        <v>WIMBERLY CT WIMBERLY VILLAGE LOT 7</v>
      </c>
      <c r="D1524" s="1">
        <v>1275.51</v>
      </c>
    </row>
    <row r="1525" spans="1:4" x14ac:dyDescent="0.3">
      <c r="A1525" s="1" t="str">
        <f>"23200017100"</f>
        <v>23200017100</v>
      </c>
      <c r="B1525" s="1" t="str">
        <f>"BIERBAUGH WILLIAM CHRISTOPHER, BIERBAUGH KIMBERLEE M"</f>
        <v>BIERBAUGH WILLIAM CHRISTOPHER, BIERBAUGH KIMBERLEE M</v>
      </c>
      <c r="C1525" s="1" t="str">
        <f>"LONDON GROVEPORT RD ENTRY 8423 3.500 ACRES"</f>
        <v>LONDON GROVEPORT RD ENTRY 8423 3.500 ACRES</v>
      </c>
      <c r="D1525" s="1">
        <v>1094.19</v>
      </c>
    </row>
    <row r="1526" spans="1:4" x14ac:dyDescent="0.3">
      <c r="A1526" s="1" t="str">
        <f>"01001039100"</f>
        <v>01001039100</v>
      </c>
      <c r="B1526" s="1" t="str">
        <f>"BIG DOG PROPERTIES LIMITED LIABILITY CO"</f>
        <v>BIG DOG PROPERTIES LIMITED LIABILITY CO</v>
      </c>
      <c r="C1526" s="1" t="str">
        <f>"E MITHOFF ST .492ACRE MOLER LOT 8"</f>
        <v>E MITHOFF ST .492ACRE MOLER LOT 8</v>
      </c>
      <c r="D1526" s="1">
        <v>670.32</v>
      </c>
    </row>
    <row r="1527" spans="1:4" x14ac:dyDescent="0.3">
      <c r="A1527" s="1" t="str">
        <f>"01001525900"</f>
        <v>01001525900</v>
      </c>
      <c r="B1527" s="1" t="str">
        <f>"BIG DOG PROPERTIES LIMITED LIABILITY CO"</f>
        <v>BIG DOG PROPERTIES LIMITED LIABILITY CO</v>
      </c>
      <c r="C1527" s="1" t="str">
        <f>"MITHOFF ST HOMEVILLE LOT 25-26-27-28"</f>
        <v>MITHOFF ST HOMEVILLE LOT 25-26-27-28</v>
      </c>
      <c r="D1527" s="1">
        <v>1480.06</v>
      </c>
    </row>
    <row r="1528" spans="1:4" x14ac:dyDescent="0.3">
      <c r="A1528" s="1" t="str">
        <f>"11300058500"</f>
        <v>11300058500</v>
      </c>
      <c r="B1528" s="1" t="str">
        <f>"BIG DREAMS INVESTMENTS PROPERTIES LLC"</f>
        <v>BIG DREAMS INVESTMENTS PROPERTIES LLC</v>
      </c>
      <c r="C1528" s="1" t="str">
        <f>"CLEVELAND AVE MINERVA PARK LOT 3 EX 10'WS"</f>
        <v>CLEVELAND AVE MINERVA PARK LOT 3 EX 10'WS</v>
      </c>
      <c r="D1528" s="1">
        <v>4670.3999999999996</v>
      </c>
    </row>
    <row r="1529" spans="1:4" x14ac:dyDescent="0.3">
      <c r="A1529" s="1" t="str">
        <f>"18600220300"</f>
        <v>18600220300</v>
      </c>
      <c r="B1529" s="1" t="str">
        <f>"BIG WALNUT RUN HOMEOWNERS' ASSOCIATION"</f>
        <v>BIG WALNUT RUN HOMEOWNERS' ASSOCIATION</v>
      </c>
      <c r="C1529" s="1" t="str">
        <f>"BIG WALNUT RUN SECTION 3 RESERVE H"</f>
        <v>BIG WALNUT RUN SECTION 3 RESERVE H</v>
      </c>
      <c r="D1529" s="1">
        <v>36.25</v>
      </c>
    </row>
    <row r="1530" spans="1:4" x14ac:dyDescent="0.3">
      <c r="A1530" s="1" t="str">
        <f>"18600209700"</f>
        <v>18600209700</v>
      </c>
      <c r="B1530" s="1" t="str">
        <f>"BIG WALNUT RUN HOMEOWNERS' ASSOCIATION"</f>
        <v>BIG WALNUT RUN HOMEOWNERS' ASSOCIATION</v>
      </c>
      <c r="C1530" s="1" t="str">
        <f>"BIG WALNUT RUN SECTION 1 RESERVE C"</f>
        <v>BIG WALNUT RUN SECTION 1 RESERVE C</v>
      </c>
      <c r="D1530" s="1">
        <v>13.67</v>
      </c>
    </row>
    <row r="1531" spans="1:4" x14ac:dyDescent="0.3">
      <c r="A1531" s="1" t="str">
        <f>"18600220400"</f>
        <v>18600220400</v>
      </c>
      <c r="B1531" s="1" t="str">
        <f>"BIG WALNUT RUN HOMEOWNERS' ASSOCIATION"</f>
        <v>BIG WALNUT RUN HOMEOWNERS' ASSOCIATION</v>
      </c>
      <c r="C1531" s="1" t="str">
        <f>"BIG WALNUT RUN SECTION 3 RESERVE I"</f>
        <v>BIG WALNUT RUN SECTION 3 RESERVE I</v>
      </c>
      <c r="D1531" s="1">
        <v>39.06</v>
      </c>
    </row>
    <row r="1532" spans="1:4" x14ac:dyDescent="0.3">
      <c r="A1532" s="1" t="str">
        <f>"18600210100"</f>
        <v>18600210100</v>
      </c>
      <c r="B1532" s="1" t="str">
        <f>"BIG WALNUT RUN HOMEOWNERS' ASSOCIATION"</f>
        <v>BIG WALNUT RUN HOMEOWNERS' ASSOCIATION</v>
      </c>
      <c r="C1532" s="1" t="str">
        <f>"BIG WALNUT RUN SECTION 1 RESERVE G"</f>
        <v>BIG WALNUT RUN SECTION 1 RESERVE G</v>
      </c>
      <c r="D1532" s="1">
        <v>3.89</v>
      </c>
    </row>
    <row r="1533" spans="1:4" x14ac:dyDescent="0.3">
      <c r="A1533" s="1" t="str">
        <f>"18600210000"</f>
        <v>18600210000</v>
      </c>
      <c r="B1533" s="1" t="str">
        <f>"BIG WALNUT RUN HOMEOWNERS' ASSOCIATION"</f>
        <v>BIG WALNUT RUN HOMEOWNERS' ASSOCIATION</v>
      </c>
      <c r="C1533" s="1" t="str">
        <f>"BIG WALNUT RUN SECTION 1 RESERVE F"</f>
        <v>BIG WALNUT RUN SECTION 1 RESERVE F</v>
      </c>
      <c r="D1533" s="1">
        <v>22.87</v>
      </c>
    </row>
    <row r="1534" spans="1:4" x14ac:dyDescent="0.3">
      <c r="A1534" s="1" t="str">
        <f>"07000607200"</f>
        <v>07000607200</v>
      </c>
      <c r="B1534" s="1" t="str">
        <f>"BIGGS JOSEPH"</f>
        <v>BIGGS JOSEPH</v>
      </c>
      <c r="C1534" s="1" t="str">
        <f>"PHENEGER ROAD SCIOTANGY HTS AMD LOT 161 &amp; PT VAC AL"</f>
        <v>PHENEGER ROAD SCIOTANGY HTS AMD LOT 161 &amp; PT VAC AL</v>
      </c>
      <c r="D1534" s="1">
        <v>10</v>
      </c>
    </row>
    <row r="1535" spans="1:4" x14ac:dyDescent="0.3">
      <c r="A1535" s="1" t="str">
        <f>"01019428800"</f>
        <v>01019428800</v>
      </c>
      <c r="B1535" s="1" t="str">
        <f>"BILBARAN FARM INC"</f>
        <v>BILBARAN FARM INC</v>
      </c>
      <c r="C1535" s="1" t="str">
        <f>"5245-204 PORTLAND ST NORTHAMPTON VILLAGE CONDO PH1 BLDG 1 UNIT 20"</f>
        <v>5245-204 PORTLAND ST NORTHAMPTON VILLAGE CONDO PH1 BLDG 1 UNIT 20</v>
      </c>
      <c r="D1535" s="1">
        <v>1135.48</v>
      </c>
    </row>
    <row r="1536" spans="1:4" x14ac:dyDescent="0.3">
      <c r="A1536" s="1" t="str">
        <f>"61021290200"</f>
        <v>61021290200</v>
      </c>
      <c r="B1536" s="1" t="str">
        <f>"BILBARAN FARM INC"</f>
        <v>BILBARAN FARM INC</v>
      </c>
      <c r="C1536" s="1" t="str">
        <f>"WORTHINGTON GLEN CONDOMINIUM 3RD AMD BLDG 41 UNIT 41D"</f>
        <v>WORTHINGTON GLEN CONDOMINIUM 3RD AMD BLDG 41 UNIT 41D</v>
      </c>
      <c r="D1536" s="1">
        <v>1992.25</v>
      </c>
    </row>
    <row r="1537" spans="1:4" x14ac:dyDescent="0.3">
      <c r="A1537" s="1" t="str">
        <f>"59020029600"</f>
        <v>59020029600</v>
      </c>
      <c r="B1537" s="1" t="str">
        <f>"BILBARAN FARM INC"</f>
        <v>BILBARAN FARM INC</v>
      </c>
      <c r="C1537" s="1" t="str">
        <f>"HEDGEROW ROAD ENCLAVE CONDO UNIT 2257A"</f>
        <v>HEDGEROW ROAD ENCLAVE CONDO UNIT 2257A</v>
      </c>
      <c r="D1537" s="1">
        <v>1586.37</v>
      </c>
    </row>
    <row r="1538" spans="1:4" x14ac:dyDescent="0.3">
      <c r="A1538" s="1" t="str">
        <f>"57025564200"</f>
        <v>57025564200</v>
      </c>
      <c r="B1538" s="1" t="str">
        <f>"BILE OSMAN AHMED, ADEN HAWO FARAH"</f>
        <v>BILE OSMAN AHMED, ADEN HAWO FARAH</v>
      </c>
      <c r="C1538" s="1" t="str">
        <f>"LINBAUGH ROAD WINDWARD FARMS SECTION 3 LOT 101"</f>
        <v>LINBAUGH ROAD WINDWARD FARMS SECTION 3 LOT 101</v>
      </c>
      <c r="D1538" s="1">
        <v>134.91</v>
      </c>
    </row>
    <row r="1539" spans="1:4" x14ac:dyDescent="0.3">
      <c r="A1539" s="1" t="str">
        <f>"01009404400"</f>
        <v>01009404400</v>
      </c>
      <c r="B1539" s="1" t="str">
        <f>"BILLINGSLEA ASIA T"</f>
        <v>BILLINGSLEA ASIA T</v>
      </c>
      <c r="C1539" s="1" t="str">
        <f>"1184 MILLER AVE 48.25X132FT NW COR SPENCER LOT 45"</f>
        <v>1184 MILLER AVE 48.25X132FT NW COR SPENCER LOT 45</v>
      </c>
      <c r="D1539" s="1">
        <v>856.36</v>
      </c>
    </row>
    <row r="1540" spans="1:4" x14ac:dyDescent="0.3">
      <c r="A1540" s="1" t="str">
        <f>"01016294900"</f>
        <v>01016294900</v>
      </c>
      <c r="B1540" s="1" t="str">
        <f>"BILLINGSLEY KELLI"</f>
        <v>BILLINGSLEY KELLI</v>
      </c>
      <c r="C1540" s="1" t="str">
        <f>"GLENBROOK GREEN CONDOMINIUM BLDG 4 UNIT D"</f>
        <v>GLENBROOK GREEN CONDOMINIUM BLDG 4 UNIT D</v>
      </c>
      <c r="D1540" s="1">
        <v>1164.72</v>
      </c>
    </row>
    <row r="1541" spans="1:4" x14ac:dyDescent="0.3">
      <c r="A1541" s="1" t="str">
        <f>"01012069600"</f>
        <v>01012069600</v>
      </c>
      <c r="B1541" s="1" t="str">
        <f>"BILLINGSLEY KELLY"</f>
        <v>BILLINGSLEY KELLY</v>
      </c>
      <c r="C1541" s="1" t="str">
        <f>"LVI-MOOR DR LIV-MOOR HTS NO 4-A LOT 10"</f>
        <v>LVI-MOOR DR LIV-MOOR HTS NO 4-A LOT 10</v>
      </c>
      <c r="D1541" s="1">
        <v>4333.54</v>
      </c>
    </row>
    <row r="1542" spans="1:4" x14ac:dyDescent="0.3">
      <c r="A1542" s="1" t="str">
        <f>"01020958700"</f>
        <v>01020958700</v>
      </c>
      <c r="B1542" s="1" t="str">
        <f>"BILLINGSLEY KELLY"</f>
        <v>BILLINGSLEY KELLY</v>
      </c>
      <c r="C1542" s="1" t="str">
        <f>"MASON RUN COURT MASON VILLAGE CONDO UNIT 2478"</f>
        <v>MASON RUN COURT MASON VILLAGE CONDO UNIT 2478</v>
      </c>
      <c r="D1542" s="1">
        <v>940.63</v>
      </c>
    </row>
    <row r="1543" spans="1:4" x14ac:dyDescent="0.3">
      <c r="A1543" s="1" t="str">
        <f>"02500326400"</f>
        <v>02500326400</v>
      </c>
      <c r="B1543" s="1" t="str">
        <f>"BILLISITS ELISE"</f>
        <v>BILLISITS ELISE</v>
      </c>
      <c r="C1543" s="1" t="str">
        <f>"311 WORMAN DRIVE GAHANNA HEIGHTS 4 162"</f>
        <v>311 WORMAN DRIVE GAHANNA HEIGHTS 4 162</v>
      </c>
      <c r="D1543" s="1">
        <v>1767.55</v>
      </c>
    </row>
    <row r="1544" spans="1:4" x14ac:dyDescent="0.3">
      <c r="A1544" s="1" t="str">
        <f>"14000425100"</f>
        <v>14000425100</v>
      </c>
      <c r="B1544" s="1" t="str">
        <f>"BINET MARIA"</f>
        <v>BINET MARIA</v>
      </c>
      <c r="C1544" s="1" t="str">
        <f>"1530 LITTLE AVE RANSBURGHS LTOS 21 &amp; 22"</f>
        <v>1530 LITTLE AVE RANSBURGHS LTOS 21 &amp; 22</v>
      </c>
      <c r="D1544" s="1">
        <v>35.19</v>
      </c>
    </row>
    <row r="1545" spans="1:4" x14ac:dyDescent="0.3">
      <c r="A1545" s="1" t="str">
        <f>"01000109900"</f>
        <v>01000109900</v>
      </c>
      <c r="B1545" s="1" t="str">
        <f>"BIRCH PHILIP R"</f>
        <v>BIRCH PHILIP R</v>
      </c>
      <c r="C1545" s="1" t="str">
        <f>"697-699 S 3RD ST GILBERT "</f>
        <v xml:space="preserve">697-699 S 3RD ST GILBERT </v>
      </c>
      <c r="D1545" s="1">
        <v>466.63</v>
      </c>
    </row>
    <row r="1546" spans="1:4" x14ac:dyDescent="0.3">
      <c r="A1546" s="1" t="str">
        <f>"23400005800"</f>
        <v>23400005800</v>
      </c>
      <c r="B1546" s="1" t="str">
        <f>"BIRCHFIELD RICHARD"</f>
        <v>BIRCHFIELD RICHARD</v>
      </c>
      <c r="C1546" s="1" t="str">
        <f>"HIGH ST 25.5 X 100 N W COR LOT 23-24"</f>
        <v>HIGH ST 25.5 X 100 N W COR LOT 23-24</v>
      </c>
      <c r="D1546" s="1">
        <v>864.66</v>
      </c>
    </row>
    <row r="1547" spans="1:4" x14ac:dyDescent="0.3">
      <c r="A1547" s="1" t="str">
        <f>"01008688100"</f>
        <v>01008688100</v>
      </c>
      <c r="B1547" s="1" t="str">
        <f>"BIRCKBICHLER DIANE W TR"</f>
        <v>BIRCKBICHLER DIANE W TR</v>
      </c>
      <c r="C1547" s="1" t="str">
        <f>"94 ALDRICH RD ROSEMARY SOUTH LOT 275"</f>
        <v>94 ALDRICH RD ROSEMARY SOUTH LOT 275</v>
      </c>
      <c r="D1547" s="1">
        <v>341.06</v>
      </c>
    </row>
    <row r="1548" spans="1:4" x14ac:dyDescent="0.3">
      <c r="A1548" s="1" t="str">
        <f>"10000001800"</f>
        <v>10000001800</v>
      </c>
      <c r="B1548" s="1" t="str">
        <f>"BIRD LYNN A TR"</f>
        <v>BIRD LYNN A TR</v>
      </c>
      <c r="C1548" s="1" t="str">
        <f>"615 OXFORD ST 68.68' X 132.55' N E COR LOT 127"</f>
        <v>615 OXFORD ST 68.68' X 132.55' N E COR LOT 127</v>
      </c>
      <c r="D1548" s="1">
        <v>1191.93</v>
      </c>
    </row>
    <row r="1549" spans="1:4" x14ac:dyDescent="0.3">
      <c r="A1549" s="1" t="str">
        <f>"01009114900"</f>
        <v>01009114900</v>
      </c>
      <c r="B1549" s="1" t="str">
        <f>"BIRHANZL MARY V"</f>
        <v>BIRHANZL MARY V</v>
      </c>
      <c r="C1549" s="1" t="str">
        <f>"S ASHBURTON RD CRESCENT HTS LOT 61-62"</f>
        <v>S ASHBURTON RD CRESCENT HTS LOT 61-62</v>
      </c>
      <c r="D1549" s="1">
        <v>85</v>
      </c>
    </row>
    <row r="1550" spans="1:4" x14ac:dyDescent="0.3">
      <c r="A1550" s="1" t="str">
        <f>"01011302400"</f>
        <v>01011302400</v>
      </c>
      <c r="B1550" s="1" t="str">
        <f>"BIRT JAMES EDWARD"</f>
        <v>BIRT JAMES EDWARD</v>
      </c>
      <c r="C1550" s="1" t="str">
        <f>"BENFIELD AVE SOUTH HIGH ST LOT 78"</f>
        <v>BENFIELD AVE SOUTH HIGH ST LOT 78</v>
      </c>
      <c r="D1550" s="1">
        <v>668.17</v>
      </c>
    </row>
    <row r="1551" spans="1:4" x14ac:dyDescent="0.3">
      <c r="A1551" s="1" t="str">
        <f>"07000633100"</f>
        <v>07000633100</v>
      </c>
      <c r="B1551" s="1" t="str">
        <f>"BISCHOF SUSAN K"</f>
        <v>BISCHOF SUSAN K</v>
      </c>
      <c r="C1551" s="1" t="str">
        <f>"WOODSTOCK RD RIVER RIDGE 16 BLK 14"</f>
        <v>WOODSTOCK RD RIVER RIDGE 16 BLK 14</v>
      </c>
      <c r="D1551" s="1">
        <v>8226.44</v>
      </c>
    </row>
    <row r="1552" spans="1:4" x14ac:dyDescent="0.3">
      <c r="A1552" s="1" t="str">
        <f>"07001415000"</f>
        <v>07001415000</v>
      </c>
      <c r="B1552" s="1" t="str">
        <f>"BISHARA MAGDI F TR"</f>
        <v>BISHARA MAGDI F TR</v>
      </c>
      <c r="C1552" s="1" t="str">
        <f>"ADNER CT CONCORD VILLAGE PH 7 .0885 ACRE LOT 38"</f>
        <v>ADNER CT CONCORD VILLAGE PH 7 .0885 ACRE LOT 38</v>
      </c>
      <c r="D1552" s="1">
        <v>3770.3</v>
      </c>
    </row>
    <row r="1553" spans="1:4" x14ac:dyDescent="0.3">
      <c r="A1553" s="1" t="str">
        <f>"27300204600"</f>
        <v>27300204600</v>
      </c>
      <c r="B1553" s="1" t="str">
        <f>"BISHOP CONNIE E"</f>
        <v>BISHOP CONNIE E</v>
      </c>
      <c r="C1553" s="1" t="str">
        <f>"159 CARROWMOOR CT CARROWMOOR CONDO BLDG 3 UNIT 20"</f>
        <v>159 CARROWMOOR CT CARROWMOOR CONDO BLDG 3 UNIT 20</v>
      </c>
      <c r="D1553" s="1">
        <v>3031.3</v>
      </c>
    </row>
    <row r="1554" spans="1:4" x14ac:dyDescent="0.3">
      <c r="A1554" s="1" t="str">
        <f>"01004933300"</f>
        <v>01004933300</v>
      </c>
      <c r="B1554" s="1" t="str">
        <f>"BISHOP HERRMANN EDWARD J"</f>
        <v>BISHOP HERRMANN EDWARD J</v>
      </c>
      <c r="C1554" s="1" t="str">
        <f>"CLARENDON AVE WESTWOOD HTS LOT 13-20"</f>
        <v>CLARENDON AVE WESTWOOD HTS LOT 13-20</v>
      </c>
      <c r="D1554" s="1">
        <v>185.52</v>
      </c>
    </row>
    <row r="1555" spans="1:4" x14ac:dyDescent="0.3">
      <c r="A1555" s="1" t="str">
        <f>"07000517700"</f>
        <v>07000517700</v>
      </c>
      <c r="B1555" s="1" t="str">
        <f>"BISHOP JOHN D, BISHOP LOIS A"</f>
        <v>BISHOP JOHN D, BISHOP LOIS A</v>
      </c>
      <c r="C1555" s="1" t="str">
        <f>"SUNSET DR RIVER RIDGE 1 BLK 5"</f>
        <v>SUNSET DR RIVER RIDGE 1 BLK 5</v>
      </c>
      <c r="D1555" s="1">
        <v>384.88</v>
      </c>
    </row>
    <row r="1556" spans="1:4" x14ac:dyDescent="0.3">
      <c r="A1556" s="1" t="str">
        <f>"07000201300"</f>
        <v>07000201300</v>
      </c>
      <c r="B1556" s="1" t="str">
        <f>"BISHOP LOUISE S TR"</f>
        <v>BISHOP LOUISE S TR</v>
      </c>
      <c r="C1556" s="1" t="str">
        <f>"1946 W LANE AVE NORTH ARLINGTON LOT 70"</f>
        <v>1946 W LANE AVE NORTH ARLINGTON LOT 70</v>
      </c>
      <c r="D1556" s="1">
        <v>6510.46</v>
      </c>
    </row>
    <row r="1557" spans="1:4" x14ac:dyDescent="0.3">
      <c r="A1557" s="1" t="str">
        <f>"10000625800"</f>
        <v>10000625800</v>
      </c>
      <c r="B1557" s="1" t="str">
        <f>"BISHOP RADFORD S TR"</f>
        <v>BISHOP RADFORD S TR</v>
      </c>
      <c r="C1557" s="1" t="str">
        <f>"6167 HUTCHINSON ST PT LOT 15 ELMWOOD "</f>
        <v xml:space="preserve">6167 HUTCHINSON ST PT LOT 15 ELMWOOD </v>
      </c>
      <c r="D1557" s="1">
        <v>5493.18</v>
      </c>
    </row>
    <row r="1558" spans="1:4" x14ac:dyDescent="0.3">
      <c r="A1558" s="1" t="str">
        <f>"06000732000"</f>
        <v>06000732000</v>
      </c>
      <c r="B1558" s="1" t="str">
        <f>"BITTONI TERESA A TR"</f>
        <v>BITTONI TERESA A TR</v>
      </c>
      <c r="C1558" s="1" t="str">
        <f>"DONWICK DRIVE FARMINGTON SECTION 2 LOT 48"</f>
        <v>DONWICK DRIVE FARMINGTON SECTION 2 LOT 48</v>
      </c>
      <c r="D1558" s="1">
        <v>3622.45</v>
      </c>
    </row>
    <row r="1559" spans="1:4" x14ac:dyDescent="0.3">
      <c r="A1559" s="1" t="str">
        <f>"01008935900"</f>
        <v>01008935900</v>
      </c>
      <c r="B1559" s="1" t="str">
        <f>"BITTONI TERESA ANN TR"</f>
        <v>BITTONI TERESA ANN TR</v>
      </c>
      <c r="C1559" s="1" t="str">
        <f>"CHOWNING WAY WRENS CROSS CONDOMINIUM PHASE II LOT 5-G"</f>
        <v>CHOWNING WAY WRENS CROSS CONDOMINIUM PHASE II LOT 5-G</v>
      </c>
      <c r="D1559" s="1">
        <v>1430.89</v>
      </c>
    </row>
    <row r="1560" spans="1:4" x14ac:dyDescent="0.3">
      <c r="A1560" s="1" t="str">
        <f>"07000141000"</f>
        <v>07000141000</v>
      </c>
      <c r="B1560" s="1" t="str">
        <f>"BIXLER JOHN JOSEPH TTEE, BIXLER ANN MARIE TTEE"</f>
        <v>BIXLER JOHN JOSEPH TTEE, BIXLER ANN MARIE TTEE</v>
      </c>
      <c r="C1560" s="1" t="str">
        <f>"2590 HENTHORN RD GUILFORD PLACE LOT 279"</f>
        <v>2590 HENTHORN RD GUILFORD PLACE LOT 279</v>
      </c>
      <c r="D1560" s="1">
        <v>7148.9</v>
      </c>
    </row>
    <row r="1561" spans="1:4" x14ac:dyDescent="0.3">
      <c r="A1561" s="1" t="str">
        <f>"04000013000"</f>
        <v>04000013000</v>
      </c>
      <c r="B1561" s="1" t="str">
        <f>"BJR CO"</f>
        <v>BJR CO</v>
      </c>
      <c r="C1561" s="1" t="str">
        <f>"3984 N BROADWAY HOELCHER SUB LOT 3"</f>
        <v>3984 N BROADWAY HOELCHER SUB LOT 3</v>
      </c>
      <c r="D1561" s="1">
        <v>258.56</v>
      </c>
    </row>
    <row r="1562" spans="1:4" x14ac:dyDescent="0.3">
      <c r="A1562" s="1" t="str">
        <f>"04000135800"</f>
        <v>04000135800</v>
      </c>
      <c r="B1562" s="1" t="str">
        <f>"BJR CO"</f>
        <v>BJR CO</v>
      </c>
      <c r="C1562" s="1" t="str">
        <f>"4356 S BROADWAY ACRES .254 "</f>
        <v xml:space="preserve">4356 S BROADWAY ACRES .254 </v>
      </c>
      <c r="D1562" s="1">
        <v>139.44</v>
      </c>
    </row>
    <row r="1563" spans="1:4" x14ac:dyDescent="0.3">
      <c r="A1563" s="1" t="str">
        <f>"01004571200"</f>
        <v>01004571200</v>
      </c>
      <c r="B1563" s="1" t="str">
        <f>"BJR CO INC"</f>
        <v>BJR CO INC</v>
      </c>
      <c r="C1563" s="1" t="str">
        <f>"194 BREHL AVE NL DORENS CENTRAL AVE LOT 138"</f>
        <v>194 BREHL AVE NL DORENS CENTRAL AVE LOT 138</v>
      </c>
      <c r="D1563" s="1">
        <v>48.27</v>
      </c>
    </row>
    <row r="1564" spans="1:4" x14ac:dyDescent="0.3">
      <c r="A1564" s="1" t="str">
        <f>"04001399200"</f>
        <v>04001399200</v>
      </c>
      <c r="B1564" s="1" t="str">
        <f>"BJR CO INC"</f>
        <v>BJR CO INC</v>
      </c>
      <c r="C1564" s="1" t="str">
        <f>"THE CONDOMINIUM AT HERITAGE GLEN UNIT 3313HD"</f>
        <v>THE CONDOMINIUM AT HERITAGE GLEN UNIT 3313HD</v>
      </c>
      <c r="D1564" s="1">
        <v>69.66</v>
      </c>
    </row>
    <row r="1565" spans="1:4" x14ac:dyDescent="0.3">
      <c r="A1565" s="1" t="str">
        <f>"04000076900"</f>
        <v>04000076900</v>
      </c>
      <c r="B1565" s="1" t="str">
        <f>"BJR COMPANY"</f>
        <v>BJR COMPANY</v>
      </c>
      <c r="C1565" s="1" t="str">
        <f>"3530 GRANT AVENUE BEULAH LOT 41 "</f>
        <v xml:space="preserve">3530 GRANT AVENUE BEULAH LOT 41 </v>
      </c>
      <c r="D1565" s="1">
        <v>135.19</v>
      </c>
    </row>
    <row r="1566" spans="1:4" x14ac:dyDescent="0.3">
      <c r="A1566" s="1" t="str">
        <f>"04000536300"</f>
        <v>04000536300</v>
      </c>
      <c r="B1566" s="1" t="str">
        <f>"BJR COMPANY"</f>
        <v>BJR COMPANY</v>
      </c>
      <c r="C1566" s="1" t="str">
        <f>"2722-26 INDEPENDENCE INDEPENDENCE SUBDIV LOT 12"</f>
        <v>2722-26 INDEPENDENCE INDEPENDENCE SUBDIV LOT 12</v>
      </c>
      <c r="D1566" s="1">
        <v>226.64</v>
      </c>
    </row>
    <row r="1567" spans="1:4" x14ac:dyDescent="0.3">
      <c r="A1567" s="1" t="str">
        <f>"04000007200"</f>
        <v>04000007200</v>
      </c>
      <c r="B1567" s="1" t="str">
        <f>"BJR COMPANY INC"</f>
        <v>BJR COMPANY INC</v>
      </c>
      <c r="C1567" s="1" t="str">
        <f>"4027 S BROADWAY ST SAWHILL HARRISON ALLEY VAC"</f>
        <v>4027 S BROADWAY ST SAWHILL HARRISON ALLEY VAC</v>
      </c>
      <c r="D1567" s="1">
        <v>249.38</v>
      </c>
    </row>
    <row r="1568" spans="1:4" x14ac:dyDescent="0.3">
      <c r="A1568" s="1" t="str">
        <f>"04000012500"</f>
        <v>04000012500</v>
      </c>
      <c r="B1568" s="1" t="str">
        <f>"BJR COMPANY INC"</f>
        <v>BJR COMPANY INC</v>
      </c>
      <c r="C1568" s="1" t="str">
        <f>"3379 BRUCE AVE WOODLAWN LOT 95"</f>
        <v>3379 BRUCE AVE WOODLAWN LOT 95</v>
      </c>
      <c r="D1568" s="1">
        <v>155.44999999999999</v>
      </c>
    </row>
    <row r="1569" spans="1:4" x14ac:dyDescent="0.3">
      <c r="A1569" s="1" t="str">
        <f>"04000536100"</f>
        <v>04000536100</v>
      </c>
      <c r="B1569" s="1" t="str">
        <f>"BJR COMPANY INC"</f>
        <v>BJR COMPANY INC</v>
      </c>
      <c r="C1569" s="1" t="str">
        <f>"2738-42 INDEPENDENCE INDEPENDENCE SUBDIV LOT 10"</f>
        <v>2738-42 INDEPENDENCE INDEPENDENCE SUBDIV LOT 10</v>
      </c>
      <c r="D1569" s="1">
        <v>223.55</v>
      </c>
    </row>
    <row r="1570" spans="1:4" x14ac:dyDescent="0.3">
      <c r="A1570" s="1" t="str">
        <f>"04001400500"</f>
        <v>04001400500</v>
      </c>
      <c r="B1570" s="1" t="str">
        <f>"BJR COMPANY INC"</f>
        <v>BJR COMPANY INC</v>
      </c>
      <c r="C1570" s="1" t="str">
        <f>"THE CONDOMINIUM AT HERITAGE GLEN UNIT 3253HD"</f>
        <v>THE CONDOMINIUM AT HERITAGE GLEN UNIT 3253HD</v>
      </c>
      <c r="D1570" s="1">
        <v>93.09</v>
      </c>
    </row>
    <row r="1571" spans="1:4" x14ac:dyDescent="0.3">
      <c r="A1571" s="1" t="str">
        <f>"04000104100"</f>
        <v>04000104100</v>
      </c>
      <c r="B1571" s="1" t="str">
        <f>"BJR COMPANY INC"</f>
        <v>BJR COMPANY INC</v>
      </c>
      <c r="C1571" s="1" t="str">
        <f>"3786-790 N BROADWAY 50X210FT ENTRY 1388"</f>
        <v>3786-790 N BROADWAY 50X210FT ENTRY 1388</v>
      </c>
      <c r="D1571" s="1">
        <v>222.73</v>
      </c>
    </row>
    <row r="1572" spans="1:4" x14ac:dyDescent="0.3">
      <c r="A1572" s="1" t="str">
        <f>"04000109700"</f>
        <v>04000109700</v>
      </c>
      <c r="B1572" s="1" t="str">
        <f>"BJR COMPANY INC"</f>
        <v>BJR COMPANY INC</v>
      </c>
      <c r="C1572" s="1" t="str">
        <f>"4376 S BROADWAY ENTRY 1383 .296 ACRES"</f>
        <v>4376 S BROADWAY ENTRY 1383 .296 ACRES</v>
      </c>
      <c r="D1572" s="1">
        <v>207.37</v>
      </c>
    </row>
    <row r="1573" spans="1:4" x14ac:dyDescent="0.3">
      <c r="A1573" s="1" t="str">
        <f>"04000122100"</f>
        <v>04000122100</v>
      </c>
      <c r="B1573" s="1" t="str">
        <f>"BJR COMPANY INC"</f>
        <v>BJR COMPANY INC</v>
      </c>
      <c r="C1573" s="1" t="str">
        <f>"4350 BROADWAY ACRE .202 ENTRY 1383 LOTS 8-9"</f>
        <v>4350 BROADWAY ACRE .202 ENTRY 1383 LOTS 8-9</v>
      </c>
      <c r="D1573" s="1">
        <v>167.08</v>
      </c>
    </row>
    <row r="1574" spans="1:4" x14ac:dyDescent="0.3">
      <c r="A1574" s="1" t="str">
        <f>"04000126000"</f>
        <v>04000126000</v>
      </c>
      <c r="B1574" s="1" t="str">
        <f>"BJR COMPANY INC"</f>
        <v>BJR COMPANY INC</v>
      </c>
      <c r="C1574" s="1" t="str">
        <f>"2746 COLUMBUS STREET ACRES .202 ENTRY 1388"</f>
        <v>2746 COLUMBUS STREET ACRES .202 ENTRY 1388</v>
      </c>
      <c r="D1574" s="1">
        <v>160.07</v>
      </c>
    </row>
    <row r="1575" spans="1:4" x14ac:dyDescent="0.3">
      <c r="A1575" s="1" t="str">
        <f>"60015241900"</f>
        <v>60015241900</v>
      </c>
      <c r="B1575" s="1" t="str">
        <f>"BKJ HOLDINGS LLC"</f>
        <v>BKJ HOLDINGS LLC</v>
      </c>
      <c r="C1575" s="1" t="str">
        <f>"NORTHTOWNE BLVD FOREST PARK E SEC 5 LOT 617"</f>
        <v>NORTHTOWNE BLVD FOREST PARK E SEC 5 LOT 617</v>
      </c>
      <c r="D1575" s="1">
        <v>2452</v>
      </c>
    </row>
    <row r="1576" spans="1:4" x14ac:dyDescent="0.3">
      <c r="A1576" s="1" t="str">
        <f>"02500594600"</f>
        <v>02500594600</v>
      </c>
      <c r="B1576" s="1" t="str">
        <f>"BKJ HOLDINGS LLC"</f>
        <v>BKJ HOLDINGS LLC</v>
      </c>
      <c r="C1576" s="1" t="str">
        <f>"1290-292 PADDINGTON CHERRY BOTTOM SEC 2 LOT 103"</f>
        <v>1290-292 PADDINGTON CHERRY BOTTOM SEC 2 LOT 103</v>
      </c>
      <c r="D1576" s="1">
        <v>5118</v>
      </c>
    </row>
    <row r="1577" spans="1:4" x14ac:dyDescent="0.3">
      <c r="A1577" s="1" t="str">
        <f>"01013705700"</f>
        <v>01013705700</v>
      </c>
      <c r="B1577" s="1" t="str">
        <f>"BLACK BRIAN E"</f>
        <v>BLACK BRIAN E</v>
      </c>
      <c r="C1577" s="1" t="str">
        <f>"ARDATH RD HOLLY HILL 7 LOT 616"</f>
        <v>ARDATH RD HOLLY HILL 7 LOT 616</v>
      </c>
      <c r="D1577" s="1">
        <v>1340.77</v>
      </c>
    </row>
    <row r="1578" spans="1:4" x14ac:dyDescent="0.3">
      <c r="A1578" s="1" t="str">
        <f>"01008810100"</f>
        <v>01008810100</v>
      </c>
      <c r="B1578" s="1" t="str">
        <f>"BLACK BRUCE T, BLACK COLETTA A"</f>
        <v>BLACK BRUCE T, BLACK COLETTA A</v>
      </c>
      <c r="C1578" s="1" t="str">
        <f>"BEVERLY PLC BERWICK LOT 1291-2"</f>
        <v>BEVERLY PLC BERWICK LOT 1291-2</v>
      </c>
      <c r="D1578" s="1">
        <v>3300</v>
      </c>
    </row>
    <row r="1579" spans="1:4" x14ac:dyDescent="0.3">
      <c r="A1579" s="1" t="str">
        <f>"01012955500"</f>
        <v>01012955500</v>
      </c>
      <c r="B1579" s="1" t="str">
        <f>"BLACK KNIGHT 24 LLC"</f>
        <v>BLACK KNIGHT 24 LLC</v>
      </c>
      <c r="C1579" s="1" t="str">
        <f>"GRANDVIEW AVE 75.2 FT N E OF 21/22 GRANDVIEW 2 L21-22"</f>
        <v>GRANDVIEW AVE 75.2 FT N E OF 21/22 GRANDVIEW 2 L21-22</v>
      </c>
      <c r="D1579" s="1">
        <v>438.68</v>
      </c>
    </row>
    <row r="1580" spans="1:4" x14ac:dyDescent="0.3">
      <c r="A1580" s="1" t="str">
        <f>"06000070700"</f>
        <v>06000070700</v>
      </c>
      <c r="B1580" s="1" t="str">
        <f>"BLACK PATRICIA A"</f>
        <v>BLACK PATRICIA A</v>
      </c>
      <c r="C1580" s="1" t="str">
        <f>"BRIAN DR BROOKSIDE PARK 2 LOT 283"</f>
        <v>BRIAN DR BROOKSIDE PARK 2 LOT 283</v>
      </c>
      <c r="D1580" s="1">
        <v>3680.2</v>
      </c>
    </row>
    <row r="1581" spans="1:4" x14ac:dyDescent="0.3">
      <c r="A1581" s="1" t="str">
        <f>"01007471200"</f>
        <v>01007471200</v>
      </c>
      <c r="B1581" s="1" t="str">
        <f>"BLACK PISTONS MC MOTHER CHAPTER LLC"</f>
        <v>BLACK PISTONS MC MOTHER CHAPTER LLC</v>
      </c>
      <c r="C1581" s="1" t="str">
        <f>"2252 VELMA AVENUE HIAWATHA PARK PLACE LOT 138"</f>
        <v>2252 VELMA AVENUE HIAWATHA PARK PLACE LOT 138</v>
      </c>
      <c r="D1581" s="1">
        <v>408.76</v>
      </c>
    </row>
    <row r="1582" spans="1:4" x14ac:dyDescent="0.3">
      <c r="A1582" s="1" t="str">
        <f>"01019567800"</f>
        <v>01019567800</v>
      </c>
      <c r="B1582" s="1" t="str">
        <f>"BLACK STEVEN M"</f>
        <v>BLACK STEVEN M</v>
      </c>
      <c r="C1582" s="1" t="str">
        <f>"HAMPTON CT CONDO HOMES 2ND AMD UNIT 2340"</f>
        <v>HAMPTON CT CONDO HOMES 2ND AMD UNIT 2340</v>
      </c>
      <c r="D1582" s="1">
        <v>104.08</v>
      </c>
    </row>
    <row r="1583" spans="1:4" x14ac:dyDescent="0.3">
      <c r="A1583" s="1" t="str">
        <f>"01005258700"</f>
        <v>01005258700</v>
      </c>
      <c r="B1583" s="1" t="str">
        <f>"BLACKBURN GREGORY"</f>
        <v>BLACKBURN GREGORY</v>
      </c>
      <c r="C1583" s="1" t="str">
        <f>"146 S HARRIS AVE WICKLOW EXT LOT 513"</f>
        <v>146 S HARRIS AVE WICKLOW EXT LOT 513</v>
      </c>
      <c r="D1583" s="1">
        <v>91.09</v>
      </c>
    </row>
    <row r="1584" spans="1:4" x14ac:dyDescent="0.3">
      <c r="A1584" s="1" t="str">
        <f>"01001287600"</f>
        <v>01001287600</v>
      </c>
      <c r="B1584" s="1" t="str">
        <f>"BLACKBURN GREGORY"</f>
        <v>BLACKBURN GREGORY</v>
      </c>
      <c r="C1584" s="1" t="str">
        <f>"464 OGDEN AVE WICKLOW LOT 120"</f>
        <v>464 OGDEN AVE WICKLOW LOT 120</v>
      </c>
      <c r="D1584" s="1">
        <v>98.44</v>
      </c>
    </row>
    <row r="1585" spans="1:4" x14ac:dyDescent="0.3">
      <c r="A1585" s="1" t="str">
        <f>"01004719500"</f>
        <v>01004719500</v>
      </c>
      <c r="B1585" s="1" t="str">
        <f>"BLACKBURN GREGORY"</f>
        <v>BLACKBURN GREGORY</v>
      </c>
      <c r="C1585" s="1" t="str">
        <f>"142 S HARRIS WICKLOW LOT 512"</f>
        <v>142 S HARRIS WICKLOW LOT 512</v>
      </c>
      <c r="D1585" s="1">
        <v>99.67</v>
      </c>
    </row>
    <row r="1586" spans="1:4" x14ac:dyDescent="0.3">
      <c r="A1586" s="1" t="str">
        <f>"04001302100"</f>
        <v>04001302100</v>
      </c>
      <c r="B1586" s="1" t="str">
        <f>"BLACKBURN WILLIAM R"</f>
        <v>BLACKBURN WILLIAM R</v>
      </c>
      <c r="C1586" s="1" t="str">
        <f>"1904 SEASIDE CIRCLE       PINNACLE CLUB SECTION 2   PHASE 1 LOT 227          "</f>
        <v xml:space="preserve">1904 SEASIDE CIRCLE       PINNACLE CLUB SECTION 2   PHASE 1 LOT 227          </v>
      </c>
      <c r="D1586" s="1">
        <v>255.56</v>
      </c>
    </row>
    <row r="1587" spans="1:4" x14ac:dyDescent="0.3">
      <c r="A1587" s="1" t="str">
        <f>"09000827100"</f>
        <v>09000827100</v>
      </c>
      <c r="B1587" s="1" t="str">
        <f>"BLACK-JONES LISA M"</f>
        <v>BLACK-JONES LISA M</v>
      </c>
      <c r="C1587" s="1" t="str">
        <f>"LIZZIE LANE LANGPORT LOT 7"</f>
        <v>LIZZIE LANE LANGPORT LOT 7</v>
      </c>
      <c r="D1587" s="1">
        <v>4299.9799999999996</v>
      </c>
    </row>
    <row r="1588" spans="1:4" x14ac:dyDescent="0.3">
      <c r="A1588" s="1" t="str">
        <f>"01011567800"</f>
        <v>01011567800</v>
      </c>
      <c r="B1588" s="1" t="str">
        <f>"BLACKLICK SQUARE LLC"</f>
        <v>BLACKLICK SQUARE LLC</v>
      </c>
      <c r="C1588" s="1" t="str">
        <f>"GRANVILLE RD R16 T1 1/4T4 2.551 ACRES"</f>
        <v>GRANVILLE RD R16 T1 1/4T4 2.551 ACRES</v>
      </c>
      <c r="D1588" s="1">
        <v>2530</v>
      </c>
    </row>
    <row r="1589" spans="1:4" x14ac:dyDescent="0.3">
      <c r="A1589" s="1" t="str">
        <f>"01016176900"</f>
        <v>01016176900</v>
      </c>
      <c r="B1589" s="1" t="str">
        <f>"BLACKMER JOANNE"</f>
        <v>BLACKMER JOANNE</v>
      </c>
      <c r="C1589" s="1" t="str">
        <f>"2734 PATRICK AVE BLENDON PK SEC 2 LOT 116"</f>
        <v>2734 PATRICK AVE BLENDON PK SEC 2 LOT 116</v>
      </c>
      <c r="D1589" s="1">
        <v>382.91</v>
      </c>
    </row>
    <row r="1590" spans="1:4" x14ac:dyDescent="0.3">
      <c r="A1590" s="1" t="str">
        <f>"24000485800"</f>
        <v>24000485800</v>
      </c>
      <c r="B1590" s="1" t="str">
        <f>"BLACKMORE WILLIAM S III, DELONG ROBERT GENE"</f>
        <v>BLACKMORE WILLIAM S III, DELONG ROBERT GENE</v>
      </c>
      <c r="C1590" s="1" t="str">
        <f>"HAFEY AVE RESUB OF PT OF RES A &amp; D OF LINC VILL SO LOT 592"</f>
        <v>HAFEY AVE RESUB OF PT OF RES A &amp; D OF LINC VILL SO LOT 592</v>
      </c>
      <c r="D1590" s="1">
        <v>2624.44</v>
      </c>
    </row>
    <row r="1591" spans="1:4" x14ac:dyDescent="0.3">
      <c r="A1591" s="1" t="str">
        <f>"01014836300"</f>
        <v>01014836300</v>
      </c>
      <c r="B1591" s="1" t="str">
        <f>"BLACKSTONE PROPERTY LLC"</f>
        <v>BLACKSTONE PROPERTY LLC</v>
      </c>
      <c r="C1591" s="1" t="str">
        <f>"CLEVELAND AVE RUCKMOOR LOT 3 "</f>
        <v xml:space="preserve">CLEVELAND AVE RUCKMOOR LOT 3 </v>
      </c>
      <c r="D1591" s="1">
        <v>14286.11</v>
      </c>
    </row>
    <row r="1592" spans="1:4" x14ac:dyDescent="0.3">
      <c r="A1592" s="1" t="str">
        <f>"01006131400"</f>
        <v>01006131400</v>
      </c>
      <c r="B1592" s="1" t="str">
        <f>"BLAIR BRUCE M, BLAIR JOSEPH C"</f>
        <v>BLAIR BRUCE M, BLAIR JOSEPH C</v>
      </c>
      <c r="C1592" s="1" t="str">
        <f>"1455 LORETTA AVE HIGHWAY PARK LOT 66"</f>
        <v>1455 LORETTA AVE HIGHWAY PARK LOT 66</v>
      </c>
      <c r="D1592" s="1">
        <v>55.73</v>
      </c>
    </row>
    <row r="1593" spans="1:4" x14ac:dyDescent="0.3">
      <c r="A1593" s="1" t="str">
        <f>"01021820300"</f>
        <v>01021820300</v>
      </c>
      <c r="B1593" s="1" t="str">
        <f>"BLAKE GWEN C"</f>
        <v>BLAKE GWEN C</v>
      </c>
      <c r="C1593" s="1" t="str">
        <f>"CLEVELAND PRO PARK CONDO PH 2 1ST AMD UNIT D"</f>
        <v>CLEVELAND PRO PARK CONDO PH 2 1ST AMD UNIT D</v>
      </c>
      <c r="D1593" s="1">
        <v>414.13</v>
      </c>
    </row>
    <row r="1594" spans="1:4" x14ac:dyDescent="0.3">
      <c r="A1594" s="1" t="str">
        <f>"01011497700"</f>
        <v>01011497700</v>
      </c>
      <c r="B1594" s="1" t="str">
        <f>"BLAKE JASON A"</f>
        <v>BLAKE JASON A</v>
      </c>
      <c r="C1594" s="1" t="str">
        <f>"2620 LOCKBOURNE RD 60 X 195 FT .27 ACRE R.22 T.4 S.2"</f>
        <v>2620 LOCKBOURNE RD 60 X 195 FT .27 ACRE R.22 T.4 S.2</v>
      </c>
      <c r="D1594" s="1">
        <v>1325.34</v>
      </c>
    </row>
    <row r="1595" spans="1:4" x14ac:dyDescent="0.3">
      <c r="A1595" s="1" t="str">
        <f>"01009777500"</f>
        <v>01009777500</v>
      </c>
      <c r="B1595" s="1" t="str">
        <f>"BLAKE PAMELA A, BLAKE-SMITH PATRICIA A"</f>
        <v>BLAKE PAMELA A, BLAKE-SMITH PATRICIA A</v>
      </c>
      <c r="C1595" s="1" t="str">
        <f>"MILLERDALE RD BERWICK HTS LOT UK"</f>
        <v>MILLERDALE RD BERWICK HTS LOT UK</v>
      </c>
      <c r="D1595" s="1">
        <v>259.27</v>
      </c>
    </row>
    <row r="1596" spans="1:4" x14ac:dyDescent="0.3">
      <c r="A1596" s="1" t="str">
        <f>"09000108400"</f>
        <v>09000108400</v>
      </c>
      <c r="B1596" s="1" t="str">
        <f>"BLAKE STEVEN W, BLAKE BARBARA L"</f>
        <v>BLAKE STEVEN W, BLAKE BARBARA L</v>
      </c>
      <c r="C1596" s="1" t="str">
        <f>"698 MAPLEWOOD AVE N1/2 LOWRIE BROS LOT 140"</f>
        <v>698 MAPLEWOOD AVE N1/2 LOWRIE BROS LOT 140</v>
      </c>
      <c r="D1596" s="1">
        <v>167.47</v>
      </c>
    </row>
    <row r="1597" spans="1:4" x14ac:dyDescent="0.3">
      <c r="A1597" s="1" t="str">
        <f>"18000270200"</f>
        <v>18000270200</v>
      </c>
      <c r="B1597" s="1" t="str">
        <f>"BLAKE THERESA D TR, MAHLE DONALD A TR"</f>
        <v>BLAKE THERESA D TR, MAHLE DONALD A TR</v>
      </c>
      <c r="C1597" s="1" t="str">
        <f>"CLEARWATER DR BLACKLICK ESTATES 2 311"</f>
        <v>CLEARWATER DR BLACKLICK ESTATES 2 311</v>
      </c>
      <c r="D1597" s="1">
        <v>1163.8499999999999</v>
      </c>
    </row>
    <row r="1598" spans="1:4" x14ac:dyDescent="0.3">
      <c r="A1598" s="1" t="str">
        <f>"01005910000"</f>
        <v>01005910000</v>
      </c>
      <c r="B1598" s="1" t="str">
        <f>"BLAKELY SHEILA E"</f>
        <v>BLAKELY SHEILA E</v>
      </c>
      <c r="C1598" s="1" t="str">
        <f>"1399 GENESSEE AVE LINDEN LOT 849"</f>
        <v>1399 GENESSEE AVE LINDEN LOT 849</v>
      </c>
      <c r="D1598" s="1">
        <v>1230.58</v>
      </c>
    </row>
    <row r="1599" spans="1:4" x14ac:dyDescent="0.3">
      <c r="A1599" s="1" t="str">
        <f>"27300592400"</f>
        <v>27300592400</v>
      </c>
      <c r="B1599" s="1" t="str">
        <f>"BLALOCK SUSAN T"</f>
        <v>BLALOCK SUSAN T</v>
      </c>
      <c r="C1599" s="1" t="str">
        <f>"VILLAGE AT TUTTLE CROSSING CONDO PH 4 3RD AMD UNIT R-5820"</f>
        <v>VILLAGE AT TUTTLE CROSSING CONDO PH 4 3RD AMD UNIT R-5820</v>
      </c>
      <c r="D1599" s="1">
        <v>3020.12</v>
      </c>
    </row>
    <row r="1600" spans="1:4" x14ac:dyDescent="0.3">
      <c r="A1600" s="1" t="str">
        <f>"18600199200"</f>
        <v>18600199200</v>
      </c>
      <c r="B1600" s="1" t="str">
        <f>"BLAMBLE DAVID"</f>
        <v>BLAMBLE DAVID</v>
      </c>
      <c r="C1600" s="1" t="str">
        <f>"ARMOUR AVENUE FAIRCHILD ESTATES SECTION 4 LOT 121"</f>
        <v>ARMOUR AVENUE FAIRCHILD ESTATES SECTION 4 LOT 121</v>
      </c>
      <c r="D1600" s="1">
        <v>207.61</v>
      </c>
    </row>
    <row r="1601" spans="1:4" x14ac:dyDescent="0.3">
      <c r="A1601" s="1" t="str">
        <f>"01000244300"</f>
        <v>01000244300</v>
      </c>
      <c r="B1601" s="1" t="str">
        <f>"BLANCAS CRUZ SANDRO"</f>
        <v>BLANCAS CRUZ SANDRO</v>
      </c>
      <c r="C1601" s="1" t="str">
        <f>"D AVE .2044 ACRE "</f>
        <v xml:space="preserve">D AVE .2044 ACRE </v>
      </c>
      <c r="D1601" s="1">
        <v>879.25</v>
      </c>
    </row>
    <row r="1602" spans="1:4" x14ac:dyDescent="0.3">
      <c r="A1602" s="1" t="str">
        <f>"01011568800"</f>
        <v>01011568800</v>
      </c>
      <c r="B1602" s="1" t="str">
        <f>"BLANCAS CRUZ SANDRO"</f>
        <v>BLANCAS CRUZ SANDRO</v>
      </c>
      <c r="C1602" s="1" t="str">
        <f>"HILOCK AVE ACRE .102 LOT 86 URP"</f>
        <v>HILOCK AVE ACRE .102 LOT 86 URP</v>
      </c>
      <c r="D1602" s="1">
        <v>620.70000000000005</v>
      </c>
    </row>
    <row r="1603" spans="1:4" x14ac:dyDescent="0.3">
      <c r="A1603" s="1" t="str">
        <f>"01011568600"</f>
        <v>01011568600</v>
      </c>
      <c r="B1603" s="1" t="str">
        <f>"BLANCAS CRUZ SANDRO"</f>
        <v>BLANCAS CRUZ SANDRO</v>
      </c>
      <c r="C1603" s="1" t="str">
        <f>"HILOCK AVE .2036 ACRE LOTS74-75-84-85URP"</f>
        <v>HILOCK AVE .2036 ACRE LOTS74-75-84-85URP</v>
      </c>
      <c r="D1603" s="1">
        <v>879.25</v>
      </c>
    </row>
    <row r="1604" spans="1:4" x14ac:dyDescent="0.3">
      <c r="A1604" s="1" t="str">
        <f>"01011569000"</f>
        <v>01011569000</v>
      </c>
      <c r="B1604" s="1" t="str">
        <f>"BLANCAS CRUZ SANDRO"</f>
        <v>BLANCAS CRUZ SANDRO</v>
      </c>
      <c r="C1604" s="1" t="str">
        <f>"HILOCK AVE .102 ACRE LOT 88 URP"</f>
        <v>HILOCK AVE .102 ACRE LOT 88 URP</v>
      </c>
      <c r="D1604" s="1">
        <v>620.70000000000005</v>
      </c>
    </row>
    <row r="1605" spans="1:4" x14ac:dyDescent="0.3">
      <c r="A1605" s="1" t="str">
        <f>"04000811800"</f>
        <v>04000811800</v>
      </c>
      <c r="B1605" s="1" t="str">
        <f>"BLANCHARD CHRISTOPHER J"</f>
        <v>BLANCHARD CHRISTOPHER J</v>
      </c>
      <c r="C1605" s="1" t="str">
        <f>"ZINER FARM LOT 50"</f>
        <v>ZINER FARM LOT 50</v>
      </c>
      <c r="D1605" s="1">
        <v>2938.1</v>
      </c>
    </row>
    <row r="1606" spans="1:4" x14ac:dyDescent="0.3">
      <c r="A1606" s="1" t="str">
        <f>"08000127000"</f>
        <v>08000127000</v>
      </c>
      <c r="B1606" s="1" t="str">
        <f>"BLANCHARD ROSE M"</f>
        <v>BLANCHARD ROSE M</v>
      </c>
      <c r="C1606" s="1" t="str">
        <f>"14 S VINE ST 50X134.8FT "</f>
        <v xml:space="preserve">14 S VINE ST 50X134.8FT </v>
      </c>
      <c r="D1606" s="1">
        <v>290.81</v>
      </c>
    </row>
    <row r="1607" spans="1:4" x14ac:dyDescent="0.3">
      <c r="A1607" s="1" t="str">
        <f>"57017434200"</f>
        <v>57017434200</v>
      </c>
      <c r="B1607" s="1" t="str">
        <f>"BLANCO PEDRO DANIEL"</f>
        <v>BLANCO PEDRO DANIEL</v>
      </c>
      <c r="C1607" s="1" t="str">
        <f>"441 PAMLICO ST HARDESTY HTS COND JL UNIT JL-3"</f>
        <v>441 PAMLICO ST HARDESTY HTS COND JL UNIT JL-3</v>
      </c>
      <c r="D1607" s="1">
        <v>1193.0899999999999</v>
      </c>
    </row>
    <row r="1608" spans="1:4" x14ac:dyDescent="0.3">
      <c r="A1608" s="1" t="str">
        <f>"02500804200"</f>
        <v>02500804200</v>
      </c>
      <c r="B1608" s="1" t="str">
        <f>"BLAND PEGGY E"</f>
        <v>BLAND PEGGY E</v>
      </c>
      <c r="C1608" s="1" t="str">
        <f>"1007 WINDBOURNE STRE HIGH MEADOWS OF GAHANNA SEC 2 LOT 58"</f>
        <v>1007 WINDBOURNE STRE HIGH MEADOWS OF GAHANNA SEC 2 LOT 58</v>
      </c>
      <c r="D1608" s="1">
        <v>315.89999999999998</v>
      </c>
    </row>
    <row r="1609" spans="1:4" x14ac:dyDescent="0.3">
      <c r="A1609" s="1" t="str">
        <f>"15300043000"</f>
        <v>15300043000</v>
      </c>
      <c r="B1609" s="1" t="str">
        <f>"BLANKENSHIP JUDY K TOD"</f>
        <v>BLANKENSHIP JUDY K TOD</v>
      </c>
      <c r="C1609" s="1" t="str">
        <f>"BRIDLEWOOD BLVD BRIDLEWOOD NO IV LOT 176"</f>
        <v>BRIDLEWOOD BLVD BRIDLEWOOD NO IV LOT 176</v>
      </c>
      <c r="D1609" s="1">
        <v>1642.74</v>
      </c>
    </row>
    <row r="1610" spans="1:4" x14ac:dyDescent="0.3">
      <c r="A1610" s="1" t="str">
        <f>"01011473300"</f>
        <v>01011473300</v>
      </c>
      <c r="B1610" s="1" t="str">
        <f>"BLANKENSHIP MARY"</f>
        <v>BLANKENSHIP MARY</v>
      </c>
      <c r="C1610" s="1" t="str">
        <f>"848 LOCK AVE LOT 4 LEWIS AVE ACRES"</f>
        <v>848 LOCK AVE LOT 4 LEWIS AVE ACRES</v>
      </c>
      <c r="D1610" s="1">
        <v>2190.62</v>
      </c>
    </row>
    <row r="1611" spans="1:4" x14ac:dyDescent="0.3">
      <c r="A1611" s="1" t="str">
        <f>"01002138900"</f>
        <v>01002138900</v>
      </c>
      <c r="B1611" s="1" t="str">
        <f>"BLANKENSHIP TERRY"</f>
        <v>BLANKENSHIP TERRY</v>
      </c>
      <c r="C1611" s="1" t="str">
        <f>"48 TERRACE LANDSCAPE LOT 26"</f>
        <v>48 TERRACE LANDSCAPE LOT 26</v>
      </c>
      <c r="D1611" s="1">
        <v>1030.29</v>
      </c>
    </row>
    <row r="1612" spans="1:4" x14ac:dyDescent="0.3">
      <c r="A1612" s="1" t="str">
        <f>"01000267100"</f>
        <v>01000267100</v>
      </c>
      <c r="B1612" s="1" t="str">
        <f>"BLANKENSHIP TERRY MARQUE"</f>
        <v>BLANKENSHIP TERRY MARQUE</v>
      </c>
      <c r="C1612" s="1" t="str">
        <f>"314 BELVIDERE GLENWOOD LOT 30"</f>
        <v>314 BELVIDERE GLENWOOD LOT 30</v>
      </c>
      <c r="D1612" s="1">
        <v>607.95000000000005</v>
      </c>
    </row>
    <row r="1613" spans="1:4" x14ac:dyDescent="0.3">
      <c r="A1613" s="1" t="str">
        <f>"01009821900"</f>
        <v>01009821900</v>
      </c>
      <c r="B1613" s="1" t="str">
        <f>"BLANKLEY JONATHAN RAY, HAMPSHIRE JILL CELESTE"</f>
        <v>BLANKLEY JONATHAN RAY, HAMPSHIRE JILL CELESTE</v>
      </c>
      <c r="C1613" s="1" t="str">
        <f>"NORRIS DR MAIZE MANOR LOT 39"</f>
        <v>NORRIS DR MAIZE MANOR LOT 39</v>
      </c>
      <c r="D1613" s="1">
        <v>4125.91</v>
      </c>
    </row>
    <row r="1614" spans="1:4" x14ac:dyDescent="0.3">
      <c r="A1614" s="1" t="str">
        <f>"15000145600"</f>
        <v>15000145600</v>
      </c>
      <c r="B1614" s="1" t="str">
        <f>"BLANTON JAMES E, BLANTON LISA A"</f>
        <v>BLANTON JAMES E, BLANTON LISA A</v>
      </c>
      <c r="C1614" s="1" t="str">
        <f>"852 CHERRYDALE AVE HAMILTON MEADOWS 6 LOT 654"</f>
        <v>852 CHERRYDALE AVE HAMILTON MEADOWS 6 LOT 654</v>
      </c>
      <c r="D1614" s="1">
        <v>3488.63</v>
      </c>
    </row>
    <row r="1615" spans="1:4" x14ac:dyDescent="0.3">
      <c r="A1615" s="1" t="str">
        <f>"01011874800"</f>
        <v>01011874800</v>
      </c>
      <c r="B1615" s="1" t="str">
        <f>"BLANTON JEFFREY D"</f>
        <v>BLANTON JEFFREY D</v>
      </c>
      <c r="C1615" s="1" t="str">
        <f>"2345 CALTALPA DRIVE CATALPA PARK 2 LOTS 31-33"</f>
        <v>2345 CALTALPA DRIVE CATALPA PARK 2 LOTS 31-33</v>
      </c>
      <c r="D1615" s="1">
        <v>2315.4</v>
      </c>
    </row>
    <row r="1616" spans="1:4" x14ac:dyDescent="0.3">
      <c r="A1616" s="1" t="str">
        <f>"16000123900"</f>
        <v>16000123900</v>
      </c>
      <c r="B1616" s="1" t="str">
        <f>"BLANTON JOHN M, BLANTON TERESA M"</f>
        <v>BLANTON JOHN M, BLANTON TERESA M</v>
      </c>
      <c r="C1616" s="1" t="str">
        <f>"6826 RIDPATH ENTRY 1294 .969 ACRE"</f>
        <v>6826 RIDPATH ENTRY 1294 .969 ACRE</v>
      </c>
      <c r="D1616" s="1">
        <v>278.83</v>
      </c>
    </row>
    <row r="1617" spans="1:4" x14ac:dyDescent="0.3">
      <c r="A1617" s="1" t="str">
        <f>"07001436900"</f>
        <v>07001436900</v>
      </c>
      <c r="B1617" s="1" t="str">
        <f>"BLAUSER GUY RUSSELL, BLAUSER ROCKY LEE"</f>
        <v>BLAUSER GUY RUSSELL, BLAUSER ROCKY LEE</v>
      </c>
      <c r="C1617" s="1" t="str">
        <f>"W HENDERSON RD HE CHAPMANS SUB SPLIT LOT 5  =LOT 5A"</f>
        <v>W HENDERSON RD HE CHAPMANS SUB SPLIT LOT 5  =LOT 5A</v>
      </c>
      <c r="D1617" s="1">
        <v>12378.63</v>
      </c>
    </row>
    <row r="1618" spans="1:4" x14ac:dyDescent="0.3">
      <c r="A1618" s="1" t="str">
        <f>"17000395000"</f>
        <v>17000395000</v>
      </c>
      <c r="B1618" s="1" t="str">
        <f>"BLAUSEY STEVEN W, BLAUSEY ERIKA C"</f>
        <v>BLAUSEY STEVEN W, BLAUSEY ERIKA C</v>
      </c>
      <c r="C1618" s="1" t="str">
        <f>"PINECREST SECTION 3 LOT 39"</f>
        <v>PINECREST SECTION 3 LOT 39</v>
      </c>
      <c r="D1618" s="1">
        <v>7597.4</v>
      </c>
    </row>
    <row r="1619" spans="1:4" x14ac:dyDescent="0.3">
      <c r="A1619" s="1" t="str">
        <f>"56021091400"</f>
        <v>56021091400</v>
      </c>
      <c r="B1619" s="1" t="str">
        <f>"BLAZ RONALD A TR"</f>
        <v>BLAZ RONALD A TR</v>
      </c>
      <c r="C1619" s="1" t="str">
        <f>"KILMUIR DRIVE VILLAGES AT HAYDEN RUN SEC 4 LOT 310"</f>
        <v>KILMUIR DRIVE VILLAGES AT HAYDEN RUN SEC 4 LOT 310</v>
      </c>
      <c r="D1619" s="1">
        <v>789.42</v>
      </c>
    </row>
    <row r="1620" spans="1:4" x14ac:dyDescent="0.3">
      <c r="A1620" s="1" t="str">
        <f>"01000243600"</f>
        <v>01000243600</v>
      </c>
      <c r="B1620" s="1" t="str">
        <f>"BLAZEWICK KARI M, BLAZEWICK KEVIN"</f>
        <v>BLAZEWICK KARI M, BLAZEWICK KEVIN</v>
      </c>
      <c r="C1620" s="1" t="str">
        <f>"250 W PARK AVE WEST PARK LOT 675"</f>
        <v>250 W PARK AVE WEST PARK LOT 675</v>
      </c>
      <c r="D1620" s="1">
        <v>171.68</v>
      </c>
    </row>
    <row r="1621" spans="1:4" x14ac:dyDescent="0.3">
      <c r="A1621" s="1" t="str">
        <f>"06000126900"</f>
        <v>06000126900</v>
      </c>
      <c r="B1621" s="1" t="str">
        <f>"BLESSED HOMECARE LLC"</f>
        <v>BLESSED HOMECARE LLC</v>
      </c>
      <c r="C1621" s="1" t="str">
        <f>"6348 LIVINGSTON AVE 1.846 ACRES R21 T12 S13 1/4S20"</f>
        <v>6348 LIVINGSTON AVE 1.846 ACRES R21 T12 S13 1/4S20</v>
      </c>
      <c r="D1621" s="1">
        <v>1414.44</v>
      </c>
    </row>
    <row r="1622" spans="1:4" x14ac:dyDescent="0.3">
      <c r="A1622" s="1" t="str">
        <f>"01005120900"</f>
        <v>01005120900</v>
      </c>
      <c r="B1622" s="1" t="str">
        <f>"BLESSING ROBERT M, HAWBLITZ AGNES M"</f>
        <v>BLESSING ROBERT M, HAWBLITZ AGNES M</v>
      </c>
      <c r="C1622" s="1" t="str">
        <f>"457 S TERRACE AVE BRONX LOT 206"</f>
        <v>457 S TERRACE AVE BRONX LOT 206</v>
      </c>
      <c r="D1622" s="1">
        <v>84.39</v>
      </c>
    </row>
    <row r="1623" spans="1:4" x14ac:dyDescent="0.3">
      <c r="A1623" s="1" t="str">
        <f>"12000025400"</f>
        <v>12000025400</v>
      </c>
      <c r="B1623" s="1" t="str">
        <f>"BLETZ WILLIAM E SR LE, SHAW JEAN L RMDR"</f>
        <v>BLETZ WILLIAM E SR LE, SHAW JEAN L RMDR</v>
      </c>
      <c r="C1623" s="1" t="str">
        <f>"6605 SCIOTO-DARBY RD ENTRY 6640 0.447 ACRE"</f>
        <v>6605 SCIOTO-DARBY RD ENTRY 6640 0.447 ACRE</v>
      </c>
      <c r="D1623" s="1">
        <v>128.38</v>
      </c>
    </row>
    <row r="1624" spans="1:4" x14ac:dyDescent="0.3">
      <c r="A1624" s="1" t="str">
        <f>"16000001900"</f>
        <v>16000001900</v>
      </c>
      <c r="B1624" s="1" t="str">
        <f>"BLEVINS KEVIN M"</f>
        <v>BLEVINS KEVIN M</v>
      </c>
      <c r="C1624" s="1" t="str">
        <f>"BIG RUN &amp; GEORGESVILLE RD OQ840 ENTRY 2442 0.190 ACRE"</f>
        <v>BIG RUN &amp; GEORGESVILLE RD OQ840 ENTRY 2442 0.190 ACRE</v>
      </c>
      <c r="D1624" s="1">
        <v>217.28</v>
      </c>
    </row>
    <row r="1625" spans="1:4" x14ac:dyDescent="0.3">
      <c r="A1625" s="1" t="str">
        <f>"01007815200"</f>
        <v>01007815200</v>
      </c>
      <c r="B1625" s="1" t="str">
        <f>"BLEVINS KEVIN, BLEVINS NICHOLAS J, BLEVINS JAMES ROBERT JR"</f>
        <v>BLEVINS KEVIN, BLEVINS NICHOLAS J, BLEVINS JAMES ROBERT JR</v>
      </c>
      <c r="C1625" s="1" t="str">
        <f>"2424 W MOUND ST WESTLAND EXTENSION LOT 177 EX IRR SW COR"</f>
        <v>2424 W MOUND ST WESTLAND EXTENSION LOT 177 EX IRR SW COR</v>
      </c>
      <c r="D1625" s="1">
        <v>1667.17</v>
      </c>
    </row>
    <row r="1626" spans="1:4" x14ac:dyDescent="0.3">
      <c r="A1626" s="1" t="str">
        <f>"01002318400"</f>
        <v>01002318400</v>
      </c>
      <c r="B1626" s="1" t="str">
        <f>"BLEVINS RICHIE"</f>
        <v>BLEVINS RICHIE</v>
      </c>
      <c r="C1626" s="1" t="str">
        <f>"160 NO WAYNE AVE HIGHLAND PARK LOT 104"</f>
        <v>160 NO WAYNE AVE HIGHLAND PARK LOT 104</v>
      </c>
      <c r="D1626" s="1">
        <v>2089.71</v>
      </c>
    </row>
    <row r="1627" spans="1:4" x14ac:dyDescent="0.3">
      <c r="A1627" s="1" t="str">
        <f>"55015618900"</f>
        <v>55015618900</v>
      </c>
      <c r="B1627" s="1" t="str">
        <f>"BLH CMH LLC"</f>
        <v>BLH CMH LLC</v>
      </c>
      <c r="C1627" s="1" t="str">
        <f>"MANOR DR IDLEWILD MANOR EXT LOT 52"</f>
        <v>MANOR DR IDLEWILD MANOR EXT LOT 52</v>
      </c>
      <c r="D1627" s="1">
        <v>375.89</v>
      </c>
    </row>
    <row r="1628" spans="1:4" x14ac:dyDescent="0.3">
      <c r="A1628" s="1" t="str">
        <f>"55015619400"</f>
        <v>55015619400</v>
      </c>
      <c r="B1628" s="1" t="str">
        <f>"BLH CMH LLC"</f>
        <v>BLH CMH LLC</v>
      </c>
      <c r="C1628" s="1" t="str">
        <f>"MANOR DR IDLEWILD MANOR EXT 58"</f>
        <v>MANOR DR IDLEWILD MANOR EXT 58</v>
      </c>
      <c r="D1628" s="1">
        <v>375.89</v>
      </c>
    </row>
    <row r="1629" spans="1:4" x14ac:dyDescent="0.3">
      <c r="A1629" s="1" t="str">
        <f>"55015611000"</f>
        <v>55015611000</v>
      </c>
      <c r="B1629" s="1" t="str">
        <f>"BLH CMH LLC"</f>
        <v>BLH CMH LLC</v>
      </c>
      <c r="C1629" s="1" t="str">
        <f>"IDLEWILD DR IDLEWILD MANOR LOTS 295 &amp; 296"</f>
        <v>IDLEWILD DR IDLEWILD MANOR LOTS 295 &amp; 296</v>
      </c>
      <c r="D1629" s="1">
        <v>513.37</v>
      </c>
    </row>
    <row r="1630" spans="1:4" x14ac:dyDescent="0.3">
      <c r="A1630" s="1" t="str">
        <f>"01011951400"</f>
        <v>01011951400</v>
      </c>
      <c r="B1630" s="1" t="str">
        <f>"BLIGH INVESTMENT FUND LLC"</f>
        <v>BLIGH INVESTMENT FUND LLC</v>
      </c>
      <c r="C1630" s="1" t="str">
        <f>"CLAUDE DR SCIOTO VILLAGE LOT 163"</f>
        <v>CLAUDE DR SCIOTO VILLAGE LOT 163</v>
      </c>
      <c r="D1630" s="1">
        <v>2408.2199999999998</v>
      </c>
    </row>
    <row r="1631" spans="1:4" x14ac:dyDescent="0.3">
      <c r="A1631" s="1" t="str">
        <f>"01028913000"</f>
        <v>01028913000</v>
      </c>
      <c r="B1631" s="1" t="str">
        <f>"BLIM RICHARD"</f>
        <v>BLIM RICHARD</v>
      </c>
      <c r="C1631" s="1" t="str">
        <f>"TERRACES ON WALHALLA CONDOMINIUMS UNIT 402"</f>
        <v>TERRACES ON WALHALLA CONDOMINIUMS UNIT 402</v>
      </c>
      <c r="D1631" s="1">
        <v>275.51</v>
      </c>
    </row>
    <row r="1632" spans="1:4" x14ac:dyDescent="0.3">
      <c r="A1632" s="1" t="str">
        <f>"14000488100"</f>
        <v>14000488100</v>
      </c>
      <c r="B1632" s="1" t="str">
        <f>"BLING INVESTMENTS LLC"</f>
        <v>BLING INVESTMENTS LLC</v>
      </c>
      <c r="C1632" s="1" t="str">
        <f>"803 DEMOREST RD ROSARY 2 LOT 4 BLK 7 "</f>
        <v xml:space="preserve">803 DEMOREST RD ROSARY 2 LOT 4 BLK 7 </v>
      </c>
      <c r="D1632" s="1">
        <v>1464.39</v>
      </c>
    </row>
    <row r="1633" spans="1:4" x14ac:dyDescent="0.3">
      <c r="A1633" s="1" t="str">
        <f>"04000272300"</f>
        <v>04000272300</v>
      </c>
      <c r="B1633" s="1" t="str">
        <f>"BLING INVESTMENTS LLC"</f>
        <v>BLING INVESTMENTS LLC</v>
      </c>
      <c r="C1633" s="1" t="str">
        <f>"2873 WOODGROVE DRIVE RE-SUB PT BROOKGROVE # 2 LOT 12"</f>
        <v>2873 WOODGROVE DRIVE RE-SUB PT BROOKGROVE # 2 LOT 12</v>
      </c>
      <c r="D1633" s="1">
        <v>2010.26</v>
      </c>
    </row>
    <row r="1634" spans="1:4" x14ac:dyDescent="0.3">
      <c r="A1634" s="1" t="str">
        <f>"14000411200"</f>
        <v>14000411200</v>
      </c>
      <c r="B1634" s="1" t="str">
        <f>"BLINN GARRY C TTEE, BLINN BEVERLY S TTEE"</f>
        <v>BLINN GARRY C TTEE, BLINN BEVERLY S TTEE</v>
      </c>
      <c r="C1634" s="1" t="str">
        <f>"3057 ALKIRE RD 3.322 ACRES ENTRY 2442"</f>
        <v>3057 ALKIRE RD 3.322 ACRES ENTRY 2442</v>
      </c>
      <c r="D1634" s="1">
        <v>3623.47</v>
      </c>
    </row>
    <row r="1635" spans="1:4" x14ac:dyDescent="0.3">
      <c r="A1635" s="1" t="str">
        <f>"16000094100"</f>
        <v>16000094100</v>
      </c>
      <c r="B1635" s="1" t="str">
        <f>"BLINN GARRY C TTEE, BLINN BEVERLY S TTEE"</f>
        <v>BLINN GARRY C TTEE, BLINN BEVERLY S TTEE</v>
      </c>
      <c r="C1635" s="1" t="str">
        <f>"RR ALKIRE RD OQ 400 ENTRY 0.750 ACRE"</f>
        <v>RR ALKIRE RD OQ 400 ENTRY 0.750 ACRE</v>
      </c>
      <c r="D1635" s="1">
        <v>325.44</v>
      </c>
    </row>
    <row r="1636" spans="1:4" x14ac:dyDescent="0.3">
      <c r="A1636" s="1" t="str">
        <f>"17000153500"</f>
        <v>17000153500</v>
      </c>
      <c r="B1636" s="1" t="str">
        <f>"BLOCK FAMILY PROPERTIES LLC"</f>
        <v>BLOCK FAMILY PROPERTIES LLC</v>
      </c>
      <c r="C1636" s="1" t="str">
        <f>"2660 TALLY HO LANE TALLY-HO WOODS LOT 11"</f>
        <v>2660 TALLY HO LANE TALLY-HO WOODS LOT 11</v>
      </c>
      <c r="D1636" s="1">
        <v>4353.12</v>
      </c>
    </row>
    <row r="1637" spans="1:4" x14ac:dyDescent="0.3">
      <c r="A1637" s="1" t="str">
        <f>"01001092400"</f>
        <v>01001092400</v>
      </c>
      <c r="B1637" s="1" t="str">
        <f>"BLOCK O PROPERTIES"</f>
        <v>BLOCK O PROPERTIES</v>
      </c>
      <c r="C1637" s="1" t="str">
        <f>"21 W PATTERSON AVE MT AUBURN LOT 61"</f>
        <v>21 W PATTERSON AVE MT AUBURN LOT 61</v>
      </c>
      <c r="D1637" s="1">
        <v>137.72999999999999</v>
      </c>
    </row>
    <row r="1638" spans="1:4" x14ac:dyDescent="0.3">
      <c r="A1638" s="1" t="str">
        <f>"01028739200"</f>
        <v>01028739200</v>
      </c>
      <c r="B1638" s="1" t="str">
        <f>"BLOCK O PROPERTIES LLC"</f>
        <v>BLOCK O PROPERTIES LLC</v>
      </c>
      <c r="C1638" s="1" t="str">
        <f>"THE COMMONS AT EAST TOMPKINS CONDOMINIUM UNIT 109"</f>
        <v>THE COMMONS AT EAST TOMPKINS CONDOMINIUM UNIT 109</v>
      </c>
      <c r="D1638" s="1">
        <v>50.52</v>
      </c>
    </row>
    <row r="1639" spans="1:4" x14ac:dyDescent="0.3">
      <c r="A1639" s="1" t="str">
        <f>"01028739300"</f>
        <v>01028739300</v>
      </c>
      <c r="B1639" s="1" t="str">
        <f>"BLOCK O PROPERTIES LLC"</f>
        <v>BLOCK O PROPERTIES LLC</v>
      </c>
      <c r="C1639" s="1" t="str">
        <f>"THE COMMONS AT EAST TOMPKINS CONDOMINIUM UNIT 111"</f>
        <v>THE COMMONS AT EAST TOMPKINS CONDOMINIUM UNIT 111</v>
      </c>
      <c r="D1639" s="1">
        <v>50.52</v>
      </c>
    </row>
    <row r="1640" spans="1:4" x14ac:dyDescent="0.3">
      <c r="A1640" s="1" t="str">
        <f>"01028739400"</f>
        <v>01028739400</v>
      </c>
      <c r="B1640" s="1" t="str">
        <f>"BLOCK O PROPERTIES LLC"</f>
        <v>BLOCK O PROPERTIES LLC</v>
      </c>
      <c r="C1640" s="1" t="str">
        <f>"THE COMMONS AT EAST TOMPKINS CONDOMINIUM UNIT 113"</f>
        <v>THE COMMONS AT EAST TOMPKINS CONDOMINIUM UNIT 113</v>
      </c>
      <c r="D1640" s="1">
        <v>50.52</v>
      </c>
    </row>
    <row r="1641" spans="1:4" x14ac:dyDescent="0.3">
      <c r="A1641" s="1" t="str">
        <f>"01028739500"</f>
        <v>01028739500</v>
      </c>
      <c r="B1641" s="1" t="str">
        <f>"BLOCK O PROPERTIES LLC"</f>
        <v>BLOCK O PROPERTIES LLC</v>
      </c>
      <c r="C1641" s="1" t="str">
        <f>"THE COMMONS AT EAST TOMPKINS CONDOMINIUM UNIT 115"</f>
        <v>THE COMMONS AT EAST TOMPKINS CONDOMINIUM UNIT 115</v>
      </c>
      <c r="D1641" s="1">
        <v>50.52</v>
      </c>
    </row>
    <row r="1642" spans="1:4" x14ac:dyDescent="0.3">
      <c r="A1642" s="1" t="str">
        <f>"01028739600"</f>
        <v>01028739600</v>
      </c>
      <c r="B1642" s="1" t="str">
        <f>"BLOCK O PROPERTIES LLC"</f>
        <v>BLOCK O PROPERTIES LLC</v>
      </c>
      <c r="C1642" s="1" t="str">
        <f>"THE COMMONS AT EAST TOMPKINS CONDOMINIUM UNIT 117"</f>
        <v>THE COMMONS AT EAST TOMPKINS CONDOMINIUM UNIT 117</v>
      </c>
      <c r="D1642" s="1">
        <v>50.52</v>
      </c>
    </row>
    <row r="1643" spans="1:4" x14ac:dyDescent="0.3">
      <c r="A1643" s="1" t="str">
        <f>"01028739700"</f>
        <v>01028739700</v>
      </c>
      <c r="B1643" s="1" t="str">
        <f>"BLOCK O PROPERTIES LLC"</f>
        <v>BLOCK O PROPERTIES LLC</v>
      </c>
      <c r="C1643" s="1" t="str">
        <f>"THE COMMONS AT EAST TOMPKINS CONDOMINIUM UNIT 119"</f>
        <v>THE COMMONS AT EAST TOMPKINS CONDOMINIUM UNIT 119</v>
      </c>
      <c r="D1643" s="1">
        <v>50.52</v>
      </c>
    </row>
    <row r="1644" spans="1:4" x14ac:dyDescent="0.3">
      <c r="A1644" s="1" t="str">
        <f>"01028739800"</f>
        <v>01028739800</v>
      </c>
      <c r="B1644" s="1" t="str">
        <f>"BLOCK O PROPERTIES LLC"</f>
        <v>BLOCK O PROPERTIES LLC</v>
      </c>
      <c r="C1644" s="1" t="str">
        <f>"THE COMMONS AT EAST TOMPKINS CONDOMINIUM UNIT 123"</f>
        <v>THE COMMONS AT EAST TOMPKINS CONDOMINIUM UNIT 123</v>
      </c>
      <c r="D1644" s="1">
        <v>53.9</v>
      </c>
    </row>
    <row r="1645" spans="1:4" x14ac:dyDescent="0.3">
      <c r="A1645" s="1" t="str">
        <f>"01028739900"</f>
        <v>01028739900</v>
      </c>
      <c r="B1645" s="1" t="str">
        <f>"BLOCK O PROPERTIES LLC"</f>
        <v>BLOCK O PROPERTIES LLC</v>
      </c>
      <c r="C1645" s="1" t="str">
        <f>"THE COMMONS AT EAST TOMPKINS CONDOMINIUM UNIT 125"</f>
        <v>THE COMMONS AT EAST TOMPKINS CONDOMINIUM UNIT 125</v>
      </c>
      <c r="D1645" s="1">
        <v>53.9</v>
      </c>
    </row>
    <row r="1646" spans="1:4" x14ac:dyDescent="0.3">
      <c r="A1646" s="1" t="str">
        <f>"01028740000"</f>
        <v>01028740000</v>
      </c>
      <c r="B1646" s="1" t="str">
        <f>"BLOCK O PROPERTIES LLC"</f>
        <v>BLOCK O PROPERTIES LLC</v>
      </c>
      <c r="C1646" s="1" t="str">
        <f>"THE COMMONS AT EAST TOMPKINS CONDOMINIUM UNIT 127"</f>
        <v>THE COMMONS AT EAST TOMPKINS CONDOMINIUM UNIT 127</v>
      </c>
      <c r="D1646" s="1">
        <v>53.9</v>
      </c>
    </row>
    <row r="1647" spans="1:4" x14ac:dyDescent="0.3">
      <c r="A1647" s="1" t="str">
        <f>"01028740100"</f>
        <v>01028740100</v>
      </c>
      <c r="B1647" s="1" t="str">
        <f>"BLOCK O PROPERTIES LLC"</f>
        <v>BLOCK O PROPERTIES LLC</v>
      </c>
      <c r="C1647" s="1" t="str">
        <f>"THE COMMONS AT EAST TOMPKINS CONDOMINIUM UNIT 129"</f>
        <v>THE COMMONS AT EAST TOMPKINS CONDOMINIUM UNIT 129</v>
      </c>
      <c r="D1647" s="1">
        <v>53.9</v>
      </c>
    </row>
    <row r="1648" spans="1:4" x14ac:dyDescent="0.3">
      <c r="A1648" s="1" t="str">
        <f>"06000620900"</f>
        <v>06000620900</v>
      </c>
      <c r="B1648" s="1" t="str">
        <f>"BLR INVESTMENT GROUP LLC"</f>
        <v>BLR INVESTMENT GROUP LLC</v>
      </c>
      <c r="C1648" s="1" t="str">
        <f>"BARCELONA SQUARE CON UNIT 6532 BLDG 6 "</f>
        <v xml:space="preserve">BARCELONA SQUARE CON UNIT 6532 BLDG 6 </v>
      </c>
      <c r="D1648" s="1">
        <v>838.18</v>
      </c>
    </row>
    <row r="1649" spans="1:4" x14ac:dyDescent="0.3">
      <c r="A1649" s="1" t="str">
        <f>"02500005200"</f>
        <v>02500005200</v>
      </c>
      <c r="B1649" s="1" t="str">
        <f>"BLUE 7 LLC"</f>
        <v>BLUE 7 LLC</v>
      </c>
      <c r="C1649" s="1" t="str">
        <f>"132 HIGH ST               CITY OF GAHANNA           LOT 60                   "</f>
        <v xml:space="preserve">132 HIGH ST               CITY OF GAHANNA           LOT 60                   </v>
      </c>
      <c r="D1649" s="1">
        <v>25936.92</v>
      </c>
    </row>
    <row r="1650" spans="1:4" x14ac:dyDescent="0.3">
      <c r="A1650" s="1" t="str">
        <f>"01013732800"</f>
        <v>01013732800</v>
      </c>
      <c r="B1650" s="1" t="str">
        <f>"BLUE CHIP HOMES QOZB LLC"</f>
        <v>BLUE CHIP HOMES QOZB LLC</v>
      </c>
      <c r="C1650" s="1" t="str">
        <f>"333 KENDALL PL TAYLORS PARCELS LOT 7-8"</f>
        <v>333 KENDALL PL TAYLORS PARCELS LOT 7-8</v>
      </c>
      <c r="D1650" s="1">
        <v>590.37</v>
      </c>
    </row>
    <row r="1651" spans="1:4" x14ac:dyDescent="0.3">
      <c r="A1651" s="1" t="str">
        <f>"01005217500"</f>
        <v>01005217500</v>
      </c>
      <c r="B1651" s="1" t="str">
        <f>"BLUE CHIP HOMES QOZB LLC"</f>
        <v>BLUE CHIP HOMES QOZB LLC</v>
      </c>
      <c r="C1651" s="1" t="str">
        <f>"35 MIAMI AVE PARTS OF LOTS 5-6 HAYDEN BROWN A BAKER"</f>
        <v>35 MIAMI AVE PARTS OF LOTS 5-6 HAYDEN BROWN A BAKER</v>
      </c>
      <c r="D1651" s="1">
        <v>1191.0999999999999</v>
      </c>
    </row>
    <row r="1652" spans="1:4" x14ac:dyDescent="0.3">
      <c r="A1652" s="1" t="str">
        <f>"01013345700"</f>
        <v>01013345700</v>
      </c>
      <c r="B1652" s="1" t="str">
        <f>"BLUE DAVID E"</f>
        <v>BLUE DAVID E</v>
      </c>
      <c r="C1652" s="1" t="str">
        <f>"SOUTHFIELD 3RD LOT 356 "</f>
        <v xml:space="preserve">SOUTHFIELD 3RD LOT 356 </v>
      </c>
      <c r="D1652" s="1">
        <v>1193.19</v>
      </c>
    </row>
    <row r="1653" spans="1:4" x14ac:dyDescent="0.3">
      <c r="A1653" s="1" t="str">
        <f>"01004881500"</f>
        <v>01004881500</v>
      </c>
      <c r="B1653" s="1" t="str">
        <f>"BLUE DOLPHIN ESTATES LLC"</f>
        <v>BLUE DOLPHIN ESTATES LLC</v>
      </c>
      <c r="C1653" s="1" t="str">
        <f>"775-7 BELLOWS AVE OSBORN PLACE LOT 165"</f>
        <v>775-7 BELLOWS AVE OSBORN PLACE LOT 165</v>
      </c>
      <c r="D1653" s="1">
        <v>2245.2399999999998</v>
      </c>
    </row>
    <row r="1654" spans="1:4" x14ac:dyDescent="0.3">
      <c r="A1654" s="1" t="str">
        <f>"01029127000"</f>
        <v>01029127000</v>
      </c>
      <c r="B1654" s="1" t="str">
        <f>"BLUE DOUGLAS J TR, DAVIS CAROLE D TR"</f>
        <v>BLUE DOUGLAS J TR, DAVIS CAROLE D TR</v>
      </c>
      <c r="C1654" s="1" t="str">
        <f>"RIVER HIGHLANDS CONDOMINIUM 18TH AMD UNIT 5852"</f>
        <v>RIVER HIGHLANDS CONDOMINIUM 18TH AMD UNIT 5852</v>
      </c>
      <c r="D1654" s="1">
        <v>569.05999999999995</v>
      </c>
    </row>
    <row r="1655" spans="1:4" x14ac:dyDescent="0.3">
      <c r="A1655" s="1" t="str">
        <f>"01010902800"</f>
        <v>01010902800</v>
      </c>
      <c r="B1655" s="1" t="str">
        <f>"BLUE MAJOR FUNDING LLC"</f>
        <v>BLUE MAJOR FUNDING LLC</v>
      </c>
      <c r="C1655" s="1" t="str">
        <f>"BERRELL AVE CAPOCCIO LOT 15"</f>
        <v>BERRELL AVE CAPOCCIO LOT 15</v>
      </c>
      <c r="D1655" s="1">
        <v>707.18</v>
      </c>
    </row>
    <row r="1656" spans="1:4" x14ac:dyDescent="0.3">
      <c r="A1656" s="1" t="str">
        <f>"01002919800"</f>
        <v>01002919800</v>
      </c>
      <c r="B1656" s="1" t="str">
        <f>"BLUE SAND BEACH LLC"</f>
        <v>BLUE SAND BEACH LLC</v>
      </c>
      <c r="C1656" s="1" t="str">
        <f>"693 THURMANAVE BRUCK PLC LOT 62"</f>
        <v>693 THURMANAVE BRUCK PLC LOT 62</v>
      </c>
      <c r="D1656" s="1">
        <v>3923.24</v>
      </c>
    </row>
    <row r="1657" spans="1:4" x14ac:dyDescent="0.3">
      <c r="A1657" s="1" t="str">
        <f>"01001491400"</f>
        <v>01001491400</v>
      </c>
      <c r="B1657" s="1" t="str">
        <f>"BLUEBERRY 107 LLC"</f>
        <v>BLUEBERRY 107 LLC</v>
      </c>
      <c r="C1657" s="1" t="str">
        <f>"248 N OAKLEY AVE GLENVIEW HTS LOT 141"</f>
        <v>248 N OAKLEY AVE GLENVIEW HTS LOT 141</v>
      </c>
      <c r="D1657" s="1">
        <v>87</v>
      </c>
    </row>
    <row r="1658" spans="1:4" x14ac:dyDescent="0.3">
      <c r="A1658" s="1" t="str">
        <f>"11000201300"</f>
        <v>11000201300</v>
      </c>
      <c r="B1658" s="1" t="str">
        <f>"BLUESTAR LLC"</f>
        <v>BLUESTAR LLC</v>
      </c>
      <c r="C1658" s="1" t="str">
        <f>"3330 RENO RD VIL GUERNSEYDALE 1-2 LOT 7-7-RES D"</f>
        <v>3330 RENO RD VIL GUERNSEYDALE 1-2 LOT 7-7-RES D</v>
      </c>
      <c r="D1658" s="1">
        <v>383.22</v>
      </c>
    </row>
    <row r="1659" spans="1:4" x14ac:dyDescent="0.3">
      <c r="A1659" s="1" t="str">
        <f>"51025421100"</f>
        <v>51025421100</v>
      </c>
      <c r="B1659" s="1" t="str">
        <f>"BLUESTONE PROPERTY HOLDINGS LLC"</f>
        <v>BLUESTONE PROPERTY HOLDINGS LLC</v>
      </c>
      <c r="C1659" s="1" t="str">
        <f>"SESTOS DRIVE HAMILTON LAKES NORTH SECTION 1 LOT 5"</f>
        <v>SESTOS DRIVE HAMILTON LAKES NORTH SECTION 1 LOT 5</v>
      </c>
      <c r="D1659" s="1">
        <v>1638.48</v>
      </c>
    </row>
    <row r="1660" spans="1:4" x14ac:dyDescent="0.3">
      <c r="A1660" s="1" t="str">
        <f>"01012049400"</f>
        <v>01012049400</v>
      </c>
      <c r="B1660" s="1" t="str">
        <f>"BLUESTONE SOLUTIONS LLC"</f>
        <v>BLUESTONE SOLUTIONS LLC</v>
      </c>
      <c r="C1660" s="1" t="str">
        <f>"1603 BURLINGTON AVE THUNDERBIRD ACRES LOT 192"</f>
        <v>1603 BURLINGTON AVE THUNDERBIRD ACRES LOT 192</v>
      </c>
      <c r="D1660" s="1">
        <v>1259.31</v>
      </c>
    </row>
    <row r="1661" spans="1:4" x14ac:dyDescent="0.3">
      <c r="A1661" s="1" t="str">
        <f>"06000268000"</f>
        <v>06000268000</v>
      </c>
      <c r="B1661" s="1" t="str">
        <f>"BLUESTONE SOLUTIONS LLC"</f>
        <v>BLUESTONE SOLUTIONS LLC</v>
      </c>
      <c r="C1661" s="1" t="str">
        <f>"BRAUNING DR H C HUBER PLAT 38 SEC 2 1103"</f>
        <v>BRAUNING DR H C HUBER PLAT 38 SEC 2 1103</v>
      </c>
      <c r="D1661" s="1">
        <v>1665.79</v>
      </c>
    </row>
    <row r="1662" spans="1:4" x14ac:dyDescent="0.3">
      <c r="A1662" s="1" t="str">
        <f>"01027357400"</f>
        <v>01027357400</v>
      </c>
      <c r="B1662" s="1" t="str">
        <f>"BLUM KIMBERLY"</f>
        <v>BLUM KIMBERLY</v>
      </c>
      <c r="C1662" s="1" t="str">
        <f>"VILLAGE AT SHANNON GREEN S-F HOMES CONDOMINIUM 28TH AMD UNIT 181"</f>
        <v>VILLAGE AT SHANNON GREEN S-F HOMES CONDOMINIUM 28TH AMD UNIT 181</v>
      </c>
      <c r="D1662" s="1">
        <v>789.4</v>
      </c>
    </row>
    <row r="1663" spans="1:4" x14ac:dyDescent="0.3">
      <c r="A1663" s="1" t="str">
        <f>"57017771800"</f>
        <v>57017771800</v>
      </c>
      <c r="B1663" s="1" t="str">
        <f>"BLUMENTHAL ALAN JR, WILSON RICHARD W, WILSON ROBERT N"</f>
        <v>BLUMENTHAL ALAN JR, WILSON RICHARD W, WILSON ROBERT N</v>
      </c>
      <c r="C1663" s="1" t="str">
        <f>"SULLIVANT AVE GREENE COUNT 3 PH 1 LOT 205"</f>
        <v>SULLIVANT AVE GREENE COUNT 3 PH 1 LOT 205</v>
      </c>
      <c r="D1663" s="1">
        <v>3795.56</v>
      </c>
    </row>
    <row r="1664" spans="1:4" x14ac:dyDescent="0.3">
      <c r="A1664" s="1" t="str">
        <f>"01010714500"</f>
        <v>01010714500</v>
      </c>
      <c r="B1664" s="1" t="str">
        <f>"BLUNT BARBARA"</f>
        <v>BLUNT BARBARA</v>
      </c>
      <c r="C1664" s="1" t="str">
        <f>"KENLAWN ST KENMORE KNOLLS 2 LOT 72"</f>
        <v>KENLAWN ST KENMORE KNOLLS 2 LOT 72</v>
      </c>
      <c r="D1664" s="1">
        <v>1998.35</v>
      </c>
    </row>
    <row r="1665" spans="1:4" x14ac:dyDescent="0.3">
      <c r="A1665" s="1" t="str">
        <f>"01005930300"</f>
        <v>01005930300</v>
      </c>
      <c r="B1665" s="1" t="str">
        <f>"BM OHIO RENTALS LLC"</f>
        <v>BM OHIO RENTALS LLC</v>
      </c>
      <c r="C1665" s="1" t="str">
        <f>"AGLER AVE LINDEN TERR LOT 12"</f>
        <v>AGLER AVE LINDEN TERR LOT 12</v>
      </c>
      <c r="D1665" s="1">
        <v>2732.43</v>
      </c>
    </row>
    <row r="1666" spans="1:4" x14ac:dyDescent="0.3">
      <c r="A1666" s="1" t="str">
        <f>"04001402100"</f>
        <v>04001402100</v>
      </c>
      <c r="B1666" s="1" t="str">
        <f>"BMB INDUSTRY LLC"</f>
        <v>BMB INDUSTRY LLC</v>
      </c>
      <c r="C1666" s="1" t="str">
        <f>"THE CONDOMINIUM AT HERITAGE GLEN UNIT 3297HD"</f>
        <v>THE CONDOMINIUM AT HERITAGE GLEN UNIT 3297HD</v>
      </c>
      <c r="D1666" s="1">
        <v>1000.35</v>
      </c>
    </row>
    <row r="1667" spans="1:4" x14ac:dyDescent="0.3">
      <c r="A1667" s="1" t="str">
        <f>"56021323500"</f>
        <v>56021323500</v>
      </c>
      <c r="B1667" s="1" t="str">
        <f>"BMM PROPERTY SOLUTIONS LLC"</f>
        <v>BMM PROPERTY SOLUTIONS LLC</v>
      </c>
      <c r="C1667" s="1" t="str">
        <f>"SPRINGDALE BLVD CROSS CREEK VILLAGE SECTION 2 LOT 187"</f>
        <v>SPRINGDALE BLVD CROSS CREEK VILLAGE SECTION 2 LOT 187</v>
      </c>
      <c r="D1667" s="1">
        <v>3300</v>
      </c>
    </row>
    <row r="1668" spans="1:4" x14ac:dyDescent="0.3">
      <c r="A1668" s="1" t="str">
        <f>"56024229300"</f>
        <v>56024229300</v>
      </c>
      <c r="B1668" s="1" t="str">
        <f>"BMM PROPERTY SOLUTIONS LLC"</f>
        <v>BMM PROPERTY SOLUTIONS LLC</v>
      </c>
      <c r="C1668" s="1" t="str">
        <f>"YAGGER BAY DRIVE HILLIARD GREEN SECTION 5 LOT 395"</f>
        <v>YAGGER BAY DRIVE HILLIARD GREEN SECTION 5 LOT 395</v>
      </c>
      <c r="D1668" s="1">
        <v>4007.3</v>
      </c>
    </row>
    <row r="1669" spans="1:4" x14ac:dyDescent="0.3">
      <c r="A1669" s="1" t="str">
        <f>"10000293500"</f>
        <v>10000293500</v>
      </c>
      <c r="B1669" s="1" t="str">
        <f>"BNVH INVESTMENTS LLC"</f>
        <v>BNVH INVESTMENTS LLC</v>
      </c>
      <c r="C1669" s="1" t="str">
        <f>"1136-38-40-42 EASTFIELD RD WILSON HILL 4 PTS 141-140"</f>
        <v>1136-38-40-42 EASTFIELD RD WILSON HILL 4 PTS 141-140</v>
      </c>
      <c r="D1669" s="1">
        <v>15490.78</v>
      </c>
    </row>
    <row r="1670" spans="1:4" x14ac:dyDescent="0.3">
      <c r="A1670" s="1" t="str">
        <f>"01024335700"</f>
        <v>01024335700</v>
      </c>
      <c r="B1670" s="1" t="str">
        <f>"BO JACK LLC"</f>
        <v>BO JACK LLC</v>
      </c>
      <c r="C1670" s="1" t="str">
        <f>"FISHER RD ENTRY 6641-7065-1484 1.873 ACRES"</f>
        <v>FISHER RD ENTRY 6641-7065-1484 1.873 ACRES</v>
      </c>
      <c r="D1670" s="1">
        <v>7851.55</v>
      </c>
    </row>
    <row r="1671" spans="1:4" x14ac:dyDescent="0.3">
      <c r="A1671" s="1" t="str">
        <f>"61020614700"</f>
        <v>61020614700</v>
      </c>
      <c r="B1671" s="1" t="str">
        <f>"BOAKYE AKWASI"</f>
        <v>BOAKYE AKWASI</v>
      </c>
      <c r="C1671" s="1" t="str">
        <f>"WORTHINGTON HEIGHTS CONDO 3 RD AMD UNIT 164"</f>
        <v>WORTHINGTON HEIGHTS CONDO 3 RD AMD UNIT 164</v>
      </c>
      <c r="D1671" s="1">
        <v>5300.09</v>
      </c>
    </row>
    <row r="1672" spans="1:4" x14ac:dyDescent="0.3">
      <c r="A1672" s="1" t="str">
        <f>"07000213400"</f>
        <v>07000213400</v>
      </c>
      <c r="B1672" s="1" t="str">
        <f>"BOARDWALK STREET LLC"</f>
        <v>BOARDWALK STREET LLC</v>
      </c>
      <c r="C1672" s="1" t="str">
        <f>"LANE AVE 145 FT N END &amp; PT ALLEY VAC NORTH ARLINGTON 78"</f>
        <v>LANE AVE 145 FT N END &amp; PT ALLEY VAC NORTH ARLINGTON 78</v>
      </c>
      <c r="D1672" s="1">
        <v>707.7</v>
      </c>
    </row>
    <row r="1673" spans="1:4" x14ac:dyDescent="0.3">
      <c r="A1673" s="1" t="str">
        <f>"18000334700"</f>
        <v>18000334700</v>
      </c>
      <c r="B1673" s="1" t="str">
        <f>"BOARDWALK STREET LLC"</f>
        <v>BOARDWALK STREET LLC</v>
      </c>
      <c r="C1673" s="1" t="str">
        <f>"WYMORE PLC BLACKLICK ESTATES 3 703 "</f>
        <v xml:space="preserve">WYMORE PLC BLACKLICK ESTATES 3 703 </v>
      </c>
      <c r="D1673" s="1">
        <v>150.28</v>
      </c>
    </row>
    <row r="1674" spans="1:4" x14ac:dyDescent="0.3">
      <c r="A1674" s="1" t="str">
        <f>"15000047400"</f>
        <v>15000047400</v>
      </c>
      <c r="B1674" s="1" t="str">
        <f>"BOARDWALK STREET LLC"</f>
        <v>BOARDWALK STREET LLC</v>
      </c>
      <c r="C1674" s="1" t="str">
        <f>"DREXEL AVE WALNUT HEIGHTS LOTS 22 THRU 28"</f>
        <v>DREXEL AVE WALNUT HEIGHTS LOTS 22 THRU 28</v>
      </c>
      <c r="D1674" s="1">
        <v>186.71</v>
      </c>
    </row>
    <row r="1675" spans="1:4" x14ac:dyDescent="0.3">
      <c r="A1675" s="1" t="str">
        <f>"06000624700"</f>
        <v>06000624700</v>
      </c>
      <c r="B1675" s="1" t="str">
        <f>"BOARDWALK STREET LLC"</f>
        <v>BOARDWALK STREET LLC</v>
      </c>
      <c r="C1675" s="1" t="str">
        <f>"LIVINGSTON AVE R21 T12 S13 1/2S20 .425 ACRE"</f>
        <v>LIVINGSTON AVE R21 T12 S13 1/2S20 .425 ACRE</v>
      </c>
      <c r="D1675" s="1">
        <v>363.4</v>
      </c>
    </row>
    <row r="1676" spans="1:4" x14ac:dyDescent="0.3">
      <c r="A1676" s="1" t="str">
        <f>"08000545800"</f>
        <v>08000545800</v>
      </c>
      <c r="B1676" s="1" t="str">
        <f>"BOATENG SAMUEL A"</f>
        <v>BOATENG SAMUEL A</v>
      </c>
      <c r="C1676" s="1" t="str">
        <f>"HERITAGE CONDOMINIUM BLDG 15 UNIT 7-C"</f>
        <v>HERITAGE CONDOMINIUM BLDG 15 UNIT 7-C</v>
      </c>
      <c r="D1676" s="1">
        <v>307.86</v>
      </c>
    </row>
    <row r="1677" spans="1:4" x14ac:dyDescent="0.3">
      <c r="A1677" s="1" t="str">
        <f>"13000163400"</f>
        <v>13000163400</v>
      </c>
      <c r="B1677" s="1" t="str">
        <f>"BOB MORGAN LLC"</f>
        <v>BOB MORGAN LLC</v>
      </c>
      <c r="C1677" s="1" t="str">
        <f>"HESS BLVE UNIVERSITY VIEW 20 "</f>
        <v xml:space="preserve">HESS BLVE UNIVERSITY VIEW 20 </v>
      </c>
      <c r="D1677" s="1">
        <v>6491.08</v>
      </c>
    </row>
    <row r="1678" spans="1:4" x14ac:dyDescent="0.3">
      <c r="A1678" s="1" t="str">
        <f>"18500015900"</f>
        <v>18500015900</v>
      </c>
      <c r="B1678" s="1" t="str">
        <f>"BOB WARD FAMILY LIMITED PARTNERSHIP"</f>
        <v>BOB WARD FAMILY LIMITED PARTNERSHIP</v>
      </c>
      <c r="C1678" s="1" t="str">
        <f>"CHERRY ST LATHROP SUB5-6 25FT ES5&amp;ALL6 OUT 28-9"</f>
        <v>CHERRY ST LATHROP SUB5-6 25FT ES5&amp;ALL6 OUT 28-9</v>
      </c>
      <c r="D1678" s="1">
        <v>427.75</v>
      </c>
    </row>
    <row r="1679" spans="1:4" x14ac:dyDescent="0.3">
      <c r="A1679" s="1" t="str">
        <f>"01004435600"</f>
        <v>01004435600</v>
      </c>
      <c r="B1679" s="1" t="str">
        <f>"BOBINE PETER GOBER"</f>
        <v>BOBINE PETER GOBER</v>
      </c>
      <c r="C1679" s="1" t="str">
        <f>"832 S 5TH ST 55 FT WE S JAEGER LOT 13"</f>
        <v>832 S 5TH ST 55 FT WE S JAEGER LOT 13</v>
      </c>
      <c r="D1679" s="1">
        <v>6760.61</v>
      </c>
    </row>
    <row r="1680" spans="1:4" x14ac:dyDescent="0.3">
      <c r="A1680" s="1" t="str">
        <f>"03000207700"</f>
        <v>03000207700</v>
      </c>
      <c r="B1680" s="1" t="str">
        <f>"BOBJAN PROPERTIES LLC"</f>
        <v>BOBJAN PROPERTIES LLC</v>
      </c>
      <c r="C1680" s="1" t="str">
        <f>"1141-47 PARKWAY ST N NORTHWEST BLVD 5 LOT 29-30"</f>
        <v>1141-47 PARKWAY ST N NORTHWEST BLVD 5 LOT 29-30</v>
      </c>
      <c r="D1680" s="1">
        <v>6923.18</v>
      </c>
    </row>
    <row r="1681" spans="1:4" x14ac:dyDescent="0.3">
      <c r="A1681" s="1" t="str">
        <f>"01000010600"</f>
        <v>01000010600</v>
      </c>
      <c r="B1681" s="1" t="str">
        <f>"BOBJAN PROPERTIES LLC"</f>
        <v>BOBJAN PROPERTIES LLC</v>
      </c>
      <c r="C1681" s="1" t="str">
        <f>"978 THOMAS AVE AVONDALE LOT 189"</f>
        <v>978 THOMAS AVE AVONDALE LOT 189</v>
      </c>
      <c r="D1681" s="1">
        <v>1024.1500000000001</v>
      </c>
    </row>
    <row r="1682" spans="1:4" x14ac:dyDescent="0.3">
      <c r="A1682" s="1" t="str">
        <f>"01016349000"</f>
        <v>01016349000</v>
      </c>
      <c r="B1682" s="1" t="str">
        <f>"BOBSON SESAY BENJAMIN"</f>
        <v>BOBSON SESAY BENJAMIN</v>
      </c>
      <c r="C1682" s="1" t="str">
        <f>"ROCKWOOD COURT ROCKWOOD CT CONDOM UNIT R-42"</f>
        <v>ROCKWOOD COURT ROCKWOOD CT CONDOM UNIT R-42</v>
      </c>
      <c r="D1682" s="1">
        <v>91.61</v>
      </c>
    </row>
    <row r="1683" spans="1:4" x14ac:dyDescent="0.3">
      <c r="A1683" s="1" t="str">
        <f>"01012746800"</f>
        <v>01012746800</v>
      </c>
      <c r="B1683" s="1" t="str">
        <f>"BOCHRA ROSALIA"</f>
        <v>BOCHRA ROSALIA</v>
      </c>
      <c r="C1683" s="1" t="str">
        <f>"PINE HILLS LOT 108 "</f>
        <v xml:space="preserve">PINE HILLS LOT 108 </v>
      </c>
      <c r="D1683" s="1">
        <v>3232.13</v>
      </c>
    </row>
    <row r="1684" spans="1:4" x14ac:dyDescent="0.3">
      <c r="A1684" s="1" t="str">
        <f>"61029116400"</f>
        <v>61029116400</v>
      </c>
      <c r="B1684" s="1" t="str">
        <f>"BOCK GREGORY W M"</f>
        <v>BOCK GREGORY W M</v>
      </c>
      <c r="C1684" s="1" t="str">
        <f>"THE RAVINES AT FLINT PARK CONDOMINIUM PH XII 11TH AMD BLDG 3 UNIT 340"</f>
        <v>THE RAVINES AT FLINT PARK CONDOMINIUM PH XII 11TH AMD BLDG 3 UNIT 340</v>
      </c>
      <c r="D1684" s="1">
        <v>7738.08</v>
      </c>
    </row>
    <row r="1685" spans="1:4" x14ac:dyDescent="0.3">
      <c r="A1685" s="1" t="str">
        <f>"15000218100"</f>
        <v>15000218100</v>
      </c>
      <c r="B1685" s="1" t="str">
        <f>"BOCSY JOSEPH M, WARNING JOANN, BOCSY LUANN, BOCSY MARK S, BOCSY BARBARA A"</f>
        <v>BOCSY JOSEPH M, WARNING JOANN, BOCSY LUANN, BOCSY MARK S, BOCSY BARBARA A</v>
      </c>
      <c r="C1685" s="1" t="str">
        <f>"870 OLYMPIA DR HAMILTON MEADOWS 4 559"</f>
        <v>870 OLYMPIA DR HAMILTON MEADOWS 4 559</v>
      </c>
      <c r="D1685" s="1">
        <v>227.72</v>
      </c>
    </row>
    <row r="1686" spans="1:4" x14ac:dyDescent="0.3">
      <c r="A1686" s="1" t="str">
        <f>"01023741100"</f>
        <v>01023741100</v>
      </c>
      <c r="B1686" s="1" t="str">
        <f>"BOCZEK STEVEN"</f>
        <v>BOCZEK STEVEN</v>
      </c>
      <c r="C1686" s="1" t="str">
        <f>"BLENDON PARK CONDOMINIUM 4TH AMD UNIT 49B"</f>
        <v>BLENDON PARK CONDOMINIUM 4TH AMD UNIT 49B</v>
      </c>
      <c r="D1686" s="1">
        <v>634.82000000000005</v>
      </c>
    </row>
    <row r="1687" spans="1:4" x14ac:dyDescent="0.3">
      <c r="A1687" s="1" t="str">
        <f>"01007326300"</f>
        <v>01007326300</v>
      </c>
      <c r="B1687" s="1" t="str">
        <f>"BODDEN DANIEL C"</f>
        <v>BODDEN DANIEL C</v>
      </c>
      <c r="C1687" s="1" t="str">
        <f>"E 20TH AVE 974 25FT WSL 183&amp;20FT ESL 184 RICHMOND LT 183-184"</f>
        <v>E 20TH AVE 974 25FT WSL 183&amp;20FT ESL 184 RICHMOND LT 183-184</v>
      </c>
      <c r="D1687" s="1">
        <v>1468.91</v>
      </c>
    </row>
    <row r="1688" spans="1:4" x14ac:dyDescent="0.3">
      <c r="A1688" s="1" t="str">
        <f>"01012361700"</f>
        <v>01012361700</v>
      </c>
      <c r="B1688" s="1" t="str">
        <f>"BODDIE ANDREA T"</f>
        <v>BODDIE ANDREA T</v>
      </c>
      <c r="C1688" s="1" t="str">
        <f>"BURNABY DR S BERWICK 2 LOT 244"</f>
        <v>BURNABY DR S BERWICK 2 LOT 244</v>
      </c>
      <c r="D1688" s="1">
        <v>2052.67</v>
      </c>
    </row>
    <row r="1689" spans="1:4" x14ac:dyDescent="0.3">
      <c r="A1689" s="1" t="str">
        <f>"14300004700"</f>
        <v>14300004700</v>
      </c>
      <c r="B1689" s="1" t="str">
        <f>"BODE ERIC R, MURRAY ANNE M"</f>
        <v>BODE ERIC R, MURRAY ANNE M</v>
      </c>
      <c r="C1689" s="1" t="str">
        <f>"1594 CAMBRIDGE BLVD CAMBRIDGE PLACE LOT 20"</f>
        <v>1594 CAMBRIDGE BLVD CAMBRIDGE PLACE LOT 20</v>
      </c>
      <c r="D1689" s="1">
        <v>8593.43</v>
      </c>
    </row>
    <row r="1690" spans="1:4" x14ac:dyDescent="0.3">
      <c r="A1690" s="1" t="str">
        <f>"61018290600"</f>
        <v>61018290600</v>
      </c>
      <c r="B1690" s="1" t="str">
        <f>"BODI JANINE A"</f>
        <v>BODI JANINE A</v>
      </c>
      <c r="C1690" s="1" t="str">
        <f>"TORREYS PL SMOKY RIDGE EST SEC5 LOT 452"</f>
        <v>TORREYS PL SMOKY RIDGE EST SEC5 LOT 452</v>
      </c>
      <c r="D1690" s="1">
        <v>6686.42</v>
      </c>
    </row>
    <row r="1691" spans="1:4" x14ac:dyDescent="0.3">
      <c r="A1691" s="1" t="str">
        <f>"05000537900"</f>
        <v>05000537900</v>
      </c>
      <c r="B1691" s="1" t="str">
        <f>"BOECKMANN BRADLEY TR, BOECKMANN ERIC TR"</f>
        <v>BOECKMANN BRADLEY TR, BOECKMANN ERIC TR</v>
      </c>
      <c r="C1691" s="1" t="str">
        <f>"4803 SARASOTA DR BRITTON FARMS SEC 1 LOT 47"</f>
        <v>4803 SARASOTA DR BRITTON FARMS SEC 1 LOT 47</v>
      </c>
      <c r="D1691" s="1">
        <v>218.82</v>
      </c>
    </row>
    <row r="1692" spans="1:4" x14ac:dyDescent="0.3">
      <c r="A1692" s="1" t="str">
        <f>"57010407400"</f>
        <v>57010407400</v>
      </c>
      <c r="B1692" s="1" t="str">
        <f>"BOEHM F.P. II LLC"</f>
        <v>BOEHM F.P. II LLC</v>
      </c>
      <c r="C1692" s="1" t="str">
        <f>"HARDY PARKWAY ST 1.347AC FRANK RD INDUS PK 3 L RES J"</f>
        <v>HARDY PARKWAY ST 1.347AC FRANK RD INDUS PK 3 L RES J</v>
      </c>
      <c r="D1692" s="1">
        <v>9682.6</v>
      </c>
    </row>
    <row r="1693" spans="1:4" x14ac:dyDescent="0.3">
      <c r="A1693" s="1" t="str">
        <f>"02000317200"</f>
        <v>02000317200</v>
      </c>
      <c r="B1693" s="1" t="str">
        <f>"BOEKLEY WALTER J, BOEKLEY DONNA M"</f>
        <v>BOEKLEY WALTER J, BOEKLEY DONNA M</v>
      </c>
      <c r="C1693" s="1" t="str">
        <f>"2736 BEXLEY PK RD BEXLEY HIGHLAND AMD LOT 77 &amp; 4'ES LOT 76"</f>
        <v>2736 BEXLEY PK RD BEXLEY HIGHLAND AMD LOT 77 &amp; 4'ES LOT 76</v>
      </c>
      <c r="D1693" s="1">
        <v>8173.28</v>
      </c>
    </row>
    <row r="1694" spans="1:4" x14ac:dyDescent="0.3">
      <c r="A1694" s="1" t="str">
        <f>"01000330700"</f>
        <v>01000330700</v>
      </c>
      <c r="B1694" s="1" t="str">
        <f>"BOGAN BRENTON"</f>
        <v>BOGAN BRENTON</v>
      </c>
      <c r="C1694" s="1" t="str">
        <f>"1164 ST CLAIR AVE THEO WEYANT SUB 88"</f>
        <v>1164 ST CLAIR AVE THEO WEYANT SUB 88</v>
      </c>
      <c r="D1694" s="1">
        <v>1208.9100000000001</v>
      </c>
    </row>
    <row r="1695" spans="1:4" x14ac:dyDescent="0.3">
      <c r="A1695" s="1" t="str">
        <f>"01011632700"</f>
        <v>01011632700</v>
      </c>
      <c r="B1695" s="1" t="str">
        <f>"BOGART CLAY M TTEE, BOGART RUTH E TTEE"</f>
        <v>BOGART CLAY M TTEE, BOGART RUTH E TTEE</v>
      </c>
      <c r="C1695" s="1" t="str">
        <f>"4105 GARRETT DR W BEAUT VIEW LOT 22"</f>
        <v>4105 GARRETT DR W BEAUT VIEW LOT 22</v>
      </c>
      <c r="D1695" s="1">
        <v>4117.55</v>
      </c>
    </row>
    <row r="1696" spans="1:4" x14ac:dyDescent="0.3">
      <c r="A1696" s="1" t="str">
        <f>"01011340500"</f>
        <v>01011340500</v>
      </c>
      <c r="B1696" s="1" t="str">
        <f>"BOGGS AMBER, BOGGS DERIUS SR"</f>
        <v>BOGGS AMBER, BOGGS DERIUS SR</v>
      </c>
      <c r="C1696" s="1" t="str">
        <f>"GLENDOWER AVE CAMBRIA LOT 60"</f>
        <v>GLENDOWER AVE CAMBRIA LOT 60</v>
      </c>
      <c r="D1696" s="1">
        <v>9500.9</v>
      </c>
    </row>
    <row r="1697" spans="1:4" x14ac:dyDescent="0.3">
      <c r="A1697" s="1" t="str">
        <f>"01026738500"</f>
        <v>01026738500</v>
      </c>
      <c r="B1697" s="1" t="str">
        <f>"BOGGS ANDREW S"</f>
        <v>BOGGS ANDREW S</v>
      </c>
      <c r="C1697" s="1" t="str">
        <f>"VILLAGE AT EASTERN GLEN S-F HOMES CONDO 15TH AMD UNIT DESIGNATION 138"</f>
        <v>VILLAGE AT EASTERN GLEN S-F HOMES CONDO 15TH AMD UNIT DESIGNATION 138</v>
      </c>
      <c r="D1697" s="1">
        <v>3397.99</v>
      </c>
    </row>
    <row r="1698" spans="1:4" x14ac:dyDescent="0.3">
      <c r="A1698" s="1" t="str">
        <f>"04001268300"</f>
        <v>04001268300</v>
      </c>
      <c r="B1698" s="1" t="str">
        <f>"BOGGS ANGELINE, BOGGS RONALD"</f>
        <v>BOGGS ANGELINE, BOGGS RONALD</v>
      </c>
      <c r="C1698" s="1" t="str">
        <f>"FOUNTAINVIEW AT PARKWAY CONDOMINIUM UNIT 2-4319"</f>
        <v>FOUNTAINVIEW AT PARKWAY CONDOMINIUM UNIT 2-4319</v>
      </c>
      <c r="D1698" s="1">
        <v>2526.34</v>
      </c>
    </row>
    <row r="1699" spans="1:4" x14ac:dyDescent="0.3">
      <c r="A1699" s="1" t="str">
        <f>"57022081300"</f>
        <v>57022081300</v>
      </c>
      <c r="B1699" s="1" t="str">
        <f>"BOGGS BEAU"</f>
        <v>BOGGS BEAU</v>
      </c>
      <c r="C1699" s="1" t="str">
        <f>"CHESTERVIEW COURT WESTCHESTER SEC 1 LOT 9 = 0.201 ACRES"</f>
        <v>CHESTERVIEW COURT WESTCHESTER SEC 1 LOT 9 = 0.201 ACRES</v>
      </c>
      <c r="D1699" s="1">
        <v>4309.93</v>
      </c>
    </row>
    <row r="1700" spans="1:4" x14ac:dyDescent="0.3">
      <c r="A1700" s="1" t="str">
        <f>"23000044900"</f>
        <v>23000044900</v>
      </c>
      <c r="B1700" s="1" t="str">
        <f>"BOGGS BRIAN L TR, BOGGS CHRISTINA M TR"</f>
        <v>BOGGS BRIAN L TR, BOGGS CHRISTINA M TR</v>
      </c>
      <c r="C1700" s="1" t="str">
        <f>"GEORGESVILLE WRIGHTSVILLE ENTRY 6297 7.223 ACRES"</f>
        <v>GEORGESVILLE WRIGHTSVILLE ENTRY 6297 7.223 ACRES</v>
      </c>
      <c r="D1700" s="1">
        <v>8271.7999999999993</v>
      </c>
    </row>
    <row r="1701" spans="1:4" x14ac:dyDescent="0.3">
      <c r="A1701" s="1" t="str">
        <f>"24000673100"</f>
        <v>24000673100</v>
      </c>
      <c r="B1701" s="1" t="str">
        <f>"BOGGS CHRISTY D"</f>
        <v>BOGGS CHRISTY D</v>
      </c>
      <c r="C1701" s="1" t="str">
        <f>"MAPLE DR &amp; BROAD ST LITTLE FARMS IRR NE LOTS 475-476"</f>
        <v>MAPLE DR &amp; BROAD ST LITTLE FARMS IRR NE LOTS 475-476</v>
      </c>
      <c r="D1701" s="1">
        <v>338.42</v>
      </c>
    </row>
    <row r="1702" spans="1:4" x14ac:dyDescent="0.3">
      <c r="A1702" s="1" t="str">
        <f>"27300055300"</f>
        <v>27300055300</v>
      </c>
      <c r="B1702" s="1" t="str">
        <f>"BOGGS DEBORAH E, BERTHEL PHILLIP ANDREW"</f>
        <v>BOGGS DEBORAH E, BERTHEL PHILLIP ANDREW</v>
      </c>
      <c r="C1702" s="1" t="str">
        <f>"5455 INDIAN HILL RD RIVER FOREST LOT 102"</f>
        <v>5455 INDIAN HILL RD RIVER FOREST LOT 102</v>
      </c>
      <c r="D1702" s="1">
        <v>9490.3700000000008</v>
      </c>
    </row>
    <row r="1703" spans="1:4" x14ac:dyDescent="0.3">
      <c r="A1703" s="1" t="str">
        <f>"24000499000"</f>
        <v>24000499000</v>
      </c>
      <c r="B1703" s="1" t="str">
        <f>"BOGGS JANICE"</f>
        <v>BOGGS JANICE</v>
      </c>
      <c r="C1703" s="1" t="str">
        <f>"GREENER AVE S 1/2 W COLUMBUS PK LOT 98"</f>
        <v>GREENER AVE S 1/2 W COLUMBUS PK LOT 98</v>
      </c>
      <c r="D1703" s="1">
        <v>193.37</v>
      </c>
    </row>
    <row r="1704" spans="1:4" x14ac:dyDescent="0.3">
      <c r="A1704" s="1" t="str">
        <f>"24000114100"</f>
        <v>24000114100</v>
      </c>
      <c r="B1704" s="1" t="str">
        <f>"BOGGS JANICE"</f>
        <v>BOGGS JANICE</v>
      </c>
      <c r="C1704" s="1" t="str">
        <f>"GREENER AVE W COLUMBUS PK LOT 99"</f>
        <v>GREENER AVE W COLUMBUS PK LOT 99</v>
      </c>
      <c r="D1704" s="1">
        <v>1140.01</v>
      </c>
    </row>
    <row r="1705" spans="1:4" x14ac:dyDescent="0.3">
      <c r="A1705" s="1" t="str">
        <f>"05300057400"</f>
        <v>05300057400</v>
      </c>
      <c r="B1705" s="1" t="str">
        <f>"BOGGS MATTHEW M"</f>
        <v>BOGGS MATTHEW M</v>
      </c>
      <c r="C1705" s="1" t="str">
        <f>"TARLTON MEADOWS WEST SECTION 3 PHASE 2A LOT 14"</f>
        <v>TARLTON MEADOWS WEST SECTION 3 PHASE 2A LOT 14</v>
      </c>
      <c r="D1705" s="1">
        <v>576.48</v>
      </c>
    </row>
    <row r="1706" spans="1:4" x14ac:dyDescent="0.3">
      <c r="A1706" s="1" t="str">
        <f>"01012473700"</f>
        <v>01012473700</v>
      </c>
      <c r="B1706" s="1" t="str">
        <f>"BOGGS RONALD A"</f>
        <v>BOGGS RONALD A</v>
      </c>
      <c r="C1706" s="1" t="str">
        <f>"ROSEDALE AVE BROOKSHIRE PARK 3 LOT 47"</f>
        <v>ROSEDALE AVE BROOKSHIRE PARK 3 LOT 47</v>
      </c>
      <c r="D1706" s="1">
        <v>87.85</v>
      </c>
    </row>
    <row r="1707" spans="1:4" x14ac:dyDescent="0.3">
      <c r="A1707" s="1" t="str">
        <f>"01011255500"</f>
        <v>01011255500</v>
      </c>
      <c r="B1707" s="1" t="str">
        <f>"BOGGS STERLING L JR"</f>
        <v>BOGGS STERLING L JR</v>
      </c>
      <c r="C1707" s="1" t="str">
        <f>"178 FORNEFF LANE BERGERS LOT 8"</f>
        <v>178 FORNEFF LANE BERGERS LOT 8</v>
      </c>
      <c r="D1707" s="1">
        <v>1069.3599999999999</v>
      </c>
    </row>
    <row r="1708" spans="1:4" x14ac:dyDescent="0.3">
      <c r="A1708" s="1" t="str">
        <f>"23200002400"</f>
        <v>23200002400</v>
      </c>
      <c r="B1708" s="1" t="str">
        <f>"BOGGS ZANE, BOGGS SHANNA"</f>
        <v>BOGGS ZANE, BOGGS SHANNA</v>
      </c>
      <c r="C1708" s="1" t="str">
        <f>"LONDON GROVEPORT RD OQ 721 ENTRY 8423 2.499863 ACRES"</f>
        <v>LONDON GROVEPORT RD OQ 721 ENTRY 8423 2.499863 ACRES</v>
      </c>
      <c r="D1708" s="1">
        <v>317.83</v>
      </c>
    </row>
    <row r="1709" spans="1:4" x14ac:dyDescent="0.3">
      <c r="A1709" s="1" t="str">
        <f>"04000974200"</f>
        <v>04000974200</v>
      </c>
      <c r="B1709" s="1" t="str">
        <f>"BOGOLIN BRIAN D"</f>
        <v>BOGOLIN BRIAN D</v>
      </c>
      <c r="C1709" s="1" t="str">
        <f>"GREAT HUNTER DRIVE INDIAN TRAILS SECTION 11 LOT 512"</f>
        <v>GREAT HUNTER DRIVE INDIAN TRAILS SECTION 11 LOT 512</v>
      </c>
      <c r="D1709" s="1">
        <v>6277.01</v>
      </c>
    </row>
    <row r="1710" spans="1:4" x14ac:dyDescent="0.3">
      <c r="A1710" s="1" t="str">
        <f>"27300726400"</f>
        <v>27300726400</v>
      </c>
      <c r="B1710" s="1" t="str">
        <f>"BOHMAN ADAM W, BOHMAN CHRISTINE R"</f>
        <v>BOHMAN ADAM W, BOHMAN CHRISTINE R</v>
      </c>
      <c r="C1710" s="1" t="str">
        <f>"MAYNOOTH DRIVE DUBLINSHIRE SEC4 PH2 LOT 376"</f>
        <v>MAYNOOTH DRIVE DUBLINSHIRE SEC4 PH2 LOT 376</v>
      </c>
      <c r="D1710" s="1">
        <v>6289.59</v>
      </c>
    </row>
    <row r="1711" spans="1:4" x14ac:dyDescent="0.3">
      <c r="A1711" s="1" t="str">
        <f>"01029962500"</f>
        <v>01029962500</v>
      </c>
      <c r="B1711" s="1" t="str">
        <f>"BOHNET SANDRA, BOHNET BRYON"</f>
        <v>BOHNET SANDRA, BOHNET BRYON</v>
      </c>
      <c r="C1711" s="1" t="str">
        <f>"RETREAT AT WARNER CONDOMINIUM 4TH AMD UNIT 30"</f>
        <v>RETREAT AT WARNER CONDOMINIUM 4TH AMD UNIT 30</v>
      </c>
      <c r="D1711" s="1">
        <v>4521.96</v>
      </c>
    </row>
    <row r="1712" spans="1:4" x14ac:dyDescent="0.3">
      <c r="A1712" s="1" t="str">
        <f>"04001644300"</f>
        <v>04001644300</v>
      </c>
      <c r="B1712" s="1" t="str">
        <f>"BOIARSKI ANTHONY, BOIARSKI NANCY"</f>
        <v>BOIARSKI ANTHONY, BOIARSKI NANCY</v>
      </c>
      <c r="C1712" s="1" t="str">
        <f>"WOODSIDE AT HOLTON RUN CONDOMINIUM 1ST AMD UNIT 40"</f>
        <v>WOODSIDE AT HOLTON RUN CONDOMINIUM 1ST AMD UNIT 40</v>
      </c>
      <c r="D1712" s="1">
        <v>527.47</v>
      </c>
    </row>
    <row r="1713" spans="1:4" x14ac:dyDescent="0.3">
      <c r="A1713" s="1" t="str">
        <f>"01027767000"</f>
        <v>01027767000</v>
      </c>
      <c r="B1713" s="1" t="str">
        <f>"BOJORQUEZ MARIO"</f>
        <v>BOJORQUEZ MARIO</v>
      </c>
      <c r="C1713" s="1" t="str">
        <f>"THE BRUNSON               CONDOMINIUM               UNIT 1001                "</f>
        <v xml:space="preserve">THE BRUNSON               CONDOMINIUM               UNIT 1001                </v>
      </c>
      <c r="D1713" s="1">
        <v>3554.44</v>
      </c>
    </row>
    <row r="1714" spans="1:4" x14ac:dyDescent="0.3">
      <c r="A1714" s="1" t="str">
        <f>"01009845900"</f>
        <v>01009845900</v>
      </c>
      <c r="B1714" s="1" t="str">
        <f>"BOLDEN CARY ARNEZ"</f>
        <v>BOLDEN CARY ARNEZ</v>
      </c>
      <c r="C1714" s="1" t="str">
        <f>"26TH AVE NORLEA PARK LOT 202"</f>
        <v>26TH AVE NORLEA PARK LOT 202</v>
      </c>
      <c r="D1714" s="1">
        <v>69.64</v>
      </c>
    </row>
    <row r="1715" spans="1:4" x14ac:dyDescent="0.3">
      <c r="A1715" s="1" t="str">
        <f>"01003908900"</f>
        <v>01003908900</v>
      </c>
      <c r="B1715" s="1" t="str">
        <f>"BOLDEN TIMIERA"</f>
        <v>BOLDEN TIMIERA</v>
      </c>
      <c r="C1715" s="1" t="str">
        <f>"1438 KENT AVE KENTS SUB 81 &amp; 2.5FT ALLEY VAC KENTS SUB 81"</f>
        <v>1438 KENT AVE KENTS SUB 81 &amp; 2.5FT ALLEY VAC KENTS SUB 81</v>
      </c>
      <c r="D1715" s="1">
        <v>205.3</v>
      </c>
    </row>
    <row r="1716" spans="1:4" x14ac:dyDescent="0.3">
      <c r="A1716" s="1" t="str">
        <f>"03000110300"</f>
        <v>03000110300</v>
      </c>
      <c r="B1716" s="1" t="str">
        <f>"BOLDMAN LORI M"</f>
        <v>BOLDMAN LORI M</v>
      </c>
      <c r="C1716" s="1" t="str">
        <f>"871 GLADDEN RD NORTHWEST BLVD 4 LOT 393"</f>
        <v>871 GLADDEN RD NORTHWEST BLVD 4 LOT 393</v>
      </c>
      <c r="D1716" s="1">
        <v>4420.38</v>
      </c>
    </row>
    <row r="1717" spans="1:4" x14ac:dyDescent="0.3">
      <c r="A1717" s="1" t="str">
        <f>"57021830700"</f>
        <v>57021830700</v>
      </c>
      <c r="B1717" s="1" t="str">
        <f>"BOLEN MARY L"</f>
        <v>BOLEN MARY L</v>
      </c>
      <c r="C1717" s="1" t="str">
        <f>"TREEHAVEN LANE HEATHERBROOK SEC 1 LOT 51"</f>
        <v>TREEHAVEN LANE HEATHERBROOK SEC 1 LOT 51</v>
      </c>
      <c r="D1717" s="1">
        <v>1178.46</v>
      </c>
    </row>
    <row r="1718" spans="1:4" x14ac:dyDescent="0.3">
      <c r="A1718" s="1" t="str">
        <f>"04001371700"</f>
        <v>04001371700</v>
      </c>
      <c r="B1718" s="1" t="str">
        <f>"BOLIN WILLIAM SR, BOLIN MICHELLE"</f>
        <v>BOLIN WILLIAM SR, BOLIN MICHELLE</v>
      </c>
      <c r="C1718" s="1" t="str">
        <f>"4804 BELL CLASSIC DRIVE PINNACLE CLUB SECTION 3 LOT 402 EX ES 0.084 ACRE TRIANG SEC"</f>
        <v>4804 BELL CLASSIC DRIVE PINNACLE CLUB SECTION 3 LOT 402 EX ES 0.084 ACRE TRIANG SEC</v>
      </c>
      <c r="D1718" s="1">
        <v>5912.53</v>
      </c>
    </row>
    <row r="1719" spans="1:4" x14ac:dyDescent="0.3">
      <c r="A1719" s="1" t="str">
        <f>"23000021700"</f>
        <v>23000021700</v>
      </c>
      <c r="B1719" s="1" t="str">
        <f>"BOLTZ JUSTINE M"</f>
        <v>BOLTZ JUSTINE M</v>
      </c>
      <c r="C1719" s="1" t="str">
        <f>"HARRISBURG &amp; GEORGESVILLE RD ACRES 1.902"</f>
        <v>HARRISBURG &amp; GEORGESVILLE RD ACRES 1.902</v>
      </c>
      <c r="D1719" s="1">
        <v>1998.36</v>
      </c>
    </row>
    <row r="1720" spans="1:4" x14ac:dyDescent="0.3">
      <c r="A1720" s="1" t="str">
        <f>"23000027700"</f>
        <v>23000027700</v>
      </c>
      <c r="B1720" s="1" t="str">
        <f>"BOLTZ JUSTINE M"</f>
        <v>BOLTZ JUSTINE M</v>
      </c>
      <c r="C1720" s="1" t="str">
        <f>"'ARRISBURG- GEORGESVILLE RD ACRES 2.817 PAR 8URP"</f>
        <v>'ARRISBURG- GEORGESVILLE RD ACRES 2.817 PAR 8URP</v>
      </c>
      <c r="D1720" s="1">
        <v>5064.63</v>
      </c>
    </row>
    <row r="1721" spans="1:4" x14ac:dyDescent="0.3">
      <c r="A1721" s="1" t="str">
        <f>"09000756400"</f>
        <v>09000756400</v>
      </c>
      <c r="B1721" s="1" t="str">
        <f>"BOMA LLC"</f>
        <v>BOMA LLC</v>
      </c>
      <c r="C1721" s="1" t="str">
        <f>"101-103 YEARLING RD PINEWOOD CT LOT 5 "</f>
        <v xml:space="preserve">101-103 YEARLING RD PINEWOOD CT LOT 5 </v>
      </c>
      <c r="D1721" s="1">
        <v>2959.03</v>
      </c>
    </row>
    <row r="1722" spans="1:4" x14ac:dyDescent="0.3">
      <c r="A1722" s="1" t="str">
        <f>"56024170500"</f>
        <v>56024170500</v>
      </c>
      <c r="B1722" s="1" t="str">
        <f>"BONACCI HANNAH"</f>
        <v>BONACCI HANNAH</v>
      </c>
      <c r="C1722" s="1" t="str">
        <f>"LONGSPUR DRIVE LIMESTONE POINTE SEC 1 PART 1 LOT 6"</f>
        <v>LONGSPUR DRIVE LIMESTONE POINTE SEC 1 PART 1 LOT 6</v>
      </c>
      <c r="D1722" s="1">
        <v>767.03</v>
      </c>
    </row>
    <row r="1723" spans="1:4" x14ac:dyDescent="0.3">
      <c r="A1723" s="1" t="str">
        <f>"08000200000"</f>
        <v>08000200000</v>
      </c>
      <c r="B1723" s="1" t="str">
        <f>"BOND MATTHEW"</f>
        <v>BOND MATTHEW</v>
      </c>
      <c r="C1723" s="1" t="str">
        <f>"MARY AVE OTTERBEIN LOT 13 CITY OF WESTERVILLE"</f>
        <v>MARY AVE OTTERBEIN LOT 13 CITY OF WESTERVILLE</v>
      </c>
      <c r="D1723" s="1">
        <v>305.16000000000003</v>
      </c>
    </row>
    <row r="1724" spans="1:4" x14ac:dyDescent="0.3">
      <c r="A1724" s="1" t="str">
        <f>"01015296200"</f>
        <v>01015296200</v>
      </c>
      <c r="B1724" s="1" t="str">
        <f>"BOND ZINNY"</f>
        <v>BOND ZINNY</v>
      </c>
      <c r="C1724" s="1" t="str">
        <f>"1197 SUNNY HILL DR LAREN WOODS LOT 6"</f>
        <v>1197 SUNNY HILL DR LAREN WOODS LOT 6</v>
      </c>
      <c r="D1724" s="1">
        <v>231.01</v>
      </c>
    </row>
    <row r="1725" spans="1:4" x14ac:dyDescent="0.3">
      <c r="A1725" s="1" t="str">
        <f>"56024877000"</f>
        <v>56024877000</v>
      </c>
      <c r="B1725" s="1" t="str">
        <f>"BONDED CHEMICALS INC"</f>
        <v>BONDED CHEMICALS INC</v>
      </c>
      <c r="C1725" s="1" t="str">
        <f>"CHARTER ST WESTBELT BUSINESS PK WEST 8.7179 ACRES"</f>
        <v>CHARTER ST WESTBELT BUSINESS PK WEST 8.7179 ACRES</v>
      </c>
      <c r="D1725" s="1">
        <v>45050.34</v>
      </c>
    </row>
    <row r="1726" spans="1:4" x14ac:dyDescent="0.3">
      <c r="A1726" s="1" t="str">
        <f>"01004985900"</f>
        <v>01004985900</v>
      </c>
      <c r="B1726" s="1" t="str">
        <f>"BONELLI DEWAYNIA ANN, REINHART HARRY ROBERT"</f>
        <v>BONELLI DEWAYNIA ANN, REINHART HARRY ROBERT</v>
      </c>
      <c r="C1726" s="1" t="str">
        <f>"166 E BECK ST PARSON LOT 69"</f>
        <v>166 E BECK ST PARSON LOT 69</v>
      </c>
      <c r="D1726" s="1">
        <v>4093.12</v>
      </c>
    </row>
    <row r="1727" spans="1:4" x14ac:dyDescent="0.3">
      <c r="A1727" s="1" t="str">
        <f>"01010154000"</f>
        <v>01010154000</v>
      </c>
      <c r="B1727" s="1" t="str">
        <f>"BONGARD MARYBETH"</f>
        <v>BONGARD MARYBETH</v>
      </c>
      <c r="C1727" s="1" t="str">
        <f>"COTTINGHAM CT WEST BERWICK HTS 2 LOT 183"</f>
        <v>COTTINGHAM CT WEST BERWICK HTS 2 LOT 183</v>
      </c>
      <c r="D1727" s="1">
        <v>276.86</v>
      </c>
    </row>
    <row r="1728" spans="1:4" x14ac:dyDescent="0.3">
      <c r="A1728" s="1" t="str">
        <f>"17000125200"</f>
        <v>17000125200</v>
      </c>
      <c r="B1728" s="1" t="str">
        <f>"BONHAM KYLE"</f>
        <v>BONHAM KYLE</v>
      </c>
      <c r="C1728" s="1" t="str">
        <f>"3684 PAMELA DRIVE LUDWIGS ROCKY FKES 2 LOT 30 &amp; .283 ACRE"</f>
        <v>3684 PAMELA DRIVE LUDWIGS ROCKY FKES 2 LOT 30 &amp; .283 ACRE</v>
      </c>
      <c r="D1728" s="1">
        <v>403.11</v>
      </c>
    </row>
    <row r="1729" spans="1:4" x14ac:dyDescent="0.3">
      <c r="A1729" s="1" t="str">
        <f>"06000961600"</f>
        <v>06000961600</v>
      </c>
      <c r="B1729" s="1" t="str">
        <f>"BONILLA DENINSON"</f>
        <v>BONILLA DENINSON</v>
      </c>
      <c r="C1729" s="1" t="str">
        <f>"OAK VALLEY RD R20 T16 S17 1/2S9 1.088 ACRES"</f>
        <v>OAK VALLEY RD R20 T16 S17 1/2S9 1.088 ACRES</v>
      </c>
      <c r="D1729" s="1">
        <v>1728.53</v>
      </c>
    </row>
    <row r="1730" spans="1:4" x14ac:dyDescent="0.3">
      <c r="A1730" s="1" t="str">
        <f>"01007959700"</f>
        <v>01007959700</v>
      </c>
      <c r="B1730" s="1" t="str">
        <f>"BONILLA MILTON"</f>
        <v>BONILLA MILTON</v>
      </c>
      <c r="C1730" s="1" t="str">
        <f>"23RD AVE CLEVEMONT LOT 95"</f>
        <v>23RD AVE CLEVEMONT LOT 95</v>
      </c>
      <c r="D1730" s="1">
        <v>1982.12</v>
      </c>
    </row>
    <row r="1731" spans="1:4" x14ac:dyDescent="0.3">
      <c r="A1731" s="1" t="str">
        <f>"01006986000"</f>
        <v>01006986000</v>
      </c>
      <c r="B1731" s="1" t="str">
        <f>"BONNEAU ALEXANDER C, BONNEAU LIESL E"</f>
        <v>BONNEAU ALEXANDER C, BONNEAU LIESL E</v>
      </c>
      <c r="C1731" s="1" t="str">
        <f>"THORNWOOD PL BOULEVARD HEIGHTS LOT 62"</f>
        <v>THORNWOOD PL BOULEVARD HEIGHTS LOT 62</v>
      </c>
      <c r="D1731" s="1">
        <v>1224.9100000000001</v>
      </c>
    </row>
    <row r="1732" spans="1:4" x14ac:dyDescent="0.3">
      <c r="A1732" s="1" t="str">
        <f>"60021046700"</f>
        <v>60021046700</v>
      </c>
      <c r="B1732" s="1" t="str">
        <f>"BONNES MATTHEW, BONNES KATHRYN A"</f>
        <v>BONNES MATTHEW, BONNES KATHRYN A</v>
      </c>
      <c r="C1732" s="1" t="str">
        <f>"COACHFORD DRIVE WESTERFORD VILLAGE LOT 55"</f>
        <v>COACHFORD DRIVE WESTERFORD VILLAGE LOT 55</v>
      </c>
      <c r="D1732" s="1">
        <v>2297.92</v>
      </c>
    </row>
    <row r="1733" spans="1:4" x14ac:dyDescent="0.3">
      <c r="A1733" s="1" t="str">
        <f>"01014103000"</f>
        <v>01014103000</v>
      </c>
      <c r="B1733" s="1" t="str">
        <f>"BONOMI MARCELO, PELAYO MARIE HELENE"</f>
        <v>BONOMI MARCELO, PELAYO MARIE HELENE</v>
      </c>
      <c r="C1733" s="1" t="str">
        <f>"KENWICK RD BERWICK ESTATES LOT 111"</f>
        <v>KENWICK RD BERWICK ESTATES LOT 111</v>
      </c>
      <c r="D1733" s="1">
        <v>3099.32</v>
      </c>
    </row>
    <row r="1734" spans="1:4" x14ac:dyDescent="0.3">
      <c r="A1734" s="1" t="str">
        <f>"01028696400"</f>
        <v>01028696400</v>
      </c>
      <c r="B1734" s="1" t="str">
        <f>"BOOCOCK REVA J TR, BOOCOCK GERRY T TR"</f>
        <v>BOOCOCK REVA J TR, BOOCOCK GERRY T TR</v>
      </c>
      <c r="C1734" s="1" t="str">
        <f>"BROADWAY CONDOMINIUM 3RD AMD UNIT 7-4189"</f>
        <v>BROADWAY CONDOMINIUM 3RD AMD UNIT 7-4189</v>
      </c>
      <c r="D1734" s="1">
        <v>9.31</v>
      </c>
    </row>
    <row r="1735" spans="1:4" x14ac:dyDescent="0.3">
      <c r="A1735" s="1" t="str">
        <f>"01013341500"</f>
        <v>01013341500</v>
      </c>
      <c r="B1735" s="1" t="str">
        <f>"BOOKER ASHLEY N, BOOKER JEFFREY T JR, BOOKER AMANDA"</f>
        <v>BOOKER ASHLEY N, BOOKER JEFFREY T JR, BOOKER AMANDA</v>
      </c>
      <c r="C1735" s="1" t="str">
        <f>"ORSON DR SOUTHFIELD 3 LOT 314"</f>
        <v>ORSON DR SOUTHFIELD 3 LOT 314</v>
      </c>
      <c r="D1735" s="1">
        <v>1283.3800000000001</v>
      </c>
    </row>
    <row r="1736" spans="1:4" x14ac:dyDescent="0.3">
      <c r="A1736" s="1" t="str">
        <f>"01002600700"</f>
        <v>01002600700</v>
      </c>
      <c r="B1736" s="1" t="str">
        <f>"BOOKER JAMES TTEE"</f>
        <v>BOOKER JAMES TTEE</v>
      </c>
      <c r="C1736" s="1" t="str">
        <f>"48-50 W 8TH AVE FISHER HRS LOT 54"</f>
        <v>48-50 W 8TH AVE FISHER HRS LOT 54</v>
      </c>
      <c r="D1736" s="1">
        <v>8311.0400000000009</v>
      </c>
    </row>
    <row r="1737" spans="1:4" x14ac:dyDescent="0.3">
      <c r="A1737" s="1" t="str">
        <f>"01003002300"</f>
        <v>01003002300</v>
      </c>
      <c r="B1737" s="1" t="str">
        <f>"BOOKER JAMES TTEE"</f>
        <v>BOOKER JAMES TTEE</v>
      </c>
      <c r="C1737" s="1" t="str">
        <f>"83 W 5TH AVE WITTS AMD SUB 2"</f>
        <v>83 W 5TH AVE WITTS AMD SUB 2</v>
      </c>
      <c r="D1737" s="1">
        <v>3705.28</v>
      </c>
    </row>
    <row r="1738" spans="1:4" x14ac:dyDescent="0.3">
      <c r="A1738" s="1" t="str">
        <f>"01003307900"</f>
        <v>01003307900</v>
      </c>
      <c r="B1738" s="1" t="str">
        <f>"BOOKER JAMES TTEE"</f>
        <v>BOOKER JAMES TTEE</v>
      </c>
      <c r="C1738" s="1" t="str">
        <f>"31-33 W 8TH AVE 40X147.62 FT W 8TH AVE TONE TRACT"</f>
        <v>31-33 W 8TH AVE 40X147.62 FT W 8TH AVE TONE TRACT</v>
      </c>
      <c r="D1738" s="1">
        <v>7992.26</v>
      </c>
    </row>
    <row r="1739" spans="1:4" x14ac:dyDescent="0.3">
      <c r="A1739" s="1" t="str">
        <f>"01014484900"</f>
        <v>01014484900</v>
      </c>
      <c r="B1739" s="1" t="str">
        <f>"BOOKER JAMES TTEE"</f>
        <v>BOOKER JAMES TTEE</v>
      </c>
      <c r="C1739" s="1" t="str">
        <f>"FOREST PARK EAST SEC 2 LOT 167"</f>
        <v>FOREST PARK EAST SEC 2 LOT 167</v>
      </c>
      <c r="D1739" s="1">
        <v>1979.69</v>
      </c>
    </row>
    <row r="1740" spans="1:4" x14ac:dyDescent="0.3">
      <c r="A1740" s="1" t="str">
        <f>"01008781900"</f>
        <v>01008781900</v>
      </c>
      <c r="B1740" s="1" t="str">
        <f>"BOOKER JANET M"</f>
        <v>BOOKER JANET M</v>
      </c>
      <c r="C1740" s="1" t="str">
        <f>"2597 AVALON PL BEXLEY HTS AMD LOT 122"</f>
        <v>2597 AVALON PL BEXLEY HTS AMD LOT 122</v>
      </c>
      <c r="D1740" s="1">
        <v>976.66</v>
      </c>
    </row>
    <row r="1741" spans="1:4" x14ac:dyDescent="0.3">
      <c r="A1741" s="1" t="str">
        <f>"01005941500"</f>
        <v>01005941500</v>
      </c>
      <c r="B1741" s="1" t="str">
        <f>"BOOKER JANET M"</f>
        <v>BOOKER JANET M</v>
      </c>
      <c r="C1741" s="1" t="str">
        <f>"1506 ARLINGTON AVE WALDON LOT 35"</f>
        <v>1506 ARLINGTON AVE WALDON LOT 35</v>
      </c>
      <c r="D1741" s="1">
        <v>1042.47</v>
      </c>
    </row>
    <row r="1742" spans="1:4" x14ac:dyDescent="0.3">
      <c r="A1742" s="1" t="str">
        <f>"57019342100"</f>
        <v>57019342100</v>
      </c>
      <c r="B1742" s="1" t="str">
        <f>"BOOSE CHERYL J, DONALDSON THOMAS L"</f>
        <v>BOOSE CHERYL J, DONALDSON THOMAS L</v>
      </c>
      <c r="C1742" s="1" t="str">
        <f>"WESTMILLS DR WESTEN RUN SEC 1 LOT 34"</f>
        <v>WESTMILLS DR WESTEN RUN SEC 1 LOT 34</v>
      </c>
      <c r="D1742" s="1">
        <v>3645.46</v>
      </c>
    </row>
    <row r="1743" spans="1:4" x14ac:dyDescent="0.3">
      <c r="A1743" s="1" t="str">
        <f>"01010636000"</f>
        <v>01010636000</v>
      </c>
      <c r="B1743" s="1" t="str">
        <f>"BOPP DOMINICK ROBERT"</f>
        <v>BOPP DOMINICK ROBERT</v>
      </c>
      <c r="C1743" s="1" t="str">
        <f>"HUXLEY DR LEA WOOD GARDENS LOT 259"</f>
        <v>HUXLEY DR LEA WOOD GARDENS LOT 259</v>
      </c>
      <c r="D1743" s="1">
        <v>1582.68</v>
      </c>
    </row>
    <row r="1744" spans="1:4" x14ac:dyDescent="0.3">
      <c r="A1744" s="1" t="str">
        <f>"01019103500"</f>
        <v>01019103500</v>
      </c>
      <c r="B1744" s="1" t="str">
        <f>"BORDAN PHILLIP, BORDAN KRISTIE"</f>
        <v>BORDAN PHILLIP, BORDAN KRISTIE</v>
      </c>
      <c r="C1744" s="1" t="str">
        <f>"WORTHNTON FOREST PLC WORTH FOREST CONDO UNIT 5481"</f>
        <v>WORTHNTON FOREST PLC WORTH FOREST CONDO UNIT 5481</v>
      </c>
      <c r="D1744" s="1">
        <v>1701.82</v>
      </c>
    </row>
    <row r="1745" spans="1:4" x14ac:dyDescent="0.3">
      <c r="A1745" s="1" t="str">
        <f>"01003905400"</f>
        <v>01003905400</v>
      </c>
      <c r="B1745" s="1" t="str">
        <f>"BORDEN LANCE A, BORDEN OWEN M"</f>
        <v>BORDEN LANCE A, BORDEN OWEN M</v>
      </c>
      <c r="C1745" s="1" t="str">
        <f>"2659 ADAMS AVE GEORGE WILLIAMS LOT210"</f>
        <v>2659 ADAMS AVE GEORGE WILLIAMS LOT210</v>
      </c>
      <c r="D1745" s="1">
        <v>221.63</v>
      </c>
    </row>
    <row r="1746" spans="1:4" x14ac:dyDescent="0.3">
      <c r="A1746" s="1" t="str">
        <f>"01027553700"</f>
        <v>01027553700</v>
      </c>
      <c r="B1746" s="1" t="str">
        <f>"BORELLI SCOTT A"</f>
        <v>BORELLI SCOTT A</v>
      </c>
      <c r="C1746" s="1" t="str">
        <f>"4034 TRADE ROYAL CROSSING TOWN SQUARE VILLAGES AT   PRESERVE CROSS S-1 LOT 8 "</f>
        <v xml:space="preserve">4034 TRADE ROYAL CROSSING TOWN SQUARE VILLAGES AT   PRESERVE CROSS S-1 LOT 8 </v>
      </c>
      <c r="D1746" s="1">
        <v>102.55</v>
      </c>
    </row>
    <row r="1747" spans="1:4" x14ac:dyDescent="0.3">
      <c r="A1747" s="1" t="str">
        <f>"59018018600"</f>
        <v>59018018600</v>
      </c>
      <c r="B1747" s="1" t="str">
        <f>"BORGIA VITTORIO A"</f>
        <v>BORGIA VITTORIO A</v>
      </c>
      <c r="C1747" s="1" t="str">
        <f>"FRALEY DR MCKITRICK ESTATES 6 LOT 131"</f>
        <v>FRALEY DR MCKITRICK ESTATES 6 LOT 131</v>
      </c>
      <c r="D1747" s="1">
        <v>352.6</v>
      </c>
    </row>
    <row r="1748" spans="1:4" x14ac:dyDescent="0.3">
      <c r="A1748" s="1" t="str">
        <f>"09000813400"</f>
        <v>09000813400</v>
      </c>
      <c r="B1748" s="1" t="str">
        <f>"BORI SAID M, GUIDAR FATOUMA A"</f>
        <v>BORI SAID M, GUIDAR FATOUMA A</v>
      </c>
      <c r="C1748" s="1" t="str">
        <f>"467 E SHELL CT FOXFIRE VILLAGE COND BLDG I UNIT 467"</f>
        <v>467 E SHELL CT FOXFIRE VILLAGE COND BLDG I UNIT 467</v>
      </c>
      <c r="D1748" s="1">
        <v>681.32</v>
      </c>
    </row>
    <row r="1749" spans="1:4" x14ac:dyDescent="0.3">
      <c r="A1749" s="1" t="str">
        <f>"02000102400"</f>
        <v>02000102400</v>
      </c>
      <c r="B1749" s="1" t="str">
        <f>"BORICH BENJAMIN W, BORICH SARAH J"</f>
        <v>BORICH BENJAMIN W, BORICH SARAH J</v>
      </c>
      <c r="C1749" s="1" t="str">
        <f>"198 N ROOSEVELT AVE ARDMORE 2 LOT 463"</f>
        <v>198 N ROOSEVELT AVE ARDMORE 2 LOT 463</v>
      </c>
      <c r="D1749" s="1">
        <v>831.6</v>
      </c>
    </row>
    <row r="1750" spans="1:4" x14ac:dyDescent="0.3">
      <c r="A1750" s="1" t="str">
        <f>"03000023800"</f>
        <v>03000023800</v>
      </c>
      <c r="B1750" s="1" t="str">
        <f>"BORKOWSKI BRIAN J, BORKOWSKI MELISSA"</f>
        <v>BORKOWSKI BRIAN J, BORKOWSKI MELISSA</v>
      </c>
      <c r="C1750" s="1" t="str">
        <f>"1906 W FIRST AVE W1/2 489 ALL 490 GLADDINGTON HTS"</f>
        <v>1906 W FIRST AVE W1/2 489 ALL 490 GLADDINGTON HTS</v>
      </c>
      <c r="D1750" s="1">
        <v>14781.09</v>
      </c>
    </row>
    <row r="1751" spans="1:4" x14ac:dyDescent="0.3">
      <c r="A1751" s="1" t="str">
        <f>"01006096900"</f>
        <v>01006096900</v>
      </c>
      <c r="B1751" s="1" t="str">
        <f>"BORNA GHAPANDARA KASHAN"</f>
        <v>BORNA GHAPANDARA KASHAN</v>
      </c>
      <c r="C1751" s="1" t="str">
        <f>"1527 HUDSON ST MAPLE VIEW LOT 16"</f>
        <v>1527 HUDSON ST MAPLE VIEW LOT 16</v>
      </c>
      <c r="D1751" s="1">
        <v>1208.43</v>
      </c>
    </row>
    <row r="1752" spans="1:4" x14ac:dyDescent="0.3">
      <c r="A1752" s="1" t="str">
        <f>"56021875200"</f>
        <v>56021875200</v>
      </c>
      <c r="B1752" s="1" t="str">
        <f>"BOROUJERDI MITRA"</f>
        <v>BOROUJERDI MITRA</v>
      </c>
      <c r="C1752" s="1" t="str">
        <f>"HILLIARD HEIGHTS CONDO #2 5TH AMD UNIT 31C"</f>
        <v>HILLIARD HEIGHTS CONDO #2 5TH AMD UNIT 31C</v>
      </c>
      <c r="D1752" s="1">
        <v>1278.28</v>
      </c>
    </row>
    <row r="1753" spans="1:4" x14ac:dyDescent="0.3">
      <c r="A1753" s="1" t="str">
        <f>"22200133500"</f>
        <v>22200133500</v>
      </c>
      <c r="B1753" s="1" t="str">
        <f>"BOROVETZ JEFFREY H TTEE"</f>
        <v>BOROVETZ JEFFREY H TTEE</v>
      </c>
      <c r="C1753" s="1" t="str">
        <f>"14 EDGE OF WOODS NEW ALBANY COUNTRY CLUB SEC 9 LOT 14"</f>
        <v>14 EDGE OF WOODS NEW ALBANY COUNTRY CLUB SEC 9 LOT 14</v>
      </c>
      <c r="D1753" s="1">
        <v>15238.87</v>
      </c>
    </row>
    <row r="1754" spans="1:4" x14ac:dyDescent="0.3">
      <c r="A1754" s="1" t="str">
        <f>"12000120700"</f>
        <v>12000120700</v>
      </c>
      <c r="B1754" s="1" t="str">
        <f>"BORTON CHAD"</f>
        <v>BORTON CHAD</v>
      </c>
      <c r="C1754" s="1" t="str">
        <f>"DELLINGER RD ENTRY 1045 5.003 ACRES"</f>
        <v>DELLINGER RD ENTRY 1045 5.003 ACRES</v>
      </c>
      <c r="D1754" s="1">
        <v>7884.81</v>
      </c>
    </row>
    <row r="1755" spans="1:4" x14ac:dyDescent="0.3">
      <c r="A1755" s="1" t="str">
        <f>"59022720900"</f>
        <v>59022720900</v>
      </c>
      <c r="B1755" s="1" t="str">
        <f>"BOSE ROMI N"</f>
        <v>BOSE ROMI N</v>
      </c>
      <c r="C1755" s="1" t="str">
        <f>"DELBURN CT RIVERSIDE GLEN LOT 52"</f>
        <v>DELBURN CT RIVERSIDE GLEN LOT 52</v>
      </c>
      <c r="D1755" s="1">
        <v>3405.09</v>
      </c>
    </row>
    <row r="1756" spans="1:4" x14ac:dyDescent="0.3">
      <c r="A1756" s="1" t="str">
        <f>"01009726700"</f>
        <v>01009726700</v>
      </c>
      <c r="B1756" s="1" t="str">
        <f>"BOSEKER PAMELA A"</f>
        <v>BOSEKER PAMELA A</v>
      </c>
      <c r="C1756" s="1" t="str">
        <f>"COLERAIN AVE INDIAN SPGS VIL PTS BLKS P H N M &amp; K LT 20BLK P"</f>
        <v>COLERAIN AVE INDIAN SPGS VIL PTS BLKS P H N M &amp; K LT 20BLK P</v>
      </c>
      <c r="D1756" s="1">
        <v>328.61</v>
      </c>
    </row>
    <row r="1757" spans="1:4" x14ac:dyDescent="0.3">
      <c r="A1757" s="1" t="str">
        <f>"04000071000"</f>
        <v>04000071000</v>
      </c>
      <c r="B1757" s="1" t="str">
        <f>"BOSO MICHAEL P, BOSO KASSY J"</f>
        <v>BOSO MICHAEL P, BOSO KASSY J</v>
      </c>
      <c r="C1757" s="1" t="str">
        <f>"000 COLUMBUS STREET 87 GROVE CITY N 1/2 LO 52"</f>
        <v>000 COLUMBUS STREET 87 GROVE CITY N 1/2 LO 52</v>
      </c>
      <c r="D1757" s="1">
        <v>463.67</v>
      </c>
    </row>
    <row r="1758" spans="1:4" x14ac:dyDescent="0.3">
      <c r="A1758" s="1" t="str">
        <f>"61015933600"</f>
        <v>61015933600</v>
      </c>
      <c r="B1758" s="1" t="str">
        <f>"BOSOLD JONATHAN, BOSOLD ERIN"</f>
        <v>BOSOLD JONATHAN, BOSOLD ERIN</v>
      </c>
      <c r="C1758" s="1" t="str">
        <f>"7627 INNBROOK PLACE WORTHINGTON HILLS 6 LOT 78"</f>
        <v>7627 INNBROOK PLACE WORTHINGTON HILLS 6 LOT 78</v>
      </c>
      <c r="D1758" s="1">
        <v>9051.26</v>
      </c>
    </row>
    <row r="1759" spans="1:4" x14ac:dyDescent="0.3">
      <c r="A1759" s="1" t="str">
        <f>"01007642400"</f>
        <v>01007642400</v>
      </c>
      <c r="B1759" s="1" t="str">
        <f>"BOSS GENERAL CONTRACTING &amp; MORE LLC"</f>
        <v>BOSS GENERAL CONTRACTING &amp; MORE LLC</v>
      </c>
      <c r="C1759" s="1" t="str">
        <f>"927 E 18TH AVE HIGHLAND PLACE LOT 155"</f>
        <v>927 E 18TH AVE HIGHLAND PLACE LOT 155</v>
      </c>
      <c r="D1759" s="1">
        <v>1704.7</v>
      </c>
    </row>
    <row r="1760" spans="1:4" x14ac:dyDescent="0.3">
      <c r="A1760" s="1" t="str">
        <f>"01011881100"</f>
        <v>01011881100</v>
      </c>
      <c r="B1760" s="1" t="str">
        <f>"BOSS GENERAL CONTRACTING &amp; MORE LLC"</f>
        <v>BOSS GENERAL CONTRACTING &amp; MORE LLC</v>
      </c>
      <c r="C1760" s="1" t="str">
        <f>"ELM RD CATALPA PARK 2 LOT 97"</f>
        <v>ELM RD CATALPA PARK 2 LOT 97</v>
      </c>
      <c r="D1760" s="1">
        <v>2.9</v>
      </c>
    </row>
    <row r="1761" spans="1:4" x14ac:dyDescent="0.3">
      <c r="A1761" s="1" t="str">
        <f>"01008012900"</f>
        <v>01008012900</v>
      </c>
      <c r="B1761" s="1" t="str">
        <f>"BOSSARD KEITH M, BOSSARD ANN L"</f>
        <v>BOSSARD KEITH M, BOSSARD ANN L</v>
      </c>
      <c r="C1761" s="1" t="str">
        <f>"N HIGH ST 18 1 2 1-4 TWP ACRES .105 "</f>
        <v xml:space="preserve">N HIGH ST 18 1 2 1-4 TWP ACRES .105 </v>
      </c>
      <c r="D1761" s="1">
        <v>10.62</v>
      </c>
    </row>
    <row r="1762" spans="1:4" x14ac:dyDescent="0.3">
      <c r="A1762" s="1" t="str">
        <f>"58025987900"</f>
        <v>58025987900</v>
      </c>
      <c r="B1762" s="1" t="str">
        <f>"BOSSART ROBERT J TR"</f>
        <v>BOSSART ROBERT J TR</v>
      </c>
      <c r="C1762" s="1" t="str">
        <f>"2160 LANE WOODS DR CONDO AT LANE WOODS 2 AMD UNIT 2160 BLDG 6"</f>
        <v>2160 LANE WOODS DR CONDO AT LANE WOODS 2 AMD UNIT 2160 BLDG 6</v>
      </c>
      <c r="D1762" s="1">
        <v>646.29</v>
      </c>
    </row>
    <row r="1763" spans="1:4" x14ac:dyDescent="0.3">
      <c r="A1763" s="1" t="str">
        <f>"17000344700"</f>
        <v>17000344700</v>
      </c>
      <c r="B1763" s="1" t="str">
        <f>"BOSTER CAROL L TR"</f>
        <v>BOSTER CAROL L TR</v>
      </c>
      <c r="C1763" s="1" t="str">
        <f>"JEFFERSON VILLAGE CONDOMINIUM 7TH AMD UNIT 11"</f>
        <v>JEFFERSON VILLAGE CONDOMINIUM 7TH AMD UNIT 11</v>
      </c>
      <c r="D1763" s="1">
        <v>549.78</v>
      </c>
    </row>
    <row r="1764" spans="1:4" x14ac:dyDescent="0.3">
      <c r="A1764" s="1" t="str">
        <f>"10000449800"</f>
        <v>10000449800</v>
      </c>
      <c r="B1764" s="1" t="str">
        <f>"BOTELHO JOHN, JONES CAROLYN"</f>
        <v>BOTELHO JOHN, JONES CAROLYN</v>
      </c>
      <c r="C1764" s="1" t="str">
        <f>"6617 MASEFIELD ST LOT 246 RES D .079 ACRES WORTHINGWAY 4"</f>
        <v>6617 MASEFIELD ST LOT 246 RES D .079 ACRES WORTHINGWAY 4</v>
      </c>
      <c r="D1764" s="1">
        <v>5255.28</v>
      </c>
    </row>
    <row r="1765" spans="1:4" x14ac:dyDescent="0.3">
      <c r="A1765" s="1" t="str">
        <f>"01027560100"</f>
        <v>01027560100</v>
      </c>
      <c r="B1765" s="1" t="str">
        <f>"BOTERO SUSANA A, PINEIROS MARIA"</f>
        <v>BOTERO SUSANA A, PINEIROS MARIA</v>
      </c>
      <c r="C1765" s="1" t="str">
        <f>"WHITE OAK PARK CONDOMINIUM 5TH AMD BLDG 3 UNIT 3-4766"</f>
        <v>WHITE OAK PARK CONDOMINIUM 5TH AMD BLDG 3 UNIT 3-4766</v>
      </c>
      <c r="D1765" s="1">
        <v>588.03</v>
      </c>
    </row>
    <row r="1766" spans="1:4" x14ac:dyDescent="0.3">
      <c r="A1766" s="1" t="str">
        <f>"01003800700"</f>
        <v>01003800700</v>
      </c>
      <c r="B1766" s="1" t="str">
        <f>"BOTTI JOSEPH N, BOTTI CYNTHIA S"</f>
        <v>BOTTI JOSEPH N, BOTTI CYNTHIA S</v>
      </c>
      <c r="C1766" s="1" t="str">
        <f>"2651-3 INDIANOLA AVE INDIANOLA PARK VIEW 3 LOT 77"</f>
        <v>2651-3 INDIANOLA AVE INDIANOLA PARK VIEW 3 LOT 77</v>
      </c>
      <c r="D1766" s="1">
        <v>6764.86</v>
      </c>
    </row>
    <row r="1767" spans="1:4" x14ac:dyDescent="0.3">
      <c r="A1767" s="1" t="str">
        <f>"01005790500"</f>
        <v>01005790500</v>
      </c>
      <c r="B1767" s="1" t="str">
        <f>"BOTTS STEVEN N TOD"</f>
        <v>BOTTS STEVEN N TOD</v>
      </c>
      <c r="C1767" s="1" t="str">
        <f>"123 ORCHARD LN KENWORTH PL SUBD LOT 108"</f>
        <v>123 ORCHARD LN KENWORTH PL SUBD LOT 108</v>
      </c>
      <c r="D1767" s="1">
        <v>266.2</v>
      </c>
    </row>
    <row r="1768" spans="1:4" x14ac:dyDescent="0.3">
      <c r="A1768" s="1" t="str">
        <f>"01004389600"</f>
        <v>01004389600</v>
      </c>
      <c r="B1768" s="1" t="str">
        <f>"BOUCHACHI SOUMYA"</f>
        <v>BOUCHACHI SOUMYA</v>
      </c>
      <c r="C1768" s="1" t="str">
        <f>"200 N HAGUE AVE HILLCREST LOT 5"</f>
        <v>200 N HAGUE AVE HILLCREST LOT 5</v>
      </c>
      <c r="D1768" s="1">
        <v>60.34</v>
      </c>
    </row>
    <row r="1769" spans="1:4" x14ac:dyDescent="0.3">
      <c r="A1769" s="1" t="str">
        <f>"07001036500"</f>
        <v>07001036500</v>
      </c>
      <c r="B1769" s="1" t="str">
        <f>"BOUCHER TIMOTHY"</f>
        <v>BOUCHER TIMOTHY</v>
      </c>
      <c r="C1769" s="1" t="str">
        <f>"2270 CHELTENHAM RD SHELBOURNE-KIPLING LOT 10"</f>
        <v>2270 CHELTENHAM RD SHELBOURNE-KIPLING LOT 10</v>
      </c>
      <c r="D1769" s="1">
        <v>6086.35</v>
      </c>
    </row>
    <row r="1770" spans="1:4" x14ac:dyDescent="0.3">
      <c r="A1770" s="1" t="str">
        <f>"01004052600"</f>
        <v>01004052600</v>
      </c>
      <c r="B1770" s="1" t="str">
        <f>"BOULTON &amp; TRACHT PROPERTIES LLC"</f>
        <v>BOULTON &amp; TRACHT PROPERTIES LLC</v>
      </c>
      <c r="C1770" s="1" t="str">
        <f>"320 JOHNSON HORN LOT 19"</f>
        <v>320 JOHNSON HORN LOT 19</v>
      </c>
      <c r="D1770" s="1">
        <v>2246.19</v>
      </c>
    </row>
    <row r="1771" spans="1:4" x14ac:dyDescent="0.3">
      <c r="A1771" s="1" t="str">
        <f>"01010425000"</f>
        <v>01010425000</v>
      </c>
      <c r="B1771" s="1" t="str">
        <f>"BOUZIANE MOHAMED A"</f>
        <v>BOUZIANE MOHAMED A</v>
      </c>
      <c r="C1771" s="1" t="str">
        <f>"FREBIS AVE SOUTHMOOR LOT 1-2"</f>
        <v>FREBIS AVE SOUTHMOOR LOT 1-2</v>
      </c>
      <c r="D1771" s="1">
        <v>159.22999999999999</v>
      </c>
    </row>
    <row r="1772" spans="1:4" x14ac:dyDescent="0.3">
      <c r="A1772" s="1" t="str">
        <f>"56021157300"</f>
        <v>56021157300</v>
      </c>
      <c r="B1772" s="1" t="str">
        <f>"BOVA RICHARD S, BOVA RHONDA R"</f>
        <v>BOVA RICHARD S, BOVA RHONDA R</v>
      </c>
      <c r="C1772" s="1" t="str">
        <f>"BRESSLER DRIVE WESTWIND SECTION 1 LOT 13"</f>
        <v>BRESSLER DRIVE WESTWIND SECTION 1 LOT 13</v>
      </c>
      <c r="D1772" s="1">
        <v>3612.92</v>
      </c>
    </row>
    <row r="1773" spans="1:4" x14ac:dyDescent="0.3">
      <c r="A1773" s="1" t="str">
        <f>"02501305000"</f>
        <v>02501305000</v>
      </c>
      <c r="B1773" s="1" t="str">
        <f>"BOWEN ARLENE E"</f>
        <v>BOWEN ARLENE E</v>
      </c>
      <c r="C1773" s="1" t="str">
        <f>"GAHANNA GROVE CONDOMINIUM 1ST AMD BLDG 7 UNIT 706"</f>
        <v>GAHANNA GROVE CONDOMINIUM 1ST AMD BLDG 7 UNIT 706</v>
      </c>
      <c r="D1773" s="1">
        <v>2356.67</v>
      </c>
    </row>
    <row r="1774" spans="1:4" x14ac:dyDescent="0.3">
      <c r="A1774" s="1" t="str">
        <f>"58025905000"</f>
        <v>58025905000</v>
      </c>
      <c r="B1774" s="1" t="str">
        <f>"BOWEN COMPANY LTD (THE)"</f>
        <v>BOWEN COMPANY LTD (THE)</v>
      </c>
      <c r="C1774" s="1" t="str">
        <f>"LANE WOODS DRIVE LANE WOODS LOTS 14-15 &amp; NE LOT 13"</f>
        <v>LANE WOODS DRIVE LANE WOODS LOTS 14-15 &amp; NE LOT 13</v>
      </c>
      <c r="D1774" s="1">
        <v>3939.77</v>
      </c>
    </row>
    <row r="1775" spans="1:4" x14ac:dyDescent="0.3">
      <c r="A1775" s="1" t="str">
        <f>"60021482400"</f>
        <v>60021482400</v>
      </c>
      <c r="B1775" s="1" t="str">
        <f>"BOWEN JESSIE E JR, BOWEN MARIA D"</f>
        <v>BOWEN JESSIE E JR, BOWEN MARIA D</v>
      </c>
      <c r="C1775" s="1" t="str">
        <f>"WESTBAY DRIVE WESTERN CREEK PART 1 LOT 60"</f>
        <v>WESTBAY DRIVE WESTERN CREEK PART 1 LOT 60</v>
      </c>
      <c r="D1775" s="1">
        <v>173.67</v>
      </c>
    </row>
    <row r="1776" spans="1:4" x14ac:dyDescent="0.3">
      <c r="A1776" s="1" t="str">
        <f>"01000963900"</f>
        <v>01000963900</v>
      </c>
      <c r="B1776" s="1" t="str">
        <f>"BOWER KATHY S"</f>
        <v>BOWER KATHY S</v>
      </c>
      <c r="C1776" s="1" t="str">
        <f>"34 E CALIFORNIA AVE JONES NORTH HIGH ST LOT 9"</f>
        <v>34 E CALIFORNIA AVE JONES NORTH HIGH ST LOT 9</v>
      </c>
      <c r="D1776" s="1">
        <v>530.61</v>
      </c>
    </row>
    <row r="1777" spans="1:4" x14ac:dyDescent="0.3">
      <c r="A1777" s="1" t="str">
        <f>"01010421200"</f>
        <v>01010421200</v>
      </c>
      <c r="B1777" s="1" t="str">
        <f>"BOWERS IRVIN L"</f>
        <v>BOWERS IRVIN L</v>
      </c>
      <c r="C1777" s="1" t="str">
        <f>"1430 FREBIS AVE ACRES .394 DED OF GATES ST"</f>
        <v>1430 FREBIS AVE ACRES .394 DED OF GATES ST</v>
      </c>
      <c r="D1777" s="1">
        <v>2957.54</v>
      </c>
    </row>
    <row r="1778" spans="1:4" x14ac:dyDescent="0.3">
      <c r="A1778" s="1" t="str">
        <f>"01009597000"</f>
        <v>01009597000</v>
      </c>
      <c r="B1778" s="1" t="str">
        <f>"BOWERS JASON"</f>
        <v>BOWERS JASON</v>
      </c>
      <c r="C1778" s="1" t="str">
        <f>"WELDON PARK LOT 35 "</f>
        <v xml:space="preserve">WELDON PARK LOT 35 </v>
      </c>
      <c r="D1778" s="1">
        <v>2852.01</v>
      </c>
    </row>
    <row r="1779" spans="1:4" x14ac:dyDescent="0.3">
      <c r="A1779" s="1" t="str">
        <f>"01004696700"</f>
        <v>01004696700</v>
      </c>
      <c r="B1779" s="1" t="str">
        <f>"BOWERS JASON A, BOWERS JULIE A"</f>
        <v>BOWERS JASON A, BOWERS JULIE A</v>
      </c>
      <c r="C1779" s="1" t="str">
        <f>"1380 FORSYTHE AVE DENNISON PLACE LOT 212"</f>
        <v>1380 FORSYTHE AVE DENNISON PLACE LOT 212</v>
      </c>
      <c r="D1779" s="1">
        <v>7354.28</v>
      </c>
    </row>
    <row r="1780" spans="1:4" x14ac:dyDescent="0.3">
      <c r="A1780" s="1" t="str">
        <f>"01000466700"</f>
        <v>01000466700</v>
      </c>
      <c r="B1780" s="1" t="str">
        <f>"BOWERS JASON A, BOWERS JULIE A"</f>
        <v>BOWERS JASON A, BOWERS JULIE A</v>
      </c>
      <c r="C1780" s="1" t="str">
        <f>"60 MCMILLEN AVE STAGES 2ND LOT 11"</f>
        <v>60 MCMILLEN AVE STAGES 2ND LOT 11</v>
      </c>
      <c r="D1780" s="1">
        <v>14220.28</v>
      </c>
    </row>
    <row r="1781" spans="1:4" x14ac:dyDescent="0.3">
      <c r="A1781" s="1" t="str">
        <f>"05000377100"</f>
        <v>05000377100</v>
      </c>
      <c r="B1781" s="1" t="str">
        <f>"BOWERS TIMOTHY L TTEE, ACUNIS-BOWERS LYNN E TTEE"</f>
        <v>BOWERS TIMOTHY L TTEE, ACUNIS-BOWERS LYNN E TTEE</v>
      </c>
      <c r="C1781" s="1" t="str">
        <f>"5000 HARVEST MEADOW HEATHER RIDGE SEC 2 LOT 102"</f>
        <v>5000 HARVEST MEADOW HEATHER RIDGE SEC 2 LOT 102</v>
      </c>
      <c r="D1781" s="1">
        <v>5000</v>
      </c>
    </row>
    <row r="1782" spans="1:4" x14ac:dyDescent="0.3">
      <c r="A1782" s="1" t="str">
        <f>"15000063100"</f>
        <v>15000063100</v>
      </c>
      <c r="B1782" s="1" t="str">
        <f>"BOWERS WILLIMA L"</f>
        <v>BOWERS WILLIMA L</v>
      </c>
      <c r="C1782" s="1" t="str">
        <f>"DAUGHERTY AVE LOT 319 WALNUT HTS PLUS ALLEY VAC"</f>
        <v>DAUGHERTY AVE LOT 319 WALNUT HTS PLUS ALLEY VAC</v>
      </c>
      <c r="D1782" s="1">
        <v>326.22000000000003</v>
      </c>
    </row>
    <row r="1783" spans="1:4" x14ac:dyDescent="0.3">
      <c r="A1783" s="1" t="str">
        <f>"15000063300"</f>
        <v>15000063300</v>
      </c>
      <c r="B1783" s="1" t="str">
        <f>"BOWERS WILLIMA L"</f>
        <v>BOWERS WILLIMA L</v>
      </c>
      <c r="C1783" s="1" t="str">
        <f>"2033 DAUGHERTY AVE WALNUT HTS LOT 321 "</f>
        <v xml:space="preserve">2033 DAUGHERTY AVE WALNUT HTS LOT 321 </v>
      </c>
      <c r="D1783" s="1">
        <v>1745.42</v>
      </c>
    </row>
    <row r="1784" spans="1:4" x14ac:dyDescent="0.3">
      <c r="A1784" s="1" t="str">
        <f>"23000053200"</f>
        <v>23000053200</v>
      </c>
      <c r="B1784" s="1" t="str">
        <f>"BOWLES KAREN, BOWLES CRAIG"</f>
        <v>BOWLES KAREN, BOWLES CRAIG</v>
      </c>
      <c r="C1784" s="1" t="str">
        <f>"7121 GAY RD. 4.119 AC "</f>
        <v xml:space="preserve">7121 GAY RD. 4.119 AC </v>
      </c>
      <c r="D1784" s="1">
        <v>2889.13</v>
      </c>
    </row>
    <row r="1785" spans="1:4" x14ac:dyDescent="0.3">
      <c r="A1785" s="1" t="str">
        <f>"01013921800"</f>
        <v>01013921800</v>
      </c>
      <c r="B1785" s="1" t="str">
        <f>"BOWLES PHYLLIS"</f>
        <v>BOWLES PHYLLIS</v>
      </c>
      <c r="C1785" s="1" t="str">
        <f>"WILLIAMS RD HAYES PARCEL LOT 8"</f>
        <v>WILLIAMS RD HAYES PARCEL LOT 8</v>
      </c>
      <c r="D1785" s="1">
        <v>88.57</v>
      </c>
    </row>
    <row r="1786" spans="1:4" x14ac:dyDescent="0.3">
      <c r="A1786" s="1" t="str">
        <f>"01013921900"</f>
        <v>01013921900</v>
      </c>
      <c r="B1786" s="1" t="str">
        <f>"BOWLES PHYLLIS L"</f>
        <v>BOWLES PHYLLIS L</v>
      </c>
      <c r="C1786" s="1" t="str">
        <f>"LEWIS RD HAYES PARCELS LOT 9"</f>
        <v>LEWIS RD HAYES PARCELS LOT 9</v>
      </c>
      <c r="D1786" s="1">
        <v>100.98</v>
      </c>
    </row>
    <row r="1787" spans="1:4" x14ac:dyDescent="0.3">
      <c r="A1787" s="1" t="str">
        <f>"01001869700"</f>
        <v>01001869700</v>
      </c>
      <c r="B1787" s="1" t="str">
        <f>"BOWMAN &amp; HALL REALTY LLC"</f>
        <v>BOWMAN &amp; HALL REALTY LLC</v>
      </c>
      <c r="C1787" s="1" t="str">
        <f>"985 LINWOOD AVE STUDER AMD LOT 184"</f>
        <v>985 LINWOOD AVE STUDER AMD LOT 184</v>
      </c>
      <c r="D1787" s="1">
        <v>1721.12</v>
      </c>
    </row>
    <row r="1788" spans="1:4" x14ac:dyDescent="0.3">
      <c r="A1788" s="1" t="str">
        <f>"02000283400"</f>
        <v>02000283400</v>
      </c>
      <c r="B1788" s="1" t="str">
        <f>"BOWMAN AARON W, BOWMAN CHRISTINE M"</f>
        <v>BOWMAN AARON W, BOWMAN CHRISTINE M</v>
      </c>
      <c r="C1788" s="1" t="str">
        <f>"2391 BRENTWOOD RD BEXLEY PARK 106-7"</f>
        <v>2391 BRENTWOOD RD BEXLEY PARK 106-7</v>
      </c>
      <c r="D1788" s="1">
        <v>3029.14</v>
      </c>
    </row>
    <row r="1789" spans="1:4" x14ac:dyDescent="0.3">
      <c r="A1789" s="1" t="str">
        <f>"05000645600"</f>
        <v>05000645600</v>
      </c>
      <c r="B1789" s="1" t="str">
        <f>"BOWMAN JARRED M, BOWMAN KELLI"</f>
        <v>BOWMAN JARRED M, BOWMAN KELLI</v>
      </c>
      <c r="C1789" s="1" t="str">
        <f>"4688 BRITTONHURST DR CARRINGTON PLACE SECTION 2 LOT 99"</f>
        <v>4688 BRITTONHURST DR CARRINGTON PLACE SECTION 2 LOT 99</v>
      </c>
      <c r="D1789" s="1">
        <v>642.53</v>
      </c>
    </row>
    <row r="1790" spans="1:4" x14ac:dyDescent="0.3">
      <c r="A1790" s="1" t="str">
        <f>"07000548600"</f>
        <v>07000548600</v>
      </c>
      <c r="B1790" s="1" t="str">
        <f>"BOWMAN JEFFREY"</f>
        <v>BOWMAN JEFFREY</v>
      </c>
      <c r="C1790" s="1" t="str">
        <f>"BRISTOL RD RIVER RIDGE 19 BLK 6"</f>
        <v>BRISTOL RD RIVER RIDGE 19 BLK 6</v>
      </c>
      <c r="D1790" s="1">
        <v>994.66</v>
      </c>
    </row>
    <row r="1791" spans="1:4" x14ac:dyDescent="0.3">
      <c r="A1791" s="1" t="str">
        <f>"15300041500"</f>
        <v>15300041500</v>
      </c>
      <c r="B1791" s="1" t="str">
        <f>"BOWMAN JOHN L, BOWMAN MELA"</f>
        <v>BOWMAN JOHN L, BOWMAN MELA</v>
      </c>
      <c r="C1791" s="1" t="str">
        <f>"MAUREEN BLVD S ELKS ACRES SEC 2 LOT 145"</f>
        <v>MAUREEN BLVD S ELKS ACRES SEC 2 LOT 145</v>
      </c>
      <c r="D1791" s="1">
        <v>448.75</v>
      </c>
    </row>
    <row r="1792" spans="1:4" x14ac:dyDescent="0.3">
      <c r="A1792" s="1" t="str">
        <f>"17000143500"</f>
        <v>17000143500</v>
      </c>
      <c r="B1792" s="1" t="str">
        <f>"BOWMAN JOSEPH C, BOWMAN CARROLL A"</f>
        <v>BOWMAN JOSEPH C, BOWMAN CARROLL A</v>
      </c>
      <c r="C1792" s="1" t="str">
        <f>"3386 MANN RD R16 T1 1/4T2 13.776 ACRES"</f>
        <v>3386 MANN RD R16 T1 1/4T2 13.776 ACRES</v>
      </c>
      <c r="D1792" s="1">
        <v>13994.68</v>
      </c>
    </row>
    <row r="1793" spans="1:4" x14ac:dyDescent="0.3">
      <c r="A1793" s="1" t="str">
        <f>"10000362700"</f>
        <v>10000362700</v>
      </c>
      <c r="B1793" s="1" t="str">
        <f>"BOWMAN KIMBERLY A"</f>
        <v>BOWMAN KIMBERLY A</v>
      </c>
      <c r="C1793" s="1" t="str">
        <f>"265 LAMBOUNE AVE WORTHINGTON ESTATES LOT 13 BLK J"</f>
        <v>265 LAMBOUNE AVE WORTHINGTON ESTATES LOT 13 BLK J</v>
      </c>
      <c r="D1793" s="1">
        <v>416.01</v>
      </c>
    </row>
    <row r="1794" spans="1:4" x14ac:dyDescent="0.3">
      <c r="A1794" s="1" t="str">
        <f>"24000030500"</f>
        <v>24000030500</v>
      </c>
      <c r="B1794" s="1" t="str">
        <f>"BOWMAN LOCKIE"</f>
        <v>BOWMAN LOCKIE</v>
      </c>
      <c r="C1794" s="1" t="str">
        <f>"281 MIX AVENUE WEST COLUMBUS PARK LOTS 210-212"</f>
        <v>281 MIX AVENUE WEST COLUMBUS PARK LOTS 210-212</v>
      </c>
      <c r="D1794" s="1">
        <v>2234.58</v>
      </c>
    </row>
    <row r="1795" spans="1:4" x14ac:dyDescent="0.3">
      <c r="A1795" s="1" t="str">
        <f>"01001050700"</f>
        <v>01001050700</v>
      </c>
      <c r="B1795" s="1" t="str">
        <f>"BOWMAN ROBERT J"</f>
        <v>BOWMAN ROBERT J</v>
      </c>
      <c r="C1795" s="1" t="str">
        <f>"GIBBARD AVE BIDLEMAN LOT 137"</f>
        <v>GIBBARD AVE BIDLEMAN LOT 137</v>
      </c>
      <c r="D1795" s="1">
        <v>277.16000000000003</v>
      </c>
    </row>
    <row r="1796" spans="1:4" x14ac:dyDescent="0.3">
      <c r="A1796" s="1" t="str">
        <f>"13000433800"</f>
        <v>13000433800</v>
      </c>
      <c r="B1796" s="1" t="str">
        <f>"BOWMAN RUEBEN G, BOWMAN EARLINE J"</f>
        <v>BOWMAN RUEBEN G, BOWMAN EARLINE J</v>
      </c>
      <c r="C1796" s="1" t="str">
        <f>"MECCA RD ALL25&amp;1/2 24 NORTHERN WAY LOT 24-25"</f>
        <v>MECCA RD ALL25&amp;1/2 24 NORTHERN WAY LOT 24-25</v>
      </c>
      <c r="D1796" s="1">
        <v>1057.4100000000001</v>
      </c>
    </row>
    <row r="1797" spans="1:4" x14ac:dyDescent="0.3">
      <c r="A1797" s="1" t="str">
        <f>"01004598000"</f>
        <v>01004598000</v>
      </c>
      <c r="B1797" s="1" t="str">
        <f>"BOWMAN THALLISSA L"</f>
        <v>BOWMAN THALLISSA L</v>
      </c>
      <c r="C1797" s="1" t="str">
        <f>"SEVENTH AVE CASSADYS 5TH AVE LOT65"</f>
        <v>SEVENTH AVE CASSADYS 5TH AVE LOT65</v>
      </c>
      <c r="D1797" s="1">
        <v>872.1</v>
      </c>
    </row>
    <row r="1798" spans="1:4" x14ac:dyDescent="0.3">
      <c r="A1798" s="1" t="str">
        <f>"01003258200"</f>
        <v>01003258200</v>
      </c>
      <c r="B1798" s="1" t="str">
        <f>"BOWNES RUBY"</f>
        <v>BOWNES RUBY</v>
      </c>
      <c r="C1798" s="1" t="str">
        <f>"CHAMPION AVE MAC LAUGHLIN PLACE LOT 97"</f>
        <v>CHAMPION AVE MAC LAUGHLIN PLACE LOT 97</v>
      </c>
      <c r="D1798" s="1">
        <v>170.56</v>
      </c>
    </row>
    <row r="1799" spans="1:4" x14ac:dyDescent="0.3">
      <c r="A1799" s="1" t="str">
        <f>"01009282900"</f>
        <v>01009282900</v>
      </c>
      <c r="B1799" s="1" t="str">
        <f>"BOYCE DAYLE"</f>
        <v>BOYCE DAYLE</v>
      </c>
      <c r="C1799" s="1" t="str">
        <f>"COLUMBIA AVE BEXLEY HTS AMD LOT 17"</f>
        <v>COLUMBIA AVE BEXLEY HTS AMD LOT 17</v>
      </c>
      <c r="D1799" s="1">
        <v>117.23</v>
      </c>
    </row>
    <row r="1800" spans="1:4" x14ac:dyDescent="0.3">
      <c r="A1800" s="1" t="str">
        <f>"01016688500"</f>
        <v>01016688500</v>
      </c>
      <c r="B1800" s="1" t="str">
        <f>"BOYCE DAYLE"</f>
        <v>BOYCE DAYLE</v>
      </c>
      <c r="C1800" s="1" t="str">
        <f>"2123 SCHENLEY DRIVE AMVET HOMESTEAD 2 LOT 13 BLK M"</f>
        <v>2123 SCHENLEY DRIVE AMVET HOMESTEAD 2 LOT 13 BLK M</v>
      </c>
      <c r="D1800" s="1">
        <v>64.290000000000006</v>
      </c>
    </row>
    <row r="1801" spans="1:4" x14ac:dyDescent="0.3">
      <c r="A1801" s="1" t="str">
        <f>"05300079800"</f>
        <v>05300079800</v>
      </c>
      <c r="B1801" s="1" t="str">
        <f>"BOYCHUK BRANDON, DOUD JENNIFER"</f>
        <v>BOYCHUK BRANDON, DOUD JENNIFER</v>
      </c>
      <c r="C1801" s="1" t="str">
        <f>"ALTON PLACE SECTION 1 PHASE 1 LOT 71"</f>
        <v>ALTON PLACE SECTION 1 PHASE 1 LOT 71</v>
      </c>
      <c r="D1801" s="1">
        <v>21355.93</v>
      </c>
    </row>
    <row r="1802" spans="1:4" x14ac:dyDescent="0.3">
      <c r="A1802" s="1" t="str">
        <f>"01012605500"</f>
        <v>01012605500</v>
      </c>
      <c r="B1802" s="1" t="str">
        <f>"BOYD JAMES J, BOYD MARGARET A"</f>
        <v>BOYD JAMES J, BOYD MARGARET A</v>
      </c>
      <c r="C1802" s="1" t="str">
        <f>"DENSMORE RD CLINTON ESTATES 5 LOT 201"</f>
        <v>DENSMORE RD CLINTON ESTATES 5 LOT 201</v>
      </c>
      <c r="D1802" s="1">
        <v>2500.64</v>
      </c>
    </row>
    <row r="1803" spans="1:4" x14ac:dyDescent="0.3">
      <c r="A1803" s="1" t="str">
        <f>"01016561200"</f>
        <v>01016561200</v>
      </c>
      <c r="B1803" s="1" t="str">
        <f>"BOYD MARY ALICE"</f>
        <v>BOYD MARY ALICE</v>
      </c>
      <c r="C1803" s="1" t="str">
        <f>"PLANTATION LAKES CONDOMINIUM BLDG 16 UNIT D"</f>
        <v>PLANTATION LAKES CONDOMINIUM BLDG 16 UNIT D</v>
      </c>
      <c r="D1803" s="1">
        <v>850.15</v>
      </c>
    </row>
    <row r="1804" spans="1:4" x14ac:dyDescent="0.3">
      <c r="A1804" s="1" t="str">
        <f>"01012273000"</f>
        <v>01012273000</v>
      </c>
      <c r="B1804" s="1" t="str">
        <f>"BOYD MICHAEL J A SR"</f>
        <v>BOYD MICHAEL J A SR</v>
      </c>
      <c r="C1804" s="1" t="str">
        <f>"864 LYMAN AVE CARVER LOT 105"</f>
        <v>864 LYMAN AVE CARVER LOT 105</v>
      </c>
      <c r="D1804" s="1">
        <v>1875.32</v>
      </c>
    </row>
    <row r="1805" spans="1:4" x14ac:dyDescent="0.3">
      <c r="A1805" s="1" t="str">
        <f>"15000186000"</f>
        <v>15000186000</v>
      </c>
      <c r="B1805" s="1" t="str">
        <f>"BOYD OPAL, BOYD JENELL, BOYD DARYL"</f>
        <v>BOYD OPAL, BOYD JENELL, BOYD DARYL</v>
      </c>
      <c r="C1805" s="1" t="str">
        <f>"5167 EDGEVIEW RD HAMILTON MEADOWS 2 LOT 238"</f>
        <v>5167 EDGEVIEW RD HAMILTON MEADOWS 2 LOT 238</v>
      </c>
      <c r="D1805" s="1">
        <v>243.83</v>
      </c>
    </row>
    <row r="1806" spans="1:4" x14ac:dyDescent="0.3">
      <c r="A1806" s="1" t="str">
        <f>"06000743400"</f>
        <v>06000743400</v>
      </c>
      <c r="B1806" s="1" t="str">
        <f>"BOYER CECILIA C, BOYER DOUGLAS F"</f>
        <v>BOYER CECILIA C, BOYER DOUGLAS F</v>
      </c>
      <c r="C1806" s="1" t="str">
        <f>"2059 WAYFARING DRIVE FARMINGTON SECTION 3 LOT 90"</f>
        <v>2059 WAYFARING DRIVE FARMINGTON SECTION 3 LOT 90</v>
      </c>
      <c r="D1806" s="1">
        <v>272.04000000000002</v>
      </c>
    </row>
    <row r="1807" spans="1:4" x14ac:dyDescent="0.3">
      <c r="A1807" s="1" t="str">
        <f>"01012538300"</f>
        <v>01012538300</v>
      </c>
      <c r="B1807" s="1" t="str">
        <f>"BOYER DORA, BOYER LEWIS W, BOYER GEORGE A, BOYER ALLEN R, LACEY ELLA MAE B, BARIAN CONSTANCE A B, HART MARY C B, FULLER CLIFFORD L"</f>
        <v>BOYER DORA, BOYER LEWIS W, BOYER GEORGE A, BOYER ALLEN R, LACEY ELLA MAE B, BARIAN CONSTANCE A B, HART MARY C B, FULLER CLIFFORD L</v>
      </c>
      <c r="C1807" s="1" t="str">
        <f>"WEIRTON DR SOUTHFIELD 2ND LOT 188"</f>
        <v>WEIRTON DR SOUTHFIELD 2ND LOT 188</v>
      </c>
      <c r="D1807" s="1">
        <v>1275.98</v>
      </c>
    </row>
    <row r="1808" spans="1:4" x14ac:dyDescent="0.3">
      <c r="A1808" s="1" t="str">
        <f>"01013080200"</f>
        <v>01013080200</v>
      </c>
      <c r="B1808" s="1" t="str">
        <f>"BOYER GREG T TTEE, ROSE RENEE TTEE"</f>
        <v>BOYER GREG T TTEE, ROSE RENEE TTEE</v>
      </c>
      <c r="C1808" s="1" t="str">
        <f>"KENNY RD. KENDALE SEC 1 LOT 100"</f>
        <v>KENNY RD. KENDALE SEC 1 LOT 100</v>
      </c>
      <c r="D1808" s="1">
        <v>882.48</v>
      </c>
    </row>
    <row r="1809" spans="1:4" x14ac:dyDescent="0.3">
      <c r="A1809" s="1" t="str">
        <f>"01007559400"</f>
        <v>01007559400</v>
      </c>
      <c r="B1809" s="1" t="str">
        <f>"BOYER W SHARON"</f>
        <v>BOYER W SHARON</v>
      </c>
      <c r="C1809" s="1" t="str">
        <f>"GERBERT RD HOMESTEAD HEIGHTS LOT 257"</f>
        <v>GERBERT RD HOMESTEAD HEIGHTS LOT 257</v>
      </c>
      <c r="D1809" s="1">
        <v>41.43</v>
      </c>
    </row>
    <row r="1810" spans="1:4" x14ac:dyDescent="0.3">
      <c r="A1810" s="1" t="str">
        <f>"05000447800"</f>
        <v>05000447800</v>
      </c>
      <c r="B1810" s="1" t="str">
        <f>"BOYERS MICHAEL J"</f>
        <v>BOYERS MICHAEL J</v>
      </c>
      <c r="C1810" s="1" t="str">
        <f>"2728 OAKSIDE CT BROOKFIELD VILLAGE SECTION 2 LOT 149"</f>
        <v>2728 OAKSIDE CT BROOKFIELD VILLAGE SECTION 2 LOT 149</v>
      </c>
      <c r="D1810" s="1">
        <v>487.43</v>
      </c>
    </row>
    <row r="1811" spans="1:4" x14ac:dyDescent="0.3">
      <c r="A1811" s="1" t="str">
        <f>"24100128900"</f>
        <v>24100128900</v>
      </c>
      <c r="B1811" s="1" t="str">
        <f>"BOYKO NICOLAY, BOYKO INNA"</f>
        <v>BOYKO NICOLAY, BOYKO INNA</v>
      </c>
      <c r="C1811" s="1" t="str">
        <f>"MILITARY DRIVE WESTPOINT 2 SECTION 3 LOT 373"</f>
        <v>MILITARY DRIVE WESTPOINT 2 SECTION 3 LOT 373</v>
      </c>
      <c r="D1811" s="1">
        <v>9610.86</v>
      </c>
    </row>
    <row r="1812" spans="1:4" x14ac:dyDescent="0.3">
      <c r="A1812" s="1" t="str">
        <f>"17000522200"</f>
        <v>17000522200</v>
      </c>
      <c r="B1812" s="1" t="str">
        <f>"BOYLE DEIN"</f>
        <v>BOYLE DEIN</v>
      </c>
      <c r="C1812" s="1" t="str">
        <f>"ABBERLEY PARK CONDOMINIUM 3RD AMD UNIT 1304"</f>
        <v>ABBERLEY PARK CONDOMINIUM 3RD AMD UNIT 1304</v>
      </c>
      <c r="D1812" s="1">
        <v>603.80999999999995</v>
      </c>
    </row>
    <row r="1813" spans="1:4" x14ac:dyDescent="0.3">
      <c r="A1813" s="1" t="str">
        <f>"59017129800"</f>
        <v>59017129800</v>
      </c>
      <c r="B1813" s="1" t="str">
        <f>"BOYSKO ERIC, BOYSKO CATHY"</f>
        <v>BOYSKO ERIC, BOYSKO CATHY</v>
      </c>
      <c r="C1813" s="1" t="str">
        <f>"HAMDEN CT RIVERSIDE HILLS 1 LOT 26"</f>
        <v>HAMDEN CT RIVERSIDE HILLS 1 LOT 26</v>
      </c>
      <c r="D1813" s="1">
        <v>3237.39</v>
      </c>
    </row>
    <row r="1814" spans="1:4" x14ac:dyDescent="0.3">
      <c r="A1814" s="1" t="str">
        <f>"01003299500"</f>
        <v>01003299500</v>
      </c>
      <c r="B1814" s="1" t="str">
        <f>"BOZEL CHRISTOPHER, STEWART JESSE"</f>
        <v>BOZEL CHRISTOPHER, STEWART JESSE</v>
      </c>
      <c r="C1814" s="1" t="str">
        <f>"145 N PRINCETON KNAUSS AMD SUB 162"</f>
        <v>145 N PRINCETON KNAUSS AMD SUB 162</v>
      </c>
      <c r="D1814" s="1">
        <v>2870.69</v>
      </c>
    </row>
    <row r="1815" spans="1:4" x14ac:dyDescent="0.3">
      <c r="A1815" s="1" t="str">
        <f>"53017047700"</f>
        <v>53017047700</v>
      </c>
      <c r="B1815" s="1" t="str">
        <f>"BOZMAN BRYCE"</f>
        <v>BOZMAN BRYCE</v>
      </c>
      <c r="C1815" s="1" t="str">
        <f>"BENJAMIN DRIVE INDEPENDENCE VLG 1 LOT 43"</f>
        <v>BENJAMIN DRIVE INDEPENDENCE VLG 1 LOT 43</v>
      </c>
      <c r="D1815" s="1">
        <v>1197.3699999999999</v>
      </c>
    </row>
    <row r="1816" spans="1:4" x14ac:dyDescent="0.3">
      <c r="A1816" s="1" t="str">
        <f>"01001716600"</f>
        <v>01001716600</v>
      </c>
      <c r="B1816" s="1" t="str">
        <f>"BOZMAN BRYCE, BOZMAN SANDRA JO"</f>
        <v>BOZMAN BRYCE, BOZMAN SANDRA JO</v>
      </c>
      <c r="C1816" s="1" t="str">
        <f>"DESHLERAVE MILLERSDESHLERAVE LOT87"</f>
        <v>DESHLERAVE MILLERSDESHLERAVE LOT87</v>
      </c>
      <c r="D1816" s="1">
        <v>1492.44</v>
      </c>
    </row>
    <row r="1817" spans="1:4" x14ac:dyDescent="0.3">
      <c r="A1817" s="1" t="str">
        <f>"07001069300"</f>
        <v>07001069300</v>
      </c>
      <c r="B1817" s="1" t="str">
        <f>"BRAATEN ERIC A, BRAATEN MARIAN L"</f>
        <v>BRAATEN ERIC A, BRAATEN MARIAN L</v>
      </c>
      <c r="C1817" s="1" t="str">
        <f>"1889 BRANDYWINE DR LOT 23 WILLOW FORGE "</f>
        <v xml:space="preserve">1889 BRANDYWINE DR LOT 23 WILLOW FORGE </v>
      </c>
      <c r="D1817" s="1">
        <v>587.63</v>
      </c>
    </row>
    <row r="1818" spans="1:4" x14ac:dyDescent="0.3">
      <c r="A1818" s="1" t="str">
        <f>"56022521500"</f>
        <v>56022521500</v>
      </c>
      <c r="B1818" s="1" t="str">
        <f>"BRABHAM MICHAEL S"</f>
        <v>BRABHAM MICHAEL S</v>
      </c>
      <c r="C1818" s="1" t="str">
        <f>"HILLIARD VILLAGE CONDOMINIUM 8TH AMD UNIT 47A"</f>
        <v>HILLIARD VILLAGE CONDOMINIUM 8TH AMD UNIT 47A</v>
      </c>
      <c r="D1818" s="1">
        <v>2126.5300000000002</v>
      </c>
    </row>
    <row r="1819" spans="1:4" x14ac:dyDescent="0.3">
      <c r="A1819" s="1" t="str">
        <f>"01004295100"</f>
        <v>01004295100</v>
      </c>
      <c r="B1819" s="1" t="str">
        <f>"BRACY MICHAEL A"</f>
        <v>BRACY MICHAEL A</v>
      </c>
      <c r="C1819" s="1" t="str">
        <f>"1085 E 15TH AVENUE DREXEL PARK LOT 121"</f>
        <v>1085 E 15TH AVENUE DREXEL PARK LOT 121</v>
      </c>
      <c r="D1819" s="1">
        <v>1459.01</v>
      </c>
    </row>
    <row r="1820" spans="1:4" x14ac:dyDescent="0.3">
      <c r="A1820" s="1" t="str">
        <f>"01011895500"</f>
        <v>01011895500</v>
      </c>
      <c r="B1820" s="1" t="str">
        <f>"BRADDY ALVIN B, BRADDY PAMELA E"</f>
        <v>BRADDY ALVIN B, BRADDY PAMELA E</v>
      </c>
      <c r="C1820" s="1" t="str">
        <f>"LIV-MOOR DR LIV-MOOR HTS 4 LOT 65"</f>
        <v>LIV-MOOR DR LIV-MOOR HTS 4 LOT 65</v>
      </c>
      <c r="D1820" s="1">
        <v>1319.68</v>
      </c>
    </row>
    <row r="1821" spans="1:4" x14ac:dyDescent="0.3">
      <c r="A1821" s="1" t="str">
        <f>"01029171300"</f>
        <v>01029171300</v>
      </c>
      <c r="B1821" s="1" t="str">
        <f>"BRADEN MARK A, BRADEN TINA M"</f>
        <v>BRADEN MARK A, BRADEN TINA M</v>
      </c>
      <c r="C1821" s="1" t="str">
        <f>"VILLAGE AT GALLOWAY RUN S-F-H IN A CONDOMINIUM COMMUNITY 64TH AMD UT 235"</f>
        <v>VILLAGE AT GALLOWAY RUN S-F-H IN A CONDOMINIUM COMMUNITY 64TH AMD UT 235</v>
      </c>
      <c r="D1821" s="1">
        <v>195.94</v>
      </c>
    </row>
    <row r="1822" spans="1:4" x14ac:dyDescent="0.3">
      <c r="A1822" s="1" t="str">
        <f>"01000249400"</f>
        <v>01000249400</v>
      </c>
      <c r="B1822" s="1" t="str">
        <f>"BRADHAM JIM, BRADHAM VICKI"</f>
        <v>BRADHAM JIM, BRADHAM VICKI</v>
      </c>
      <c r="C1822" s="1" t="str">
        <f>"81 N GUILFORD AVE GUILFORD PARK LOT 40"</f>
        <v>81 N GUILFORD AVE GUILFORD PARK LOT 40</v>
      </c>
      <c r="D1822" s="1">
        <v>2223.1</v>
      </c>
    </row>
    <row r="1823" spans="1:4" x14ac:dyDescent="0.3">
      <c r="A1823" s="1" t="str">
        <f>"61017359200"</f>
        <v>61017359200</v>
      </c>
      <c r="B1823" s="1" t="str">
        <f>"BRADHAM STANLEY M, BRADHAM TERI M"</f>
        <v>BRADHAM STANLEY M, BRADHAM TERI M</v>
      </c>
      <c r="C1823" s="1" t="str">
        <f>"LAKEBROOK BLVD BROOKSIDE WOODS SEC1 LOT 25"</f>
        <v>LAKEBROOK BLVD BROOKSIDE WOODS SEC1 LOT 25</v>
      </c>
      <c r="D1823" s="1">
        <v>386.17</v>
      </c>
    </row>
    <row r="1824" spans="1:4" x14ac:dyDescent="0.3">
      <c r="A1824" s="1" t="str">
        <f>"01014554100"</f>
        <v>01014554100</v>
      </c>
      <c r="B1824" s="1" t="str">
        <f>"BRADLEY CHRISTOPHER E, BRADLEY AMY L"</f>
        <v>BRADLEY CHRISTOPHER E, BRADLEY AMY L</v>
      </c>
      <c r="C1824" s="1" t="str">
        <f>"TOWNE WOOD LOT 55 "</f>
        <v xml:space="preserve">TOWNE WOOD LOT 55 </v>
      </c>
      <c r="D1824" s="1">
        <v>2847.68</v>
      </c>
    </row>
    <row r="1825" spans="1:4" x14ac:dyDescent="0.3">
      <c r="A1825" s="1" t="str">
        <f>"01014013500"</f>
        <v>01014013500</v>
      </c>
      <c r="B1825" s="1" t="str">
        <f>"BRADLEY DELOREAN TTEE"</f>
        <v>BRADLEY DELOREAN TTEE</v>
      </c>
      <c r="C1825" s="1" t="str">
        <f>"HEMPWOOD DR FOREST PK 6 LOT 942"</f>
        <v>HEMPWOOD DR FOREST PK 6 LOT 942</v>
      </c>
      <c r="D1825" s="1">
        <v>2366.39</v>
      </c>
    </row>
    <row r="1826" spans="1:4" x14ac:dyDescent="0.3">
      <c r="A1826" s="1" t="str">
        <f>"01013366300"</f>
        <v>01013366300</v>
      </c>
      <c r="B1826" s="1" t="str">
        <f>"BRADLEY DIARRA D"</f>
        <v>BRADLEY DIARRA D</v>
      </c>
      <c r="C1826" s="1" t="str">
        <f>"VILLA DR SOUTHFIELD 3 LOT 561"</f>
        <v>VILLA DR SOUTHFIELD 3 LOT 561</v>
      </c>
      <c r="D1826" s="1">
        <v>609.63</v>
      </c>
    </row>
    <row r="1827" spans="1:4" x14ac:dyDescent="0.3">
      <c r="A1827" s="1" t="str">
        <f>"05000275600"</f>
        <v>05000275600</v>
      </c>
      <c r="B1827" s="1" t="str">
        <f>"BRADLEY JONATHON R"</f>
        <v>BRADLEY JONATHON R</v>
      </c>
      <c r="C1827" s="1" t="str">
        <f>"3480 CRANDON STREET BEACON 2ND LOT 331"</f>
        <v>3480 CRANDON STREET BEACON 2ND LOT 331</v>
      </c>
      <c r="D1827" s="1">
        <v>2883.59</v>
      </c>
    </row>
    <row r="1828" spans="1:4" x14ac:dyDescent="0.3">
      <c r="A1828" s="1" t="str">
        <f>"17000410400"</f>
        <v>17000410400</v>
      </c>
      <c r="B1828" s="1" t="str">
        <f>"BRADSHAW KALEN, BRADSHAW JEREMIE"</f>
        <v>BRADSHAW KALEN, BRADSHAW JEREMIE</v>
      </c>
      <c r="C1828" s="1" t="str">
        <f>"HAVENS CORNERS RD R16 T1 1/4T3 1.460 ACRES"</f>
        <v>HAVENS CORNERS RD R16 T1 1/4T3 1.460 ACRES</v>
      </c>
      <c r="D1828" s="1">
        <v>6510.05</v>
      </c>
    </row>
    <row r="1829" spans="1:4" x14ac:dyDescent="0.3">
      <c r="A1829" s="1" t="str">
        <f>"10000560600"</f>
        <v>10000560600</v>
      </c>
      <c r="B1829" s="1" t="str">
        <f>"BRADWAY MARK A, BRADWAY JILL M"</f>
        <v>BRADWAY MARK A, BRADWAY JILL M</v>
      </c>
      <c r="C1829" s="1" t="str">
        <f>"161 WHIELDON LANE BAINBRIDGE CONDO UNIT 10"</f>
        <v>161 WHIELDON LANE BAINBRIDGE CONDO UNIT 10</v>
      </c>
      <c r="D1829" s="1">
        <v>5579.21</v>
      </c>
    </row>
    <row r="1830" spans="1:4" x14ac:dyDescent="0.3">
      <c r="A1830" s="1" t="str">
        <f>"01001468600"</f>
        <v>01001468600</v>
      </c>
      <c r="B1830" s="1" t="str">
        <f>"BRADY BELINDA C"</f>
        <v>BRADY BELINDA C</v>
      </c>
      <c r="C1830" s="1" t="str">
        <f>"332 RHOADS AVE ALL69&amp;3FT SS70 ICKES &amp;LANE AMD LOT 69-70"</f>
        <v>332 RHOADS AVE ALL69&amp;3FT SS70 ICKES &amp;LANE AMD LOT 69-70</v>
      </c>
      <c r="D1830" s="1">
        <v>1780.02</v>
      </c>
    </row>
    <row r="1831" spans="1:4" x14ac:dyDescent="0.3">
      <c r="A1831" s="1" t="str">
        <f>"01026753300"</f>
        <v>01026753300</v>
      </c>
      <c r="B1831" s="1" t="str">
        <f>"BRADY THOMAS MATTHEW TTEE, BRADY KATHY JO TTEE"</f>
        <v>BRADY THOMAS MATTHEW TTEE, BRADY KATHY JO TTEE</v>
      </c>
      <c r="C1831" s="1" t="str">
        <f>"VILLAGE AT SHANNON GREEN S-F HOMES CONDO 16TH AMD UNIT 117"</f>
        <v>VILLAGE AT SHANNON GREEN S-F HOMES CONDO 16TH AMD UNIT 117</v>
      </c>
      <c r="D1831" s="1">
        <v>139.52000000000001</v>
      </c>
    </row>
    <row r="1832" spans="1:4" x14ac:dyDescent="0.3">
      <c r="A1832" s="1" t="str">
        <f>"02501159400"</f>
        <v>02501159400</v>
      </c>
      <c r="B1832" s="1" t="str">
        <f>"BRAGG CHERI L"</f>
        <v>BRAGG CHERI L</v>
      </c>
      <c r="C1832" s="1" t="str">
        <f>"WINDWARD TRACE CONDOMINIUM BLDG 2 UNIT 2-813"</f>
        <v>WINDWARD TRACE CONDOMINIUM BLDG 2 UNIT 2-813</v>
      </c>
      <c r="D1832" s="1">
        <v>289.43</v>
      </c>
    </row>
    <row r="1833" spans="1:4" x14ac:dyDescent="0.3">
      <c r="A1833" s="1" t="str">
        <f>"14000505500"</f>
        <v>14000505500</v>
      </c>
      <c r="B1833" s="1" t="str">
        <f>"BRAGG JEFFREY M"</f>
        <v>BRAGG JEFFREY M</v>
      </c>
      <c r="C1833" s="1" t="str">
        <f>"1424 BROWN RD 1.039 ACRES ENTRY 420-717"</f>
        <v>1424 BROWN RD 1.039 ACRES ENTRY 420-717</v>
      </c>
      <c r="D1833" s="1">
        <v>138.87</v>
      </c>
    </row>
    <row r="1834" spans="1:4" x14ac:dyDescent="0.3">
      <c r="A1834" s="1" t="str">
        <f>"01028446900"</f>
        <v>01028446900</v>
      </c>
      <c r="B1834" s="1" t="str">
        <f>"BRAHAM BARBARA J, BRAVEHEART RICK"</f>
        <v>BRAHAM BARBARA J, BRAVEHEART RICK</v>
      </c>
      <c r="C1834" s="1" t="str">
        <f>"THE CONDOMINIUMS AT       NORTH BANK PARK           UNIT PS-24               "</f>
        <v xml:space="preserve">THE CONDOMINIUMS AT       NORTH BANK PARK           UNIT PS-24               </v>
      </c>
      <c r="D1834" s="1">
        <v>64.930000000000007</v>
      </c>
    </row>
    <row r="1835" spans="1:4" x14ac:dyDescent="0.3">
      <c r="A1835" s="1" t="str">
        <f>"56021499700"</f>
        <v>56021499700</v>
      </c>
      <c r="B1835" s="1" t="str">
        <f>"BRAINARD SHAUN, BRAINARD KARLENE"</f>
        <v>BRAINARD SHAUN, BRAINARD KARLENE</v>
      </c>
      <c r="C1835" s="1" t="str">
        <f>"HILLIARD HEIGHTS CONDOMINIUM 1ST AMD UNIT 3D"</f>
        <v>HILLIARD HEIGHTS CONDOMINIUM 1ST AMD UNIT 3D</v>
      </c>
      <c r="D1835" s="1">
        <v>1612.14</v>
      </c>
    </row>
    <row r="1836" spans="1:4" x14ac:dyDescent="0.3">
      <c r="A1836" s="1" t="str">
        <f>"02500599000"</f>
        <v>02500599000</v>
      </c>
      <c r="B1836" s="1" t="str">
        <f>"BRAND MARK, BRAND JESSIE"</f>
        <v>BRAND MARK, BRAND JESSIE</v>
      </c>
      <c r="C1836" s="1" t="str">
        <f>"294 MILLSIDE DRIVE CHERRY BOTTOM SEC 3 LOT 147"</f>
        <v>294 MILLSIDE DRIVE CHERRY BOTTOM SEC 3 LOT 147</v>
      </c>
      <c r="D1836" s="1">
        <v>3422.35</v>
      </c>
    </row>
    <row r="1837" spans="1:4" x14ac:dyDescent="0.3">
      <c r="A1837" s="1" t="str">
        <f>"01027210800"</f>
        <v>01027210800</v>
      </c>
      <c r="B1837" s="1" t="str">
        <f>"BRAND WANOLA L"</f>
        <v>BRAND WANOLA L</v>
      </c>
      <c r="C1837" s="1" t="str">
        <f>"RAVINES AT MCNAUGHTEN CONDOMINIUM 6TH AMD UNIT 5884"</f>
        <v>RAVINES AT MCNAUGHTEN CONDOMINIUM 6TH AMD UNIT 5884</v>
      </c>
      <c r="D1837" s="1">
        <v>55</v>
      </c>
    </row>
    <row r="1838" spans="1:4" x14ac:dyDescent="0.3">
      <c r="A1838" s="1" t="str">
        <f>"49025921000"</f>
        <v>49025921000</v>
      </c>
      <c r="B1838" s="1" t="str">
        <f>"BRANDEBERRY THOMAS S, BRANDEBERRY BRENDA K"</f>
        <v>BRANDEBERRY THOMAS S, BRANDEBERRY BRENDA K</v>
      </c>
      <c r="C1838" s="1" t="str">
        <f>"MEADOWLARK PASSAGE MEADOWS AT WINCHESTER SECTION 6 LOT 438"</f>
        <v>MEADOWLARK PASSAGE MEADOWS AT WINCHESTER SECTION 6 LOT 438</v>
      </c>
      <c r="D1838" s="1">
        <v>884.66</v>
      </c>
    </row>
    <row r="1839" spans="1:4" x14ac:dyDescent="0.3">
      <c r="A1839" s="1" t="str">
        <f>"27300297000"</f>
        <v>27300297000</v>
      </c>
      <c r="B1839" s="1" t="str">
        <f>"BRANDON RICH, BRANDON BETH"</f>
        <v>BRANDON RICH, BRANDON BETH</v>
      </c>
      <c r="C1839" s="1" t="str">
        <f>"EARLINGTON PW EARLINGTON VIL SEC 1 LOT 34"</f>
        <v>EARLINGTON PW EARLINGTON VIL SEC 1 LOT 34</v>
      </c>
      <c r="D1839" s="1">
        <v>1278.55</v>
      </c>
    </row>
    <row r="1840" spans="1:4" x14ac:dyDescent="0.3">
      <c r="A1840" s="1" t="str">
        <f>"01004814900"</f>
        <v>01004814900</v>
      </c>
      <c r="B1840" s="1" t="str">
        <f>"BRANDT ANNE C"</f>
        <v>BRANDT ANNE C</v>
      </c>
      <c r="C1840" s="1" t="str">
        <f>"254 E OAKLAND AVENUE NORTHWOOD PARK LOT 54"</f>
        <v>254 E OAKLAND AVENUE NORTHWOOD PARK LOT 54</v>
      </c>
      <c r="D1840" s="1">
        <v>93.32</v>
      </c>
    </row>
    <row r="1841" spans="1:4" x14ac:dyDescent="0.3">
      <c r="A1841" s="1" t="str">
        <f>"05000528100"</f>
        <v>05000528100</v>
      </c>
      <c r="B1841" s="1" t="str">
        <f>"BRANDTS MARK G, BRANDTS CYLINDA L"</f>
        <v>BRANDTS MARK G, BRANDTS CYLINDA L</v>
      </c>
      <c r="C1841" s="1" t="str">
        <f>"BRIXSTON DRIVE BRIXSTON SUBDIVISION LOT 56"</f>
        <v>BRIXSTON DRIVE BRIXSTON SUBDIVISION LOT 56</v>
      </c>
      <c r="D1841" s="1">
        <v>504.55</v>
      </c>
    </row>
    <row r="1842" spans="1:4" x14ac:dyDescent="0.3">
      <c r="A1842" s="1" t="str">
        <f>"01000992000"</f>
        <v>01000992000</v>
      </c>
      <c r="B1842" s="1" t="str">
        <f>"BRANHAM THOMAS E TR"</f>
        <v>BRANHAM THOMAS E TR</v>
      </c>
      <c r="C1842" s="1" t="str">
        <f>"ALTON ST R17 T1 S3 .76 ACRE"</f>
        <v>ALTON ST R17 T1 S3 .76 ACRE</v>
      </c>
      <c r="D1842" s="1">
        <v>150.11000000000001</v>
      </c>
    </row>
    <row r="1843" spans="1:4" x14ac:dyDescent="0.3">
      <c r="A1843" s="1" t="str">
        <f>"01011330100"</f>
        <v>01011330100</v>
      </c>
      <c r="B1843" s="1" t="str">
        <f>"BRANNON GIANA K"</f>
        <v>BRANNON GIANA K</v>
      </c>
      <c r="C1843" s="1" t="str">
        <f>"1825 WILSON AVE LAWRENCE OAKLAND 2 PAR C AMD LOT 2"</f>
        <v>1825 WILSON AVE LAWRENCE OAKLAND 2 PAR C AMD LOT 2</v>
      </c>
      <c r="D1843" s="1">
        <v>2637.7</v>
      </c>
    </row>
    <row r="1844" spans="1:4" x14ac:dyDescent="0.3">
      <c r="A1844" s="1" t="str">
        <f>"01005914500"</f>
        <v>01005914500</v>
      </c>
      <c r="B1844" s="1" t="str">
        <f>"BRANSCOM JAMES G"</f>
        <v>BRANSCOM JAMES G</v>
      </c>
      <c r="C1844" s="1" t="str">
        <f>"GENESSEE AVE LINDEN LOT 868"</f>
        <v>GENESSEE AVE LINDEN LOT 868</v>
      </c>
      <c r="D1844" s="1">
        <v>220.1</v>
      </c>
    </row>
    <row r="1845" spans="1:4" x14ac:dyDescent="0.3">
      <c r="A1845" s="1" t="str">
        <f>"01005909500"</f>
        <v>01005909500</v>
      </c>
      <c r="B1845" s="1" t="str">
        <f>"BRANSCOM JAMES G"</f>
        <v>BRANSCOM JAMES G</v>
      </c>
      <c r="C1845" s="1" t="str">
        <f>"1491 GENESSEE AVE LINDEN LOT 869-70"</f>
        <v>1491 GENESSEE AVE LINDEN LOT 869-70</v>
      </c>
      <c r="D1845" s="1">
        <v>1345.92</v>
      </c>
    </row>
    <row r="1846" spans="1:4" x14ac:dyDescent="0.3">
      <c r="A1846" s="1" t="str">
        <f>"18000032700"</f>
        <v>18000032700</v>
      </c>
      <c r="B1846" s="1" t="str">
        <f>"BRANSCOMB WILLIAM, EASTMAN JULIA"</f>
        <v>BRANSCOMB WILLIAM, EASTMAN JULIA</v>
      </c>
      <c r="C1846" s="1" t="str">
        <f>"SIMS RD TRACT 2 EAST R21 T11 S22 .498 ACRE"</f>
        <v>SIMS RD TRACT 2 EAST R21 T11 S22 .498 ACRE</v>
      </c>
      <c r="D1846" s="1">
        <v>362.67</v>
      </c>
    </row>
    <row r="1847" spans="1:4" x14ac:dyDescent="0.3">
      <c r="A1847" s="1" t="str">
        <f>"13000194300"</f>
        <v>13000194300</v>
      </c>
      <c r="B1847" s="1" t="str">
        <f>"BRAUN BRIAN, BRAUN TAMMY"</f>
        <v>BRAUN BRIAN, BRAUN TAMMY</v>
      </c>
      <c r="C1847" s="1" t="str">
        <f>"CASE ROAD NORTH LINDEN 1 53.13FT MID PT WS 310"</f>
        <v>CASE ROAD NORTH LINDEN 1 53.13FT MID PT WS 310</v>
      </c>
      <c r="D1847" s="1">
        <v>3245.83</v>
      </c>
    </row>
    <row r="1848" spans="1:4" x14ac:dyDescent="0.3">
      <c r="A1848" s="1" t="str">
        <f>"02500681600"</f>
        <v>02500681600</v>
      </c>
      <c r="B1848" s="1" t="str">
        <f>"BRAUN CONSTANCE S"</f>
        <v>BRAUN CONSTANCE S</v>
      </c>
      <c r="C1848" s="1" t="str">
        <f>"675 BEAVERBROOK CT HUNTERS RIDGE SEC 8 LOT 533"</f>
        <v>675 BEAVERBROOK CT HUNTERS RIDGE SEC 8 LOT 533</v>
      </c>
      <c r="D1848" s="1">
        <v>21832.63</v>
      </c>
    </row>
    <row r="1849" spans="1:4" x14ac:dyDescent="0.3">
      <c r="A1849" s="1" t="str">
        <f>"01007751800"</f>
        <v>01007751800</v>
      </c>
      <c r="B1849" s="1" t="str">
        <f>"BRAUN DENISE D"</f>
        <v>BRAUN DENISE D</v>
      </c>
      <c r="C1849" s="1" t="str">
        <f>"N DELTA DR WEBSTER PARK LOT 133"</f>
        <v>N DELTA DR WEBSTER PARK LOT 133</v>
      </c>
      <c r="D1849" s="1">
        <v>4072.32</v>
      </c>
    </row>
    <row r="1850" spans="1:4" x14ac:dyDescent="0.3">
      <c r="A1850" s="1" t="str">
        <f>"01013102100"</f>
        <v>01013102100</v>
      </c>
      <c r="B1850" s="1" t="str">
        <f>"BRAUNLIN CLO"</f>
        <v>BRAUNLIN CLO</v>
      </c>
      <c r="C1850" s="1" t="str">
        <f>"865 HILOCK RD HIGHLAND LOT 23"</f>
        <v>865 HILOCK RD HIGHLAND LOT 23</v>
      </c>
      <c r="D1850" s="1">
        <v>752.38</v>
      </c>
    </row>
    <row r="1851" spans="1:4" x14ac:dyDescent="0.3">
      <c r="A1851" s="1" t="str">
        <f>"11000231800"</f>
        <v>11000231800</v>
      </c>
      <c r="B1851" s="1" t="str">
        <f>"BRAVO CUSTOM CONCRETE"</f>
        <v>BRAVO CUSTOM CONCRETE</v>
      </c>
      <c r="C1851" s="1" t="str">
        <f>"BROOKLYN RD BROOKLYN HEIGHTS LOT 53"</f>
        <v>BROOKLYN RD BROOKLYN HEIGHTS LOT 53</v>
      </c>
      <c r="D1851" s="1">
        <v>896.3</v>
      </c>
    </row>
    <row r="1852" spans="1:4" x14ac:dyDescent="0.3">
      <c r="A1852" s="1" t="str">
        <f>"01001439900"</f>
        <v>01001439900</v>
      </c>
      <c r="B1852" s="1" t="str">
        <f>"BRAXTON TROIA LYNNE"</f>
        <v>BRAXTON TROIA LYNNE</v>
      </c>
      <c r="C1852" s="1" t="str">
        <f>"242 JOHNSON ST BACHMAN LOT 61"</f>
        <v>242 JOHNSON ST BACHMAN LOT 61</v>
      </c>
      <c r="D1852" s="1">
        <v>1500.47</v>
      </c>
    </row>
    <row r="1853" spans="1:4" x14ac:dyDescent="0.3">
      <c r="A1853" s="1" t="str">
        <f>"01007933800"</f>
        <v>01007933800</v>
      </c>
      <c r="B1853" s="1" t="str">
        <f>"BRAY FRED T, MULLINAX DANIEL R"</f>
        <v>BRAY FRED T, MULLINAX DANIEL R</v>
      </c>
      <c r="C1853" s="1" t="str">
        <f>"22ND AVE LINMOOR LOT 39"</f>
        <v>22ND AVE LINMOOR LOT 39</v>
      </c>
      <c r="D1853" s="1">
        <v>398.88</v>
      </c>
    </row>
    <row r="1854" spans="1:4" x14ac:dyDescent="0.3">
      <c r="A1854" s="1" t="str">
        <f>"56024870900"</f>
        <v>56024870900</v>
      </c>
      <c r="B1854" s="1" t="str">
        <f>"BRAYFIELD TODD E"</f>
        <v>BRAYFIELD TODD E</v>
      </c>
      <c r="C1854" s="1" t="str">
        <f>"NEWINGTON DRIVE HERITAGE CREEK SECTION 5 PART 2 LOT 147"</f>
        <v>NEWINGTON DRIVE HERITAGE CREEK SECTION 5 PART 2 LOT 147</v>
      </c>
      <c r="D1854" s="1">
        <v>4417.04</v>
      </c>
    </row>
    <row r="1855" spans="1:4" x14ac:dyDescent="0.3">
      <c r="A1855" s="1" t="str">
        <f>"01015046700"</f>
        <v>01015046700</v>
      </c>
      <c r="B1855" s="1" t="str">
        <f>"BRAZIK RICHARD J"</f>
        <v>BRAZIK RICHARD J</v>
      </c>
      <c r="C1855" s="1" t="str">
        <f>"HARDESTY VILLAGE CONDOMINIUM N UNIT N-6"</f>
        <v>HARDESTY VILLAGE CONDOMINIUM N UNIT N-6</v>
      </c>
      <c r="D1855" s="1">
        <v>115.39</v>
      </c>
    </row>
    <row r="1856" spans="1:4" x14ac:dyDescent="0.3">
      <c r="A1856" s="1" t="str">
        <f>"56022028500"</f>
        <v>56022028500</v>
      </c>
      <c r="B1856" s="1" t="str">
        <f>"BRAZIK RICHARD J"</f>
        <v>BRAZIK RICHARD J</v>
      </c>
      <c r="C1856" s="1" t="str">
        <f>"NIKE DRIVE WESTERN LAKES SEC 2 LOT 53"</f>
        <v>NIKE DRIVE WESTERN LAKES SEC 2 LOT 53</v>
      </c>
      <c r="D1856" s="1">
        <v>290.81</v>
      </c>
    </row>
    <row r="1857" spans="1:4" x14ac:dyDescent="0.3">
      <c r="A1857" s="1" t="str">
        <f>"01022843200"</f>
        <v>01022843200</v>
      </c>
      <c r="B1857" s="1" t="str">
        <f>"BRECKENRIDGE BRIANA"</f>
        <v>BRECKENRIDGE BRIANA</v>
      </c>
      <c r="C1857" s="1" t="str">
        <f>"MCNEILL FARMS EAST CONDOMINIUM UNIT 2C"</f>
        <v>MCNEILL FARMS EAST CONDOMINIUM UNIT 2C</v>
      </c>
      <c r="D1857" s="1">
        <v>2855.64</v>
      </c>
    </row>
    <row r="1858" spans="1:4" x14ac:dyDescent="0.3">
      <c r="A1858" s="1" t="str">
        <f>"01013530600"</f>
        <v>01013530600</v>
      </c>
      <c r="B1858" s="1" t="str">
        <f>"BRECKENRIDGE TIMOTHY, BRECKENRIDGE RAMONA"</f>
        <v>BRECKENRIDGE TIMOTHY, BRECKENRIDGE RAMONA</v>
      </c>
      <c r="C1858" s="1" t="str">
        <f>"KENILWORTH RD RESUB PART OF KENSINGTON LOT 76"</f>
        <v>KENILWORTH RD RESUB PART OF KENSINGTON LOT 76</v>
      </c>
      <c r="D1858" s="1">
        <v>4591.8599999999997</v>
      </c>
    </row>
    <row r="1859" spans="1:4" x14ac:dyDescent="0.3">
      <c r="A1859" s="1" t="str">
        <f>"01016102800"</f>
        <v>01016102800</v>
      </c>
      <c r="B1859" s="1" t="str">
        <f>"BREEDEN PATRICIA"</f>
        <v>BREEDEN PATRICIA</v>
      </c>
      <c r="C1859" s="1" t="str">
        <f>"WOODBROOK CR W WOODBROOK VILLAGE CONDOMINIUM UNIT 62"</f>
        <v>WOODBROOK CR W WOODBROOK VILLAGE CONDOMINIUM UNIT 62</v>
      </c>
      <c r="D1859" s="1">
        <v>584.09</v>
      </c>
    </row>
    <row r="1860" spans="1:4" x14ac:dyDescent="0.3">
      <c r="A1860" s="1" t="str">
        <f>"01005003500"</f>
        <v>01005003500</v>
      </c>
      <c r="B1860" s="1" t="str">
        <f>"BREGASI KLODIAN"</f>
        <v>BREGASI KLODIAN</v>
      </c>
      <c r="C1860" s="1" t="str">
        <f>"730 S WARREN AVE 42X70 76FT WILSHIRE HTS RES B"</f>
        <v>730 S WARREN AVE 42X70 76FT WILSHIRE HTS RES B</v>
      </c>
      <c r="D1860" s="1">
        <v>1107.4100000000001</v>
      </c>
    </row>
    <row r="1861" spans="1:4" x14ac:dyDescent="0.3">
      <c r="A1861" s="1" t="str">
        <f>"08000422000"</f>
        <v>08000422000</v>
      </c>
      <c r="B1861" s="1" t="str">
        <f>"BREIDENSTEIN SARAH L"</f>
        <v>BREIDENSTEIN SARAH L</v>
      </c>
      <c r="C1861" s="1" t="str">
        <f>"BELPRE PLACE WEST ANNEHURST VILLAGE NO 7 LOT 366"</f>
        <v>BELPRE PLACE WEST ANNEHURST VILLAGE NO 7 LOT 366</v>
      </c>
      <c r="D1861" s="1">
        <v>3874</v>
      </c>
    </row>
    <row r="1862" spans="1:4" x14ac:dyDescent="0.3">
      <c r="A1862" s="1" t="str">
        <f>"18000347000"</f>
        <v>18000347000</v>
      </c>
      <c r="B1862" s="1" t="str">
        <f>"BRENNEMAN RICHARD A"</f>
        <v>BRENNEMAN RICHARD A</v>
      </c>
      <c r="C1862" s="1" t="str">
        <f>"ZIMMER DR BLACKLICK ESTATES 5 819 "</f>
        <v xml:space="preserve">ZIMMER DR BLACKLICK ESTATES 5 819 </v>
      </c>
      <c r="D1862" s="1">
        <v>101.98</v>
      </c>
    </row>
    <row r="1863" spans="1:4" x14ac:dyDescent="0.3">
      <c r="A1863" s="1" t="str">
        <f>"04001337500"</f>
        <v>04001337500</v>
      </c>
      <c r="B1863" s="1" t="str">
        <f>"BRENNEMANN NANCY E, DARWIN KAREN L"</f>
        <v>BRENNEMANN NANCY E, DARWIN KAREN L</v>
      </c>
      <c r="C1863" s="1" t="str">
        <f>"2103 VISCONTI DRIVE CREEKSIDE SECTION 7 LOT 336"</f>
        <v>2103 VISCONTI DRIVE CREEKSIDE SECTION 7 LOT 336</v>
      </c>
      <c r="D1863" s="1">
        <v>4487.6099999999997</v>
      </c>
    </row>
    <row r="1864" spans="1:4" x14ac:dyDescent="0.3">
      <c r="A1864" s="1" t="str">
        <f>"02000156900"</f>
        <v>02000156900</v>
      </c>
      <c r="B1864" s="1" t="str">
        <f>"BRENNER MATTHEW S, BRENNER AMY M"</f>
        <v>BRENNER MATTHEW S, BRENNER AMY M</v>
      </c>
      <c r="C1864" s="1" t="str">
        <f>"290 ASHBOURNE PL STANBERY PL LOT 33-34"</f>
        <v>290 ASHBOURNE PL STANBERY PL LOT 33-34</v>
      </c>
      <c r="D1864" s="1">
        <v>1322.18</v>
      </c>
    </row>
    <row r="1865" spans="1:4" x14ac:dyDescent="0.3">
      <c r="A1865" s="1" t="str">
        <f>"01012530100"</f>
        <v>01012530100</v>
      </c>
      <c r="B1865" s="1" t="str">
        <f>"BRERETON MERV, BRERETON LULA"</f>
        <v>BRERETON MERV, BRERETON LULA</v>
      </c>
      <c r="C1865" s="1" t="str">
        <f>"BLUEFIELD DR SOUTHFIELD 2ND LOT 106"</f>
        <v>BLUEFIELD DR SOUTHFIELD 2ND LOT 106</v>
      </c>
      <c r="D1865" s="1">
        <v>886.94</v>
      </c>
    </row>
    <row r="1866" spans="1:4" x14ac:dyDescent="0.3">
      <c r="A1866" s="1" t="str">
        <f>"01013111100"</f>
        <v>01013111100</v>
      </c>
      <c r="B1866" s="1" t="str">
        <f>"BREWER JOHN D, BREWER KATHLEEN H"</f>
        <v>BREWER JOHN D, BREWER KATHLEEN H</v>
      </c>
      <c r="C1866" s="1" t="str">
        <f>"TILLBURY AVE BRENTWOOD PK 4 LOT 17"</f>
        <v>TILLBURY AVE BRENTWOOD PK 4 LOT 17</v>
      </c>
      <c r="D1866" s="1">
        <v>259.83</v>
      </c>
    </row>
    <row r="1867" spans="1:4" x14ac:dyDescent="0.3">
      <c r="A1867" s="1" t="str">
        <f>"01007975300"</f>
        <v>01007975300</v>
      </c>
      <c r="B1867" s="1" t="str">
        <f>"BREWSTER LAFELLA L AFDT"</f>
        <v>BREWSTER LAFELLA L AFDT</v>
      </c>
      <c r="C1867" s="1" t="str">
        <f>"1182 MANCHESTER AVE HARRISON VILLA 24FT WS LT47&amp;24FT ES LT48"</f>
        <v>1182 MANCHESTER AVE HARRISON VILLA 24FT WS LT47&amp;24FT ES LT48</v>
      </c>
      <c r="D1867" s="1">
        <v>527.15</v>
      </c>
    </row>
    <row r="1868" spans="1:4" x14ac:dyDescent="0.3">
      <c r="A1868" s="1" t="str">
        <f>"26400008100"</f>
        <v>26400008100</v>
      </c>
      <c r="B1868" s="1" t="str">
        <f>"BRICE RD PROPERTY LLC"</f>
        <v>BRICE RD PROPERTY LLC</v>
      </c>
      <c r="C1868" s="1" t="str">
        <f>"BRICE ROAD R21 T12 S26 1/4 S45 .334 ACRE"</f>
        <v>BRICE ROAD R21 T12 S26 1/4 S45 .334 ACRE</v>
      </c>
      <c r="D1868" s="1">
        <v>1722.67</v>
      </c>
    </row>
    <row r="1869" spans="1:4" x14ac:dyDescent="0.3">
      <c r="A1869" s="1" t="str">
        <f>"01001298700"</f>
        <v>01001298700</v>
      </c>
      <c r="B1869" s="1" t="str">
        <f>"BRICKEL INVESTMENTS LLC"</f>
        <v>BRICKEL INVESTMENTS LLC</v>
      </c>
      <c r="C1869" s="1" t="str">
        <f>"97 E LINCOLN ST           W A NEIL SUMMIT           PT LOTS 13-14            "</f>
        <v xml:space="preserve">97 E LINCOLN ST           W A NEIL SUMMIT           PT LOTS 13-14            </v>
      </c>
      <c r="D1869" s="1">
        <v>4386.18</v>
      </c>
    </row>
    <row r="1870" spans="1:4" x14ac:dyDescent="0.3">
      <c r="A1870" s="1" t="str">
        <f>"18500163100"</f>
        <v>18500163100</v>
      </c>
      <c r="B1870" s="1" t="str">
        <f>"BRICKER CASEY J, BRICKER DIANNE K"</f>
        <v>BRICKER CASEY J, BRICKER DIANNE K</v>
      </c>
      <c r="C1870" s="1" t="str">
        <f>"BIXFORD AVE BIXFORD GREEN PHASE1 LOT 21"</f>
        <v>BIXFORD AVE BIXFORD GREEN PHASE1 LOT 21</v>
      </c>
      <c r="D1870" s="1">
        <v>2485.3200000000002</v>
      </c>
    </row>
    <row r="1871" spans="1:4" x14ac:dyDescent="0.3">
      <c r="A1871" s="1" t="str">
        <f>"14000569400"</f>
        <v>14000569400</v>
      </c>
      <c r="B1871" s="1" t="str">
        <f>"BRIDGEMAN MICHAEL R"</f>
        <v>BRIDGEMAN MICHAEL R</v>
      </c>
      <c r="C1871" s="1" t="str">
        <f>"FRANK RD WESTBROOK LOT 94"</f>
        <v>FRANK RD WESTBROOK LOT 94</v>
      </c>
      <c r="D1871" s="1">
        <v>129.61000000000001</v>
      </c>
    </row>
    <row r="1872" spans="1:4" x14ac:dyDescent="0.3">
      <c r="A1872" s="1" t="str">
        <f>"01009524300"</f>
        <v>01009524300</v>
      </c>
      <c r="B1872" s="1" t="str">
        <f>"BRIDGES BEN"</f>
        <v>BRIDGES BEN</v>
      </c>
      <c r="C1872" s="1" t="str">
        <f>"2836 AZELDA ST ALMADA LOT 556"</f>
        <v>2836 AZELDA ST ALMADA LOT 556</v>
      </c>
      <c r="D1872" s="1">
        <v>544.91</v>
      </c>
    </row>
    <row r="1873" spans="1:4" x14ac:dyDescent="0.3">
      <c r="A1873" s="1" t="str">
        <f>"01007383000"</f>
        <v>01007383000</v>
      </c>
      <c r="B1873" s="1" t="str">
        <f>"BRIDGES BEN"</f>
        <v>BRIDGES BEN</v>
      </c>
      <c r="C1873" s="1" t="str">
        <f>"HIAWATHIA ST ALMADA LOT 648"</f>
        <v>HIAWATHIA ST ALMADA LOT 648</v>
      </c>
      <c r="D1873" s="1">
        <v>1198.0999999999999</v>
      </c>
    </row>
    <row r="1874" spans="1:4" x14ac:dyDescent="0.3">
      <c r="A1874" s="1" t="str">
        <f>"55015605700"</f>
        <v>55015605700</v>
      </c>
      <c r="B1874" s="1" t="str">
        <f>"BRIDGES DIANE M, CLARK RICHARD"</f>
        <v>BRIDGES DIANE M, CLARK RICHARD</v>
      </c>
      <c r="C1874" s="1" t="str">
        <f>"ROSELAWN IDLEWILD MANOR 242 "</f>
        <v xml:space="preserve">ROSELAWN IDLEWILD MANOR 242 </v>
      </c>
      <c r="D1874" s="1">
        <v>414.51</v>
      </c>
    </row>
    <row r="1875" spans="1:4" x14ac:dyDescent="0.3">
      <c r="A1875" s="1" t="str">
        <f>"55015605600"</f>
        <v>55015605600</v>
      </c>
      <c r="B1875" s="1" t="str">
        <f>"BRIDGES DIANE M, CLARK RICHARD"</f>
        <v>BRIDGES DIANE M, CLARK RICHARD</v>
      </c>
      <c r="C1875" s="1" t="str">
        <f>"ROSELAWN AVE IDLEWILD MANOR 241 "</f>
        <v xml:space="preserve">ROSELAWN AVE IDLEWILD MANOR 241 </v>
      </c>
      <c r="D1875" s="1">
        <v>474.8</v>
      </c>
    </row>
    <row r="1876" spans="1:4" x14ac:dyDescent="0.3">
      <c r="A1876" s="1" t="str">
        <f>"01008072800"</f>
        <v>01008072800</v>
      </c>
      <c r="B1876" s="1" t="str">
        <f>"BRIDGES EMMANUEL J TR"</f>
        <v>BRIDGES EMMANUEL J TR</v>
      </c>
      <c r="C1876" s="1" t="str">
        <f>"KELTON AVE DRIVING PARK LOT 229"</f>
        <v>KELTON AVE DRIVING PARK LOT 229</v>
      </c>
      <c r="D1876" s="1">
        <v>309.38</v>
      </c>
    </row>
    <row r="1877" spans="1:4" x14ac:dyDescent="0.3">
      <c r="A1877" s="1" t="str">
        <f>"01009922500"</f>
        <v>01009922500</v>
      </c>
      <c r="B1877" s="1" t="str">
        <f>"BRIDGES-BASTIEN ALANA, BELL RICKY JARON III"</f>
        <v>BRIDGES-BASTIEN ALANA, BELL RICKY JARON III</v>
      </c>
      <c r="C1877" s="1" t="str">
        <f>"BEECHWOOD AVE ACRES .306 R21 T12 S17 1-4T27"</f>
        <v>BEECHWOOD AVE ACRES .306 R21 T12 S17 1-4T27</v>
      </c>
      <c r="D1877" s="1">
        <v>1522.75</v>
      </c>
    </row>
    <row r="1878" spans="1:4" x14ac:dyDescent="0.3">
      <c r="A1878" s="1" t="str">
        <f>"01003582900"</f>
        <v>01003582900</v>
      </c>
      <c r="B1878" s="1" t="str">
        <f>"BRIGGS MYRA J"</f>
        <v>BRIGGS MYRA J</v>
      </c>
      <c r="C1878" s="1" t="str">
        <f>"321 S WARREN N 1/2 OF 420&amp;ALL OF 421 WICKLOT LOT 420-1"</f>
        <v>321 S WARREN N 1/2 OF 420&amp;ALL OF 421 WICKLOT LOT 420-1</v>
      </c>
      <c r="D1878" s="1">
        <v>1841.72</v>
      </c>
    </row>
    <row r="1879" spans="1:4" x14ac:dyDescent="0.3">
      <c r="A1879" s="1" t="str">
        <f>"01012801200"</f>
        <v>01012801200</v>
      </c>
      <c r="B1879" s="1" t="str">
        <f>"BRIGGS NANCY J"</f>
        <v>BRIGGS NANCY J</v>
      </c>
      <c r="C1879" s="1" t="str">
        <f>"PENFIELD RD BERWYN LOT 138"</f>
        <v>PENFIELD RD BERWYN LOT 138</v>
      </c>
      <c r="D1879" s="1">
        <v>2063.75</v>
      </c>
    </row>
    <row r="1880" spans="1:4" x14ac:dyDescent="0.3">
      <c r="A1880" s="1" t="str">
        <f>"18500276100"</f>
        <v>18500276100</v>
      </c>
      <c r="B1880" s="1" t="str">
        <f>"BRIGHT INNOVATION LLC"</f>
        <v>BRIGHT INNOVATION LLC</v>
      </c>
      <c r="C1880" s="1" t="str">
        <f>"GROVEPORT PK R21 T11 S20 4.720 ACRES"</f>
        <v>GROVEPORT PK R21 T11 S20 4.720 ACRES</v>
      </c>
      <c r="D1880" s="1">
        <v>3735.73</v>
      </c>
    </row>
    <row r="1881" spans="1:4" x14ac:dyDescent="0.3">
      <c r="A1881" s="1" t="str">
        <f>"24000375700"</f>
        <v>24000375700</v>
      </c>
      <c r="B1881" s="1" t="str">
        <f>"BRIGHTER OPPORTUNITIES LLC"</f>
        <v>BRIGHTER OPPORTUNITIES LLC</v>
      </c>
      <c r="C1881" s="1" t="str">
        <f>"DANHURST RD LINCOLN VILLAGE 617 "</f>
        <v xml:space="preserve">DANHURST RD LINCOLN VILLAGE 617 </v>
      </c>
      <c r="D1881" s="1">
        <v>2175.8000000000002</v>
      </c>
    </row>
    <row r="1882" spans="1:4" x14ac:dyDescent="0.3">
      <c r="A1882" s="1" t="str">
        <f>"01014624800"</f>
        <v>01014624800</v>
      </c>
      <c r="B1882" s="1" t="str">
        <f>"BRIGHTVIEW LANDSCAPES LLC"</f>
        <v>BRIGHTVIEW LANDSCAPES LLC</v>
      </c>
      <c r="C1882" s="1" t="str">
        <f>"HARPER RD .97 ACRE ENTRY 2668"</f>
        <v>HARPER RD .97 ACRE ENTRY 2668</v>
      </c>
      <c r="D1882" s="1">
        <v>4998.75</v>
      </c>
    </row>
    <row r="1883" spans="1:4" x14ac:dyDescent="0.3">
      <c r="A1883" s="1" t="str">
        <f>"01014625200"</f>
        <v>01014625200</v>
      </c>
      <c r="B1883" s="1" t="str">
        <f>"BRIGHTVIEW LANDSCAPES LLC"</f>
        <v>BRIGHTVIEW LANDSCAPES LLC</v>
      </c>
      <c r="C1883" s="1" t="str">
        <f>"2198 HARPER RD .73 ACRE OQ2000 ENTRY 2668"</f>
        <v>2198 HARPER RD .73 ACRE OQ2000 ENTRY 2668</v>
      </c>
      <c r="D1883" s="1">
        <v>3762.04</v>
      </c>
    </row>
    <row r="1884" spans="1:4" x14ac:dyDescent="0.3">
      <c r="A1884" s="1" t="str">
        <f>"01014626200"</f>
        <v>01014626200</v>
      </c>
      <c r="B1884" s="1" t="str">
        <f>"BRIGHTVIEW LANDSCAPES LLC"</f>
        <v>BRIGHTVIEW LANDSCAPES LLC</v>
      </c>
      <c r="C1884" s="1" t="str">
        <f>"2246 HARPER RD 1.1027 ACRES OQ 2000 ENTRY 2668"</f>
        <v>2246 HARPER RD 1.1027 ACRES OQ 2000 ENTRY 2668</v>
      </c>
      <c r="D1884" s="1">
        <v>14001.16</v>
      </c>
    </row>
    <row r="1885" spans="1:4" x14ac:dyDescent="0.3">
      <c r="A1885" s="1" t="str">
        <f>"11000307300"</f>
        <v>11000307300</v>
      </c>
      <c r="B1885" s="1" t="str">
        <f>"BRILL MORGAN, WRIGHT DUDLEY"</f>
        <v>BRILL MORGAN, WRIGHT DUDLEY</v>
      </c>
      <c r="C1885" s="1" t="str">
        <f>"4503 RAVINE DRIVE ROLLING RIDGE ALL LOT 9 &amp; PT LOT 8"</f>
        <v>4503 RAVINE DRIVE ROLLING RIDGE ALL LOT 9 &amp; PT LOT 8</v>
      </c>
      <c r="D1885" s="1">
        <v>22265.88</v>
      </c>
    </row>
    <row r="1886" spans="1:4" x14ac:dyDescent="0.3">
      <c r="A1886" s="1" t="str">
        <f>"61018629600"</f>
        <v>61018629600</v>
      </c>
      <c r="B1886" s="1" t="str">
        <f>"BRINKLEY TRESSA"</f>
        <v>BRINKLEY TRESSA</v>
      </c>
      <c r="C1886" s="1" t="str">
        <f>"LYNN GAY CIRCLE SMOKY RIDGE ESTATES SECTION 6 OPEN SPACE 0.83 ACRE VACANT LOT"</f>
        <v>LYNN GAY CIRCLE SMOKY RIDGE ESTATES SECTION 6 OPEN SPACE 0.83 ACRE VACANT LOT</v>
      </c>
      <c r="D1886" s="1">
        <v>68.290000000000006</v>
      </c>
    </row>
    <row r="1887" spans="1:4" x14ac:dyDescent="0.3">
      <c r="A1887" s="1" t="str">
        <f>"01008895700"</f>
        <v>01008895700</v>
      </c>
      <c r="B1887" s="1" t="str">
        <f>"BRINKLEY TRESSA"</f>
        <v>BRINKLEY TRESSA</v>
      </c>
      <c r="C1887" s="1" t="str">
        <f>"ELIZABETH AVENUE CALDWELL'S MAIN STREET ADD 5' OFF SS LOT 89 &amp; LOT 91 (40.5' X 150') VACANT LOT"</f>
        <v>ELIZABETH AVENUE CALDWELL'S MAIN STREET ADD 5' OFF SS LOT 89 &amp; LOT 91 (40.5' X 150') VACANT LOT</v>
      </c>
      <c r="D1887" s="1">
        <v>726.87</v>
      </c>
    </row>
    <row r="1888" spans="1:4" x14ac:dyDescent="0.3">
      <c r="A1888" s="1" t="str">
        <f>"57016525200"</f>
        <v>57016525200</v>
      </c>
      <c r="B1888" s="1" t="str">
        <f>"BRINSER KATHLEEN M"</f>
        <v>BRINSER KATHLEEN M</v>
      </c>
      <c r="C1888" s="1" t="str">
        <f>"BAYTREE DRIVE LAUREL GREENE LOT 85"</f>
        <v>BAYTREE DRIVE LAUREL GREENE LOT 85</v>
      </c>
      <c r="D1888" s="1">
        <v>1543.85</v>
      </c>
    </row>
    <row r="1889" spans="1:4" x14ac:dyDescent="0.3">
      <c r="A1889" s="1" t="str">
        <f>"01003031500"</f>
        <v>01003031500</v>
      </c>
      <c r="B1889" s="1" t="str">
        <f>"BRIO DYNAMICS LLC"</f>
        <v>BRIO DYNAMICS LLC</v>
      </c>
      <c r="C1889" s="1" t="str">
        <f>"158-158 1/2-60 BARTHMAN AVE 44FT WE L 64 LNTN &amp; MCLRNS"</f>
        <v>158-158 1/2-60 BARTHMAN AVE 44FT WE L 64 LNTN &amp; MCLRNS</v>
      </c>
      <c r="D1889" s="1">
        <v>1308.97</v>
      </c>
    </row>
    <row r="1890" spans="1:4" x14ac:dyDescent="0.3">
      <c r="A1890" s="1" t="str">
        <f>"01007451600"</f>
        <v>01007451600</v>
      </c>
      <c r="B1890" s="1" t="str">
        <f>"BRISCO JENNIFER"</f>
        <v>BRISCO JENNIFER</v>
      </c>
      <c r="C1890" s="1" t="str">
        <f>"LORETTA AVE HIGHWAY PK LOT 118"</f>
        <v>LORETTA AVE HIGHWAY PK LOT 118</v>
      </c>
      <c r="D1890" s="1">
        <v>909.93</v>
      </c>
    </row>
    <row r="1891" spans="1:4" x14ac:dyDescent="0.3">
      <c r="A1891" s="1" t="str">
        <f>"01013441900"</f>
        <v>01013441900</v>
      </c>
      <c r="B1891" s="1" t="str">
        <f>"BRISCO SHARON D, SPANN DEBORAH J"</f>
        <v>BRISCO SHARON D, SPANN DEBORAH J</v>
      </c>
      <c r="C1891" s="1" t="str">
        <f>"KOEBEL RADCLIFF 2 LOT 276"</f>
        <v>KOEBEL RADCLIFF 2 LOT 276</v>
      </c>
      <c r="D1891" s="1">
        <v>1427.83</v>
      </c>
    </row>
    <row r="1892" spans="1:4" x14ac:dyDescent="0.3">
      <c r="A1892" s="1" t="str">
        <f>"01006142800"</f>
        <v>01006142800</v>
      </c>
      <c r="B1892" s="1" t="str">
        <f>"BRISCO THOMAS, BRISCO JOANNE"</f>
        <v>BRISCO THOMAS, BRISCO JOANNE</v>
      </c>
      <c r="C1892" s="1" t="str">
        <f>"BRIARWOOD AVE HIGHWAY PARK LOT 300"</f>
        <v>BRIARWOOD AVE HIGHWAY PARK LOT 300</v>
      </c>
      <c r="D1892" s="1">
        <v>3415.14</v>
      </c>
    </row>
    <row r="1893" spans="1:4" x14ac:dyDescent="0.3">
      <c r="A1893" s="1" t="str">
        <f>"18000282700"</f>
        <v>18000282700</v>
      </c>
      <c r="B1893" s="1" t="str">
        <f>"BRITFORD DORA"</f>
        <v>BRITFORD DORA</v>
      </c>
      <c r="C1893" s="1" t="str">
        <f>"HARBOR BLVD 60FT WS 17&amp;5FT ES18BLACKLICK ESTATES 4 17-18"</f>
        <v>HARBOR BLVD 60FT WS 17&amp;5FT ES18BLACKLICK ESTATES 4 17-18</v>
      </c>
      <c r="D1893" s="1">
        <v>181.96</v>
      </c>
    </row>
    <row r="1894" spans="1:4" x14ac:dyDescent="0.3">
      <c r="A1894" s="1" t="str">
        <f>"01009224500"</f>
        <v>01009224500</v>
      </c>
      <c r="B1894" s="1" t="str">
        <f>"BRITT CHARLES J, BRITT JUDITH M"</f>
        <v>BRITT CHARLES J, BRITT JUDITH M</v>
      </c>
      <c r="C1894" s="1" t="str">
        <f>"BERWICK ACRES .168 BERWICK PK "</f>
        <v xml:space="preserve">BERWICK ACRES .168 BERWICK PK </v>
      </c>
      <c r="D1894" s="1">
        <v>93.05</v>
      </c>
    </row>
    <row r="1895" spans="1:4" x14ac:dyDescent="0.3">
      <c r="A1895" s="1" t="str">
        <f>"22200071600"</f>
        <v>22200071600</v>
      </c>
      <c r="B1895" s="1" t="str">
        <f>"BRITTON MONIQUE, BRITTON ROBERT"</f>
        <v>BRITTON MONIQUE, BRITTON ROBERT</v>
      </c>
      <c r="C1895" s="1" t="str">
        <f>"HARLEM RD 2.850 ACRES R16 T2 1/4T3 LOT 5"</f>
        <v>HARLEM RD 2.850 ACRES R16 T2 1/4T3 LOT 5</v>
      </c>
      <c r="D1895" s="1">
        <v>2259.81</v>
      </c>
    </row>
    <row r="1896" spans="1:4" x14ac:dyDescent="0.3">
      <c r="A1896" s="1" t="str">
        <f>"24000269000"</f>
        <v>24000269000</v>
      </c>
      <c r="B1896" s="1" t="str">
        <f>"BRITTON WALTER S"</f>
        <v>BRITTON WALTER S</v>
      </c>
      <c r="C1896" s="1" t="str">
        <f>"OXLEY RD ROME HTS LOT 138"</f>
        <v>OXLEY RD ROME HTS LOT 138</v>
      </c>
      <c r="D1896" s="1">
        <v>123.6</v>
      </c>
    </row>
    <row r="1897" spans="1:4" x14ac:dyDescent="0.3">
      <c r="A1897" s="1" t="str">
        <f>"09000510400"</f>
        <v>09000510400</v>
      </c>
      <c r="B1897" s="1" t="str">
        <f>"BROAD REALTY LLC"</f>
        <v>BROAD REALTY LLC</v>
      </c>
      <c r="C1897" s="1" t="str">
        <f>"3733-737 E BROAD ST       S B MYERS                 LOT 4                    "</f>
        <v xml:space="preserve">3733-737 E BROAD ST       S B MYERS                 LOT 4                    </v>
      </c>
      <c r="D1897" s="1">
        <v>10630.37</v>
      </c>
    </row>
    <row r="1898" spans="1:4" x14ac:dyDescent="0.3">
      <c r="A1898" s="1" t="str">
        <f>"09000200900"</f>
        <v>09000200900</v>
      </c>
      <c r="B1898" s="1" t="str">
        <f>"BROAD REALTY LLC"</f>
        <v>BROAD REALTY LLC</v>
      </c>
      <c r="C1898" s="1" t="str">
        <f>"3739 E BROAD ST           W 1/2 LOWRIE BROS         LOT 7                    "</f>
        <v xml:space="preserve">3739 E BROAD ST           W 1/2 LOWRIE BROS         LOT 7                    </v>
      </c>
      <c r="D1898" s="1">
        <v>24799.09</v>
      </c>
    </row>
    <row r="1899" spans="1:4" x14ac:dyDescent="0.3">
      <c r="A1899" s="1" t="str">
        <f>"09000059100"</f>
        <v>09000059100</v>
      </c>
      <c r="B1899" s="1" t="str">
        <f>"BROAD REALTY LLC"</f>
        <v>BROAD REALTY LLC</v>
      </c>
      <c r="C1899" s="1" t="str">
        <f>"3745 BROAD ST E 1/2       LOWRIE BROS               LOT 7                    "</f>
        <v xml:space="preserve">3745 BROAD ST E 1/2       LOWRIE BROS               LOT 7                    </v>
      </c>
      <c r="D1899" s="1">
        <v>2561.9299999999998</v>
      </c>
    </row>
    <row r="1900" spans="1:4" x14ac:dyDescent="0.3">
      <c r="A1900" s="1" t="str">
        <f>"56020364200"</f>
        <v>56020364200</v>
      </c>
      <c r="B1900" s="1" t="str">
        <f>"BROADSTONE RONALD D, TROYAN PATRICIA A"</f>
        <v>BROADSTONE RONALD D, TROYAN PATRICIA A</v>
      </c>
      <c r="C1900" s="1" t="str">
        <f>"WHITE BARK PLACE SCIOTO TRACE SECTION 3 LOT 113"</f>
        <v>WHITE BARK PLACE SCIOTO TRACE SECTION 3 LOT 113</v>
      </c>
      <c r="D1900" s="1">
        <v>381.67</v>
      </c>
    </row>
    <row r="1901" spans="1:4" x14ac:dyDescent="0.3">
      <c r="A1901" s="1" t="str">
        <f>"53017795200"</f>
        <v>53017795200</v>
      </c>
      <c r="B1901" s="1" t="str">
        <f>"BROBECK JACK L, BROBECK NANCY A"</f>
        <v>BROBECK JACK L, BROBECK NANCY A</v>
      </c>
      <c r="C1901" s="1" t="str">
        <f>"DEEPWOOD DRIVE INDEPENDENCE VIL E 1 LOT 102"</f>
        <v>DEEPWOOD DRIVE INDEPENDENCE VIL E 1 LOT 102</v>
      </c>
      <c r="D1901" s="1">
        <v>1325.31</v>
      </c>
    </row>
    <row r="1902" spans="1:4" x14ac:dyDescent="0.3">
      <c r="A1902" s="1" t="str">
        <f>"01007499400"</f>
        <v>01007499400</v>
      </c>
      <c r="B1902" s="1" t="str">
        <f>"BROCK KELLY A"</f>
        <v>BROCK KELLY A</v>
      </c>
      <c r="C1902" s="1" t="str">
        <f>"MC GUFFEY RD GRASMERE GARDENS LOT 231"</f>
        <v>MC GUFFEY RD GRASMERE GARDENS LOT 231</v>
      </c>
      <c r="D1902" s="1">
        <v>924.06</v>
      </c>
    </row>
    <row r="1903" spans="1:4" x14ac:dyDescent="0.3">
      <c r="A1903" s="1" t="str">
        <f>"01007457800"</f>
        <v>01007457800</v>
      </c>
      <c r="B1903" s="1" t="str">
        <f>"BROCKINGTON JAMES JR, BROCKINGTON GWENDOLYN P"</f>
        <v>BROCKINGTON JAMES JR, BROCKINGTON GWENDOLYN P</v>
      </c>
      <c r="C1903" s="1" t="str">
        <f>"REPUBLIC AVE HIGHWAY PK LOT 236"</f>
        <v>REPUBLIC AVE HIGHWAY PK LOT 236</v>
      </c>
      <c r="D1903" s="1">
        <v>961.93</v>
      </c>
    </row>
    <row r="1904" spans="1:4" x14ac:dyDescent="0.3">
      <c r="A1904" s="1" t="str">
        <f>"01008371700"</f>
        <v>01008371700</v>
      </c>
      <c r="B1904" s="1" t="str">
        <f>"BROCKWAY MICHAEL T"</f>
        <v>BROCKWAY MICHAEL T</v>
      </c>
      <c r="C1904" s="1" t="str">
        <f>"2902 GRASMERE AVE SUNNYSIDE LOT 599"</f>
        <v>2902 GRASMERE AVE SUNNYSIDE LOT 599</v>
      </c>
      <c r="D1904" s="1">
        <v>62.77</v>
      </c>
    </row>
    <row r="1905" spans="1:4" x14ac:dyDescent="0.3">
      <c r="A1905" s="1" t="str">
        <f>"01028655700"</f>
        <v>01028655700</v>
      </c>
      <c r="B1905" s="1" t="str">
        <f>"BRODERICK CHRISTOPHER, BRODERICK JEAN"</f>
        <v>BRODERICK CHRISTOPHER, BRODERICK JEAN</v>
      </c>
      <c r="C1905" s="1" t="str">
        <f>"8 ON THE SQUARE           CONDOMINIUM               UNIT 1500                "</f>
        <v xml:space="preserve">8 ON THE SQUARE           CONDOMINIUM               UNIT 1500                </v>
      </c>
      <c r="D1905" s="1">
        <v>287.72000000000003</v>
      </c>
    </row>
    <row r="1906" spans="1:4" x14ac:dyDescent="0.3">
      <c r="A1906" s="1" t="str">
        <f>"07000267300"</f>
        <v>07000267300</v>
      </c>
      <c r="B1906" s="1" t="str">
        <f>"BRODERICK MICHAEL, BRODERICK SHAUNA"</f>
        <v>BRODERICK MICHAEL, BRODERICK SHAUNA</v>
      </c>
      <c r="C1906" s="1" t="str">
        <f>"NORTHWEST BLVD BRANDON HEIGHTS LOT 86"</f>
        <v>NORTHWEST BLVD BRANDON HEIGHTS LOT 86</v>
      </c>
      <c r="D1906" s="1">
        <v>1258.23</v>
      </c>
    </row>
    <row r="1907" spans="1:4" x14ac:dyDescent="0.3">
      <c r="A1907" s="1" t="str">
        <f>"01010656700"</f>
        <v>01010656700</v>
      </c>
      <c r="B1907" s="1" t="str">
        <f>"BRODIE IMOGENE"</f>
        <v>BRODIE IMOGENE</v>
      </c>
      <c r="C1907" s="1" t="str">
        <f>"SCHAAF DR S BERWICK LOT 106"</f>
        <v>SCHAAF DR S BERWICK LOT 106</v>
      </c>
      <c r="D1907" s="1">
        <v>2291.1999999999998</v>
      </c>
    </row>
    <row r="1908" spans="1:4" x14ac:dyDescent="0.3">
      <c r="A1908" s="1" t="str">
        <f>"01012356200"</f>
        <v>01012356200</v>
      </c>
      <c r="B1908" s="1" t="str">
        <f>"BRODSKY JENNIFER"</f>
        <v>BRODSKY JENNIFER</v>
      </c>
      <c r="C1908" s="1" t="str">
        <f>"FLORIBUNDA DR SOUTHBERVICK 2 LOT 189"</f>
        <v>FLORIBUNDA DR SOUTHBERVICK 2 LOT 189</v>
      </c>
      <c r="D1908" s="1">
        <v>365.51</v>
      </c>
    </row>
    <row r="1909" spans="1:4" x14ac:dyDescent="0.3">
      <c r="A1909" s="1" t="str">
        <f>"07000018000"</f>
        <v>07000018000</v>
      </c>
      <c r="B1909" s="1" t="str">
        <f>"BRODY JOHN P, MILLER CATHERINE F"</f>
        <v>BRODY JOHN P, MILLER CATHERINE F</v>
      </c>
      <c r="C1909" s="1" t="str">
        <f>"1894 KING AVE UPPER ARLINGTON LOT 2 BLK 21"</f>
        <v>1894 KING AVE UPPER ARLINGTON LOT 2 BLK 21</v>
      </c>
      <c r="D1909" s="1">
        <v>41.97</v>
      </c>
    </row>
    <row r="1910" spans="1:4" x14ac:dyDescent="0.3">
      <c r="A1910" s="1" t="str">
        <f>"02000418100"</f>
        <v>02000418100</v>
      </c>
      <c r="B1910" s="1" t="str">
        <f>"BROIDY MICHAEL A, BROIDY DEBORAH G"</f>
        <v>BROIDY MICHAEL A, BROIDY DEBORAH G</v>
      </c>
      <c r="C1910" s="1" t="str">
        <f>"274 S CASSADY RD RUDOLPHS FAIRWOOD 13 "</f>
        <v xml:space="preserve">274 S CASSADY RD RUDOLPHS FAIRWOOD 13 </v>
      </c>
      <c r="D1910" s="1">
        <v>610.92999999999995</v>
      </c>
    </row>
    <row r="1911" spans="1:4" x14ac:dyDescent="0.3">
      <c r="A1911" s="1" t="str">
        <f>"01012352300"</f>
        <v>01012352300</v>
      </c>
      <c r="B1911" s="1" t="str">
        <f>"BRONNER MIRIAM Z"</f>
        <v>BRONNER MIRIAM Z</v>
      </c>
      <c r="C1911" s="1" t="str">
        <f>"SONATA DR SOUTH BERWICK2 LOT 150"</f>
        <v>SONATA DR SOUTH BERWICK2 LOT 150</v>
      </c>
      <c r="D1911" s="1">
        <v>2563.21</v>
      </c>
    </row>
    <row r="1912" spans="1:4" x14ac:dyDescent="0.3">
      <c r="A1912" s="1" t="str">
        <f>"08000716900"</f>
        <v>08000716900</v>
      </c>
      <c r="B1912" s="1" t="str">
        <f>"BROOKER PAMELA S, BROOKER ASHTON"</f>
        <v>BROOKER PAMELA S, BROOKER ASHTON</v>
      </c>
      <c r="C1912" s="1" t="str">
        <f>"143 KEETHLER DR S SPRING GROVE #3 SEC2 LOT 444"</f>
        <v>143 KEETHLER DR S SPRING GROVE #3 SEC2 LOT 444</v>
      </c>
      <c r="D1912" s="1">
        <v>319.64999999999998</v>
      </c>
    </row>
    <row r="1913" spans="1:4" x14ac:dyDescent="0.3">
      <c r="A1913" s="1" t="str">
        <f>"01018320200"</f>
        <v>01018320200</v>
      </c>
      <c r="B1913" s="1" t="str">
        <f>"BROOKINS LISA M"</f>
        <v>BROOKINS LISA M</v>
      </c>
      <c r="C1913" s="1" t="str">
        <f>"SCOTLAND YARD CONDO UNIT 5782 BLDG 24 "</f>
        <v xml:space="preserve">SCOTLAND YARD CONDO UNIT 5782 BLDG 24 </v>
      </c>
      <c r="D1913" s="1">
        <v>1206.81</v>
      </c>
    </row>
    <row r="1914" spans="1:4" x14ac:dyDescent="0.3">
      <c r="A1914" s="1" t="str">
        <f>"01016939000"</f>
        <v>01016939000</v>
      </c>
      <c r="B1914" s="1" t="str">
        <f>"BROOKS AISHA RENA"</f>
        <v>BROOKS AISHA RENA</v>
      </c>
      <c r="C1914" s="1" t="str">
        <f>"SHERRY COURT WALNUT BLUFF NO 5 SEC ONE LOT 1152"</f>
        <v>SHERRY COURT WALNUT BLUFF NO 5 SEC ONE LOT 1152</v>
      </c>
      <c r="D1914" s="1">
        <v>665.87</v>
      </c>
    </row>
    <row r="1915" spans="1:4" x14ac:dyDescent="0.3">
      <c r="A1915" s="1" t="str">
        <f>"56024927700"</f>
        <v>56024927700</v>
      </c>
      <c r="B1915" s="1" t="str">
        <f>"BROOKS KEITH H TR, BROOKS JULIE A TR"</f>
        <v>BROOKS KEITH H TR, BROOKS JULIE A TR</v>
      </c>
      <c r="C1915" s="1" t="str">
        <f>"RIVER THAMES STREET RIVER'S GATE LOT 27"</f>
        <v>RIVER THAMES STREET RIVER'S GATE LOT 27</v>
      </c>
      <c r="D1915" s="1">
        <v>9538.99</v>
      </c>
    </row>
    <row r="1916" spans="1:4" x14ac:dyDescent="0.3">
      <c r="A1916" s="1" t="str">
        <f>"56026784600"</f>
        <v>56026784600</v>
      </c>
      <c r="B1916" s="1" t="str">
        <f>"BROOKS KELLY E TTEE"</f>
        <v>BROOKS KELLY E TTEE</v>
      </c>
      <c r="C1916" s="1" t="str">
        <f>"HEMLOCK EDGE DRIVE LAKEWOOD SECTION 6 LOT 434"</f>
        <v>HEMLOCK EDGE DRIVE LAKEWOOD SECTION 6 LOT 434</v>
      </c>
      <c r="D1916" s="1">
        <v>450.26</v>
      </c>
    </row>
    <row r="1917" spans="1:4" x14ac:dyDescent="0.3">
      <c r="A1917" s="1" t="str">
        <f>"01031864700"</f>
        <v>01031864700</v>
      </c>
      <c r="B1917" s="1" t="str">
        <f>"BROOKVIEW HOMEOWNERS ASSOCIATION INC"</f>
        <v>BROOKVIEW HOMEOWNERS ASSOCIATION INC</v>
      </c>
      <c r="C1917" s="1" t="str">
        <f>"BROOKVIEW SECTION 2 RESERVE C "</f>
        <v xml:space="preserve">BROOKVIEW SECTION 2 RESERVE C </v>
      </c>
      <c r="D1917" s="1">
        <v>59.46</v>
      </c>
    </row>
    <row r="1918" spans="1:4" x14ac:dyDescent="0.3">
      <c r="A1918" s="1" t="str">
        <f>"01031860200"</f>
        <v>01031860200</v>
      </c>
      <c r="B1918" s="1" t="str">
        <f>"BROOKVIEW HOMEOWNERS ASSOCIATION INC"</f>
        <v>BROOKVIEW HOMEOWNERS ASSOCIATION INC</v>
      </c>
      <c r="C1918" s="1" t="str">
        <f>"BROOKVIEW SECTION 1 RESERVE B "</f>
        <v xml:space="preserve">BROOKVIEW SECTION 1 RESERVE B </v>
      </c>
      <c r="D1918" s="1">
        <v>31.86</v>
      </c>
    </row>
    <row r="1919" spans="1:4" x14ac:dyDescent="0.3">
      <c r="A1919" s="1" t="str">
        <f>"01031860300"</f>
        <v>01031860300</v>
      </c>
      <c r="B1919" s="1" t="str">
        <f>"BROOKVIEW HOMEOWNERS ASSOCIATION INC"</f>
        <v>BROOKVIEW HOMEOWNERS ASSOCIATION INC</v>
      </c>
      <c r="C1919" s="1" t="str">
        <f>"BROOKVIEW SECTION 1 RESERVE D "</f>
        <v xml:space="preserve">BROOKVIEW SECTION 1 RESERVE D </v>
      </c>
      <c r="D1919" s="1">
        <v>173.09</v>
      </c>
    </row>
    <row r="1920" spans="1:4" x14ac:dyDescent="0.3">
      <c r="A1920" s="1" t="str">
        <f>"01031860400"</f>
        <v>01031860400</v>
      </c>
      <c r="B1920" s="1" t="str">
        <f>"BROOKVIEW HOMEOWNERS ASSOCIATION INC"</f>
        <v>BROOKVIEW HOMEOWNERS ASSOCIATION INC</v>
      </c>
      <c r="C1920" s="1" t="str">
        <f>"BROOKVIEW SECTION 1 RESERVE E "</f>
        <v xml:space="preserve">BROOKVIEW SECTION 1 RESERVE E </v>
      </c>
      <c r="D1920" s="1">
        <v>14.85</v>
      </c>
    </row>
    <row r="1921" spans="1:4" x14ac:dyDescent="0.3">
      <c r="A1921" s="1" t="str">
        <f>"01031860500"</f>
        <v>01031860500</v>
      </c>
      <c r="B1921" s="1" t="str">
        <f>"BROOKVIEW HOMEOWNERS ASSOCIATION INC"</f>
        <v>BROOKVIEW HOMEOWNERS ASSOCIATION INC</v>
      </c>
      <c r="C1921" s="1" t="str">
        <f>"BROOKVIEW SECTION 1 RESERVE F "</f>
        <v xml:space="preserve">BROOKVIEW SECTION 1 RESERVE F </v>
      </c>
      <c r="D1921" s="1">
        <v>208.13</v>
      </c>
    </row>
    <row r="1922" spans="1:4" x14ac:dyDescent="0.3">
      <c r="A1922" s="1" t="str">
        <f>"01008132800"</f>
        <v>01008132800</v>
      </c>
      <c r="B1922" s="1" t="str">
        <f>"BROSIE RONALD E, BROSIE DEREK T"</f>
        <v>BROSIE RONALD E, BROSIE DEREK T</v>
      </c>
      <c r="C1922" s="1" t="str">
        <f>"DRESDEN ST KENMORE LOT 166"</f>
        <v>DRESDEN ST KENMORE LOT 166</v>
      </c>
      <c r="D1922" s="1">
        <v>1036.2</v>
      </c>
    </row>
    <row r="1923" spans="1:4" x14ac:dyDescent="0.3">
      <c r="A1923" s="1" t="str">
        <f>"01006372000"</f>
        <v>01006372000</v>
      </c>
      <c r="B1923" s="1" t="str">
        <f>"BROTHERS FOR LIFE LLC"</f>
        <v>BROTHERS FOR LIFE LLC</v>
      </c>
      <c r="C1923" s="1" t="str">
        <f>"1288 INDIANOLA AVE 34FT SS HORLOCKER LOT 7"</f>
        <v>1288 INDIANOLA AVE 34FT SS HORLOCKER LOT 7</v>
      </c>
      <c r="D1923" s="1">
        <v>442.69</v>
      </c>
    </row>
    <row r="1924" spans="1:4" x14ac:dyDescent="0.3">
      <c r="A1924" s="1" t="str">
        <f>"01014321100"</f>
        <v>01014321100</v>
      </c>
      <c r="B1924" s="1" t="str">
        <f>"BROWDER EARNEST F, BROWDER DELORES E"</f>
        <v>BROWDER EARNEST F, BROWDER DELORES E</v>
      </c>
      <c r="C1924" s="1" t="str">
        <f>"PENFIELD RD E HAVILAND 7 LOT 280"</f>
        <v>PENFIELD RD E HAVILAND 7 LOT 280</v>
      </c>
      <c r="D1924" s="1">
        <v>2013.54</v>
      </c>
    </row>
    <row r="1925" spans="1:4" x14ac:dyDescent="0.3">
      <c r="A1925" s="1" t="str">
        <f>"01026124200"</f>
        <v>01026124200</v>
      </c>
      <c r="B1925" s="1" t="str">
        <f>"BROWN ALLEN B JR"</f>
        <v>BROWN ALLEN B JR</v>
      </c>
      <c r="C1925" s="1" t="str">
        <f>"RAYNOR DR SOMERSET #1 55'VAC AVONLEA RD EAST"</f>
        <v>RAYNOR DR SOMERSET #1 55'VAC AVONLEA RD EAST</v>
      </c>
      <c r="D1925" s="1">
        <v>7.41</v>
      </c>
    </row>
    <row r="1926" spans="1:4" x14ac:dyDescent="0.3">
      <c r="A1926" s="1" t="str">
        <f>"01000290900"</f>
        <v>01000290900</v>
      </c>
      <c r="B1926" s="1" t="str">
        <f>"BROWN ANDRE"</f>
        <v>BROWN ANDRE</v>
      </c>
      <c r="C1926" s="1" t="str">
        <f>"1071-73 STUDER AVE STUDER AMD PT LOTS 281-282-283"</f>
        <v>1071-73 STUDER AVE STUDER AMD PT LOTS 281-282-283</v>
      </c>
      <c r="D1926" s="1">
        <v>2170.5500000000002</v>
      </c>
    </row>
    <row r="1927" spans="1:4" x14ac:dyDescent="0.3">
      <c r="A1927" s="1" t="str">
        <f>"57016860200"</f>
        <v>57016860200</v>
      </c>
      <c r="B1927" s="1" t="str">
        <f>"BROWN ANGELL W"</f>
        <v>BROWN ANGELL W</v>
      </c>
      <c r="C1927" s="1" t="str">
        <f>"DEXTER AVE BURNSIDE HTS LOT 78"</f>
        <v>DEXTER AVE BURNSIDE HTS LOT 78</v>
      </c>
      <c r="D1927" s="1">
        <v>543.82000000000005</v>
      </c>
    </row>
    <row r="1928" spans="1:4" x14ac:dyDescent="0.3">
      <c r="A1928" s="1" t="str">
        <f>"57016849900"</f>
        <v>57016849900</v>
      </c>
      <c r="B1928" s="1" t="str">
        <f>"BROWN ANGELL W, SMITH DORRIAN"</f>
        <v>BROWN ANGELL W, SMITH DORRIAN</v>
      </c>
      <c r="C1928" s="1" t="str">
        <f>"714 DEXTER AVE BURNSIDE HTS LOT 104"</f>
        <v>714 DEXTER AVE BURNSIDE HTS LOT 104</v>
      </c>
      <c r="D1928" s="1">
        <v>549.87</v>
      </c>
    </row>
    <row r="1929" spans="1:4" x14ac:dyDescent="0.3">
      <c r="A1929" s="1" t="str">
        <f>"57016851400"</f>
        <v>57016851400</v>
      </c>
      <c r="B1929" s="1" t="str">
        <f>"BROWN ANGELL W, SMITH DORRIAN"</f>
        <v>BROWN ANGELL W, SMITH DORRIAN</v>
      </c>
      <c r="C1929" s="1" t="str">
        <f>"706 DEXTER AVE BURNSIDE HTS LOTS 102 &amp; 103"</f>
        <v>706 DEXTER AVE BURNSIDE HTS LOTS 102 &amp; 103</v>
      </c>
      <c r="D1929" s="1">
        <v>1649.97</v>
      </c>
    </row>
    <row r="1930" spans="1:4" x14ac:dyDescent="0.3">
      <c r="A1930" s="1" t="str">
        <f>"10000097500"</f>
        <v>10000097500</v>
      </c>
      <c r="B1930" s="1" t="str">
        <f>"BROWN BRIAN K, BROWN SUSAN M"</f>
        <v>BROWN BRIAN K, BROWN SUSAN M</v>
      </c>
      <c r="C1930" s="1" t="str">
        <f>"21 ORCHARD DR PARK HIGHLANDS LOT WS 81"</f>
        <v>21 ORCHARD DR PARK HIGHLANDS LOT WS 81</v>
      </c>
      <c r="D1930" s="1">
        <v>3856.63</v>
      </c>
    </row>
    <row r="1931" spans="1:4" x14ac:dyDescent="0.3">
      <c r="A1931" s="1" t="str">
        <f>"01005629400"</f>
        <v>01005629400</v>
      </c>
      <c r="B1931" s="1" t="str">
        <f>"BROWN CHERYL L"</f>
        <v>BROWN CHERYL L</v>
      </c>
      <c r="C1931" s="1" t="str">
        <f>"877 MOHAWK JAEGER LOT 98"</f>
        <v>877 MOHAWK JAEGER LOT 98</v>
      </c>
      <c r="D1931" s="1">
        <v>4252.91</v>
      </c>
    </row>
    <row r="1932" spans="1:4" x14ac:dyDescent="0.3">
      <c r="A1932" s="1" t="str">
        <f>"25000681800"</f>
        <v>25000681800</v>
      </c>
      <c r="B1932" s="1" t="str">
        <f>"BROWN D ROBIN"</f>
        <v>BROWN D ROBIN</v>
      </c>
      <c r="C1932" s="1" t="str">
        <f>"WOODS LANE .728 ACRE OLD WOODS FARM 3 LOT 24"</f>
        <v>WOODS LANE .728 ACRE OLD WOODS FARM 3 LOT 24</v>
      </c>
      <c r="D1932" s="1">
        <v>621.66</v>
      </c>
    </row>
    <row r="1933" spans="1:4" x14ac:dyDescent="0.3">
      <c r="A1933" s="1" t="str">
        <f>"61022013800"</f>
        <v>61022013800</v>
      </c>
      <c r="B1933" s="1" t="str">
        <f>"BROWN DAIL L, BROWN PAMELA J"</f>
        <v>BROWN DAIL L, BROWN PAMELA J</v>
      </c>
      <c r="C1933" s="1" t="str">
        <f>"WORTHINGTON GLEN NORTH CONDO 6TH AMD UNIT 20F"</f>
        <v>WORTHINGTON GLEN NORTH CONDO 6TH AMD UNIT 20F</v>
      </c>
      <c r="D1933" s="1">
        <v>1601.92</v>
      </c>
    </row>
    <row r="1934" spans="1:4" x14ac:dyDescent="0.3">
      <c r="A1934" s="1" t="str">
        <f>"01015683600"</f>
        <v>01015683600</v>
      </c>
      <c r="B1934" s="1" t="str">
        <f>"BROWN DARLENE W"</f>
        <v>BROWN DARLENE W</v>
      </c>
      <c r="C1934" s="1" t="str">
        <f>"LONE SPRUCE ROAD CUMBERLAND RIDGE SEC 2 LOT 296"</f>
        <v>LONE SPRUCE ROAD CUMBERLAND RIDGE SEC 2 LOT 296</v>
      </c>
      <c r="D1934" s="1">
        <v>1455.8</v>
      </c>
    </row>
    <row r="1935" spans="1:4" x14ac:dyDescent="0.3">
      <c r="A1935" s="1" t="str">
        <f>"01025929000"</f>
        <v>01025929000</v>
      </c>
      <c r="B1935" s="1" t="str">
        <f>"BROWN DARNELL"</f>
        <v>BROWN DARNELL</v>
      </c>
      <c r="C1935" s="1" t="str">
        <f>"CROSSGATE ROAD KINGSTON CROSSING SECTION 2 LOT 196"</f>
        <v>CROSSGATE ROAD KINGSTON CROSSING SECTION 2 LOT 196</v>
      </c>
      <c r="D1935" s="1">
        <v>2996.05</v>
      </c>
    </row>
    <row r="1936" spans="1:4" x14ac:dyDescent="0.3">
      <c r="A1936" s="1" t="str">
        <f>"01002121800"</f>
        <v>01002121800</v>
      </c>
      <c r="B1936" s="1" t="str">
        <f>"BROWN DAVID A JR"</f>
        <v>BROWN DAVID A JR</v>
      </c>
      <c r="C1936" s="1" t="str">
        <f>"125 E MOLER ST 31.3 X 93 FT ON MOLE R ST DAVIS LOT 9"</f>
        <v>125 E MOLER ST 31.3 X 93 FT ON MOLE R ST DAVIS LOT 9</v>
      </c>
      <c r="D1936" s="1">
        <v>1344.32</v>
      </c>
    </row>
    <row r="1937" spans="1:4" x14ac:dyDescent="0.3">
      <c r="A1937" s="1" t="str">
        <f>"52017272200"</f>
        <v>52017272200</v>
      </c>
      <c r="B1937" s="1" t="str">
        <f>"BROWN DEBRA SUE TTEE"</f>
        <v>BROWN DEBRA SUE TTEE</v>
      </c>
      <c r="C1937" s="1" t="str">
        <f>"3524 MELDRAKE ST RESUB VIRGINIA TERR LOT 181"</f>
        <v>3524 MELDRAKE ST RESUB VIRGINIA TERR LOT 181</v>
      </c>
      <c r="D1937" s="1">
        <v>195.15</v>
      </c>
    </row>
    <row r="1938" spans="1:4" x14ac:dyDescent="0.3">
      <c r="A1938" s="1" t="str">
        <f>"61017987300"</f>
        <v>61017987300</v>
      </c>
      <c r="B1938" s="1" t="str">
        <f>"BROWN DEMETRIUS DAVID, BROWN DEBORAH RHEA"</f>
        <v>BROWN DEMETRIUS DAVID, BROWN DEBORAH RHEA</v>
      </c>
      <c r="C1938" s="1" t="str">
        <f>"PENWOOD PLC SMOKY ROW MANOR NOR LOT 47"</f>
        <v>PENWOOD PLC SMOKY ROW MANOR NOR LOT 47</v>
      </c>
      <c r="D1938" s="1">
        <v>3778.9</v>
      </c>
    </row>
    <row r="1939" spans="1:4" x14ac:dyDescent="0.3">
      <c r="A1939" s="1" t="str">
        <f>"01007103500"</f>
        <v>01007103500</v>
      </c>
      <c r="B1939" s="1" t="str">
        <f>"BROWN DEYETT"</f>
        <v>BROWN DEYETT</v>
      </c>
      <c r="C1939" s="1" t="str">
        <f>"LEONARD AVE 1752 GEO WASHINGTON CARVER LOT 15"</f>
        <v>LEONARD AVE 1752 GEO WASHINGTON CARVER LOT 15</v>
      </c>
      <c r="D1939" s="1">
        <v>2176.6799999999998</v>
      </c>
    </row>
    <row r="1940" spans="1:4" x14ac:dyDescent="0.3">
      <c r="A1940" s="1" t="str">
        <f>"09000059300"</f>
        <v>09000059300</v>
      </c>
      <c r="B1940" s="1" t="str">
        <f>"BROWN GARY"</f>
        <v>BROWN GARY</v>
      </c>
      <c r="C1940" s="1" t="str">
        <f>"MAPLEWOOD AVE LOWRIE BROS 73"</f>
        <v>MAPLEWOOD AVE LOWRIE BROS 73</v>
      </c>
      <c r="D1940" s="1">
        <v>3896.37</v>
      </c>
    </row>
    <row r="1941" spans="1:4" x14ac:dyDescent="0.3">
      <c r="A1941" s="1" t="str">
        <f>"01026800300"</f>
        <v>01026800300</v>
      </c>
      <c r="B1941" s="1" t="str">
        <f>"BROWN HAYLEE E"</f>
        <v>BROWN HAYLEE E</v>
      </c>
      <c r="C1941" s="1" t="str">
        <f>"HARTFORD VILLAGE CONDOMINIUMS 2ND AMD G-32(GARAGE UNIT)"</f>
        <v>HARTFORD VILLAGE CONDOMINIUMS 2ND AMD G-32(GARAGE UNIT)</v>
      </c>
      <c r="D1941" s="1">
        <v>152.91999999999999</v>
      </c>
    </row>
    <row r="1942" spans="1:4" x14ac:dyDescent="0.3">
      <c r="A1942" s="1" t="str">
        <f>"61016636000"</f>
        <v>61016636000</v>
      </c>
      <c r="B1942" s="1" t="str">
        <f>"BROWN HELEN MARIE"</f>
        <v>BROWN HELEN MARIE</v>
      </c>
      <c r="C1942" s="1" t="str">
        <f>"BRENNAN PLACE WORTHINGVIEW SEC 2 LOT 77"</f>
        <v>BRENNAN PLACE WORTHINGVIEW SEC 2 LOT 77</v>
      </c>
      <c r="D1942" s="1">
        <v>5526.03</v>
      </c>
    </row>
    <row r="1943" spans="1:4" x14ac:dyDescent="0.3">
      <c r="A1943" s="1" t="str">
        <f>"01023440700"</f>
        <v>01023440700</v>
      </c>
      <c r="B1943" s="1" t="str">
        <f>"BROWN JACQUELYN ANN"</f>
        <v>BROWN JACQUELYN ANN</v>
      </c>
      <c r="C1943" s="1" t="str">
        <f>"THE VILLAGE AT WILLOW BROOK CONDO 11TH AMD UNIT 916"</f>
        <v>THE VILLAGE AT WILLOW BROOK CONDO 11TH AMD UNIT 916</v>
      </c>
      <c r="D1943" s="1">
        <v>169.22</v>
      </c>
    </row>
    <row r="1944" spans="1:4" x14ac:dyDescent="0.3">
      <c r="A1944" s="1" t="str">
        <f>"18000463100"</f>
        <v>18000463100</v>
      </c>
      <c r="B1944" s="1" t="str">
        <f>"BROWN JAMES H, BROWN PAULINE D"</f>
        <v>BROWN JAMES H, BROWN PAULINE D</v>
      </c>
      <c r="C1944" s="1" t="str">
        <f>"EVERSON RD W RESUB PT BLACKLICK ESTATE6 1185"</f>
        <v>EVERSON RD W RESUB PT BLACKLICK ESTATE6 1185</v>
      </c>
      <c r="D1944" s="1">
        <v>1943.33</v>
      </c>
    </row>
    <row r="1945" spans="1:4" x14ac:dyDescent="0.3">
      <c r="A1945" s="1" t="str">
        <f>"01016237700"</f>
        <v>01016237700</v>
      </c>
      <c r="B1945" s="1" t="str">
        <f>"BROWN KURT"</f>
        <v>BROWN KURT</v>
      </c>
      <c r="C1945" s="1" t="str">
        <f>"KIMBERLY VILLAS CON PHASE IV UNIT 33 D"</f>
        <v>KIMBERLY VILLAS CON PHASE IV UNIT 33 D</v>
      </c>
      <c r="D1945" s="1">
        <v>1346.12</v>
      </c>
    </row>
    <row r="1946" spans="1:4" x14ac:dyDescent="0.3">
      <c r="A1946" s="1" t="str">
        <f>"01023189900"</f>
        <v>01023189900</v>
      </c>
      <c r="B1946" s="1" t="str">
        <f>"BROWN LILLIE M"</f>
        <v>BROWN LILLIE M</v>
      </c>
      <c r="C1946" s="1" t="str">
        <f>"LEAFRIDGE LANE SHELBOURNE SECTION 1 LOT 26"</f>
        <v>LEAFRIDGE LANE SHELBOURNE SECTION 1 LOT 26</v>
      </c>
      <c r="D1946" s="1">
        <v>1614.7</v>
      </c>
    </row>
    <row r="1947" spans="1:4" x14ac:dyDescent="0.3">
      <c r="A1947" s="1" t="str">
        <f>"01003275200"</f>
        <v>01003275200</v>
      </c>
      <c r="B1947" s="1" t="str">
        <f>"BROWN LINDA C"</f>
        <v>BROWN LINDA C</v>
      </c>
      <c r="C1947" s="1" t="str">
        <f>"RAINBORPARK LIVINGSTONWHITTIER GARDENSLOT16"</f>
        <v>RAINBORPARK LIVINGSTONWHITTIER GARDENSLOT16</v>
      </c>
      <c r="D1947" s="1">
        <v>630.05999999999995</v>
      </c>
    </row>
    <row r="1948" spans="1:4" x14ac:dyDescent="0.3">
      <c r="A1948" s="1" t="str">
        <f>"06000352400"</f>
        <v>06000352400</v>
      </c>
      <c r="B1948" s="1" t="str">
        <f>"BROWN LITTIE"</f>
        <v>BROWN LITTIE</v>
      </c>
      <c r="C1948" s="1" t="str">
        <f>"1293 HILTON DR LUDLOW LOT 86"</f>
        <v>1293 HILTON DR LUDLOW LOT 86</v>
      </c>
      <c r="D1948" s="1">
        <v>2218.1</v>
      </c>
    </row>
    <row r="1949" spans="1:4" x14ac:dyDescent="0.3">
      <c r="A1949" s="1" t="str">
        <f>"01014468900"</f>
        <v>01014468900</v>
      </c>
      <c r="B1949" s="1" t="str">
        <f>"BROWN MARGARET L"</f>
        <v>BROWN MARGARET L</v>
      </c>
      <c r="C1949" s="1" t="str">
        <f>"ARROWOOD LOOP W FOREST PARK EAST SEC 1 LOT 88"</f>
        <v>ARROWOOD LOOP W FOREST PARK EAST SEC 1 LOT 88</v>
      </c>
      <c r="D1949" s="1">
        <v>2054.84</v>
      </c>
    </row>
    <row r="1950" spans="1:4" x14ac:dyDescent="0.3">
      <c r="A1950" s="1" t="str">
        <f>"01004199300"</f>
        <v>01004199300</v>
      </c>
      <c r="B1950" s="1" t="str">
        <f>"BROWN MELISSA, WALTON TROY"</f>
        <v>BROWN MELISSA, WALTON TROY</v>
      </c>
      <c r="C1950" s="1" t="str">
        <f>"WALHALLA ROAD WALHALLA AMD LOT 13"</f>
        <v>WALHALLA ROAD WALHALLA AMD LOT 13</v>
      </c>
      <c r="D1950" s="1">
        <v>588.84</v>
      </c>
    </row>
    <row r="1951" spans="1:4" x14ac:dyDescent="0.3">
      <c r="A1951" s="1" t="str">
        <f>"01001987000"</f>
        <v>01001987000</v>
      </c>
      <c r="B1951" s="1" t="str">
        <f>"BROWN MICHAEL R, BROWN TONETTE M"</f>
        <v>BROWN MICHAEL R, BROWN TONETTE M</v>
      </c>
      <c r="C1951" s="1" t="str">
        <f>"801 REINHARD AVE CITY PARK LOT 26"</f>
        <v>801 REINHARD AVE CITY PARK LOT 26</v>
      </c>
      <c r="D1951" s="1">
        <v>3387.07</v>
      </c>
    </row>
    <row r="1952" spans="1:4" x14ac:dyDescent="0.3">
      <c r="A1952" s="1" t="str">
        <f>"01000298800"</f>
        <v>01000298800</v>
      </c>
      <c r="B1952" s="1" t="str">
        <f>"BROWN MICHAEL, BROWN SKYLER L, BROWN TYLER M W"</f>
        <v>BROWN MICHAEL, BROWN SKYLER L, BROWN TYLER M W</v>
      </c>
      <c r="C1952" s="1" t="str">
        <f>"716 S 18TH ST T H BUTLER AMD PT LOTS 15-16"</f>
        <v>716 S 18TH ST T H BUTLER AMD PT LOTS 15-16</v>
      </c>
      <c r="D1952" s="1">
        <v>864.7</v>
      </c>
    </row>
    <row r="1953" spans="1:4" x14ac:dyDescent="0.3">
      <c r="A1953" s="1" t="str">
        <f>"57022115200"</f>
        <v>57022115200</v>
      </c>
      <c r="B1953" s="1" t="str">
        <f>"BROWN RAY F, BROWN BARBARA S"</f>
        <v>BROWN RAY F, BROWN BARBARA S</v>
      </c>
      <c r="C1953" s="1" t="str">
        <f>"MCSPADEN COURT SCIOTO WOODS SEC 6 LOT 399"</f>
        <v>MCSPADEN COURT SCIOTO WOODS SEC 6 LOT 399</v>
      </c>
      <c r="D1953" s="1">
        <v>2083.81</v>
      </c>
    </row>
    <row r="1954" spans="1:4" x14ac:dyDescent="0.3">
      <c r="A1954" s="1" t="str">
        <f>"16000282700"</f>
        <v>16000282700</v>
      </c>
      <c r="B1954" s="1" t="str">
        <f>"BROWN ROBIN T, BEAUDRY TYRA P"</f>
        <v>BROWN ROBIN T, BEAUDRY TYRA P</v>
      </c>
      <c r="C1954" s="1" t="str">
        <f>"LONDON GROVEPORT RD ENTRY 1108 5.154 ACRES"</f>
        <v>LONDON GROVEPORT RD ENTRY 1108 5.154 ACRES</v>
      </c>
      <c r="D1954" s="1">
        <v>6359.18</v>
      </c>
    </row>
    <row r="1955" spans="1:4" x14ac:dyDescent="0.3">
      <c r="A1955" s="1" t="str">
        <f>"01006047600"</f>
        <v>01006047600</v>
      </c>
      <c r="B1955" s="1" t="str">
        <f>"BROWN RODERICK E, BROWN SHEILA M"</f>
        <v>BROWN RODERICK E, BROWN SHEILA M</v>
      </c>
      <c r="C1955" s="1" t="str">
        <f>"22ND AVE WALDEMERE LOT 227"</f>
        <v>22ND AVE WALDEMERE LOT 227</v>
      </c>
      <c r="D1955" s="1">
        <v>225.5</v>
      </c>
    </row>
    <row r="1956" spans="1:4" x14ac:dyDescent="0.3">
      <c r="A1956" s="1" t="str">
        <f>"01001991200"</f>
        <v>01001991200</v>
      </c>
      <c r="B1956" s="1" t="str">
        <f>"BROWN RONALD FRANKLIN"</f>
        <v>BROWN RONALD FRANKLIN</v>
      </c>
      <c r="C1956" s="1" t="str">
        <f>"LOUIS HTS LOT 377 "</f>
        <v xml:space="preserve">LOUIS HTS LOT 377 </v>
      </c>
      <c r="D1956" s="1">
        <v>93.87</v>
      </c>
    </row>
    <row r="1957" spans="1:4" x14ac:dyDescent="0.3">
      <c r="A1957" s="1" t="str">
        <f>"01008902900"</f>
        <v>01008902900</v>
      </c>
      <c r="B1957" s="1" t="str">
        <f>"BROWN SHANNELLE M"</f>
        <v>BROWN SHANNELLE M</v>
      </c>
      <c r="C1957" s="1" t="str">
        <f>"WEYANT AVE LINCOLN PK LOT 362"</f>
        <v>WEYANT AVE LINCOLN PK LOT 362</v>
      </c>
      <c r="D1957" s="1">
        <v>1995.1</v>
      </c>
    </row>
    <row r="1958" spans="1:4" x14ac:dyDescent="0.3">
      <c r="A1958" s="1" t="str">
        <f>"05000496300"</f>
        <v>05000496300</v>
      </c>
      <c r="B1958" s="1" t="str">
        <f>"BROWN SHAREEN J"</f>
        <v>BROWN SHAREEN J</v>
      </c>
      <c r="C1958" s="1" t="str">
        <f>"4856 DUKE PHILLIP DR AVERY ESTATES CONDO UNIT 24A"</f>
        <v>4856 DUKE PHILLIP DR AVERY ESTATES CONDO UNIT 24A</v>
      </c>
      <c r="D1958" s="1">
        <v>4940.93</v>
      </c>
    </row>
    <row r="1959" spans="1:4" x14ac:dyDescent="0.3">
      <c r="A1959" s="1" t="str">
        <f>"05000496400"</f>
        <v>05000496400</v>
      </c>
      <c r="B1959" s="1" t="str">
        <f>"BROWN SHAREEN J"</f>
        <v>BROWN SHAREEN J</v>
      </c>
      <c r="C1959" s="1" t="str">
        <f>"4854 DUKE PHILLIP DR AVERY ESTATES CONDO UNIT 24B"</f>
        <v>4854 DUKE PHILLIP DR AVERY ESTATES CONDO UNIT 24B</v>
      </c>
      <c r="D1959" s="1">
        <v>4940.93</v>
      </c>
    </row>
    <row r="1960" spans="1:4" x14ac:dyDescent="0.3">
      <c r="A1960" s="1" t="str">
        <f>"01009290200"</f>
        <v>01009290200</v>
      </c>
      <c r="B1960" s="1" t="str">
        <f>"BROWN SHIRLEY A"</f>
        <v>BROWN SHIRLEY A</v>
      </c>
      <c r="C1960" s="1" t="str">
        <f>"DAWSON AVE BEXLEY HTS AMD LOT 90"</f>
        <v>DAWSON AVE BEXLEY HTS AMD LOT 90</v>
      </c>
      <c r="D1960" s="1">
        <v>1754.2</v>
      </c>
    </row>
    <row r="1961" spans="1:4" x14ac:dyDescent="0.3">
      <c r="A1961" s="1" t="str">
        <f>"57022834200"</f>
        <v>57022834200</v>
      </c>
      <c r="B1961" s="1" t="str">
        <f>"BROWN STEPHEN M, BROWN ADRIENE R"</f>
        <v>BROWN STEPHEN M, BROWN ADRIENE R</v>
      </c>
      <c r="C1961" s="1" t="str">
        <f>"SENECA WOODS SECTION 3 LOT 115"</f>
        <v>SENECA WOODS SECTION 3 LOT 115</v>
      </c>
      <c r="D1961" s="1">
        <v>3512.48</v>
      </c>
    </row>
    <row r="1962" spans="1:4" x14ac:dyDescent="0.3">
      <c r="A1962" s="1" t="str">
        <f>"01012368000"</f>
        <v>01012368000</v>
      </c>
      <c r="B1962" s="1" t="str">
        <f>"BROWN SUSAN E"</f>
        <v>BROWN SUSAN E</v>
      </c>
      <c r="C1962" s="1" t="str">
        <f>"HAVENDALE DR BRENTWOOD PK LOT 34"</f>
        <v>HAVENDALE DR BRENTWOOD PK LOT 34</v>
      </c>
      <c r="D1962" s="1">
        <v>2673.55</v>
      </c>
    </row>
    <row r="1963" spans="1:4" x14ac:dyDescent="0.3">
      <c r="A1963" s="1" t="str">
        <f>"01004769400"</f>
        <v>01004769400</v>
      </c>
      <c r="B1963" s="1" t="str">
        <f>"BROWN SUSIE G TOD"</f>
        <v>BROWN SUSIE G TOD</v>
      </c>
      <c r="C1963" s="1" t="str">
        <f>"OAKWOOD EAST LOT 394 "</f>
        <v xml:space="preserve">OAKWOOD EAST LOT 394 </v>
      </c>
      <c r="D1963" s="1">
        <v>115.59</v>
      </c>
    </row>
    <row r="1964" spans="1:4" x14ac:dyDescent="0.3">
      <c r="A1964" s="1" t="str">
        <f>"01004401000"</f>
        <v>01004401000</v>
      </c>
      <c r="B1964" s="1" t="str">
        <f>"BROWN THOMAS A, BROWN BRITTENY R"</f>
        <v>BROWN THOMAS A, BROWN BRITTENY R</v>
      </c>
      <c r="C1964" s="1" t="str">
        <f>"291 NO OGDEN AVE HILL CREST LOT 178"</f>
        <v>291 NO OGDEN AVE HILL CREST LOT 178</v>
      </c>
      <c r="D1964" s="1">
        <v>130.21</v>
      </c>
    </row>
    <row r="1965" spans="1:4" x14ac:dyDescent="0.3">
      <c r="A1965" s="1" t="str">
        <f>"01014148300"</f>
        <v>01014148300</v>
      </c>
      <c r="B1965" s="1" t="str">
        <f>"BROWN TIMOTHY, BROWN SHAWN, BROWN FELICIA"</f>
        <v>BROWN TIMOTHY, BROWN SHAWN, BROWN FELICIA</v>
      </c>
      <c r="C1965" s="1" t="str">
        <f>"PENFIELD RD HAVILAND 5 LOT 247"</f>
        <v>PENFIELD RD HAVILAND 5 LOT 247</v>
      </c>
      <c r="D1965" s="1">
        <v>759.6</v>
      </c>
    </row>
    <row r="1966" spans="1:4" x14ac:dyDescent="0.3">
      <c r="A1966" s="1" t="str">
        <f>"17000180800"</f>
        <v>17000180800</v>
      </c>
      <c r="B1966" s="1" t="str">
        <f>"BROWN WILLIAM M"</f>
        <v>BROWN WILLIAM M</v>
      </c>
      <c r="C1966" s="1" t="str">
        <f>"HAVENS RD R16 T1 1/4T1 1.0 ACS LOT 10-11"</f>
        <v>HAVENS RD R16 T1 1/4T1 1.0 ACS LOT 10-11</v>
      </c>
      <c r="D1966" s="1">
        <v>625.11</v>
      </c>
    </row>
    <row r="1967" spans="1:4" x14ac:dyDescent="0.3">
      <c r="A1967" s="1" t="str">
        <f>"17000190100"</f>
        <v>17000190100</v>
      </c>
      <c r="B1967" s="1" t="str">
        <f>"BROWN WILLIAM M"</f>
        <v>BROWN WILLIAM M</v>
      </c>
      <c r="C1967" s="1" t="str">
        <f>"7763 HAVENS RD R16 T1 1/4T1 LTS10-11 1.507AC"</f>
        <v>7763 HAVENS RD R16 T1 1/4T1 LTS10-11 1.507AC</v>
      </c>
      <c r="D1967" s="1">
        <v>3594.49</v>
      </c>
    </row>
    <row r="1968" spans="1:4" x14ac:dyDescent="0.3">
      <c r="A1968" s="1" t="str">
        <f>"19000509700"</f>
        <v>19000509700</v>
      </c>
      <c r="B1968" s="1" t="str">
        <f>"BROWN WILLIAM M"</f>
        <v>BROWN WILLIAM M</v>
      </c>
      <c r="C1968" s="1" t="str">
        <f>"2860 JOHNSTOWN RD R17 T1 1/4T4 .678 ACRE"</f>
        <v>2860 JOHNSTOWN RD R17 T1 1/4T4 .678 ACRE</v>
      </c>
      <c r="D1968" s="1">
        <v>14632.62</v>
      </c>
    </row>
    <row r="1969" spans="1:4" x14ac:dyDescent="0.3">
      <c r="A1969" s="1" t="str">
        <f>"01004597100"</f>
        <v>01004597100</v>
      </c>
      <c r="B1969" s="1" t="str">
        <f>"BROWN WILLIS E"</f>
        <v>BROWN WILLIS E</v>
      </c>
      <c r="C1969" s="1" t="str">
        <f>"SEVENTH AVE CASSADY 5TH AVE LOT 102-3"</f>
        <v>SEVENTH AVE CASSADY 5TH AVE LOT 102-3</v>
      </c>
      <c r="D1969" s="1">
        <v>1591.41</v>
      </c>
    </row>
    <row r="1970" spans="1:4" x14ac:dyDescent="0.3">
      <c r="A1970" s="1" t="str">
        <f>"01003826900"</f>
        <v>01003826900</v>
      </c>
      <c r="B1970" s="1" t="str">
        <f>"BROWN WILLIS E"</f>
        <v>BROWN WILLIS E</v>
      </c>
      <c r="C1970" s="1" t="str">
        <f>"EASTGROVE LOT 50-1  "</f>
        <v xml:space="preserve">EASTGROVE LOT 50-1  </v>
      </c>
      <c r="D1970" s="1">
        <v>262.94</v>
      </c>
    </row>
    <row r="1971" spans="1:4" x14ac:dyDescent="0.3">
      <c r="A1971" s="1" t="str">
        <f>"01003866300"</f>
        <v>01003866300</v>
      </c>
      <c r="B1971" s="1" t="str">
        <f>"BROWN WILLIS E JR"</f>
        <v>BROWN WILLIS E JR</v>
      </c>
      <c r="C1971" s="1" t="str">
        <f>"174 N MONROE AVE EAST GROVE ADDN LT55 EX2.5'SS &amp; 2'SS LT58"</f>
        <v>174 N MONROE AVE EAST GROVE ADDN LT55 EX2.5'SS &amp; 2'SS LT58</v>
      </c>
      <c r="D1971" s="1">
        <v>569.89</v>
      </c>
    </row>
    <row r="1972" spans="1:4" x14ac:dyDescent="0.3">
      <c r="A1972" s="1" t="str">
        <f>"01001866900"</f>
        <v>01001866900</v>
      </c>
      <c r="B1972" s="1" t="str">
        <f>"BROWN WILLIS E, JONES YOLANDA A"</f>
        <v>BROWN WILLIS E, JONES YOLANDA A</v>
      </c>
      <c r="C1972" s="1" t="str">
        <f>"156 N MONROE 20FT SS 50315FT NS 47 EAST GROVE L 47 50"</f>
        <v>156 N MONROE 20FT SS 50315FT NS 47 EAST GROVE L 47 50</v>
      </c>
      <c r="D1972" s="1">
        <v>273.56</v>
      </c>
    </row>
    <row r="1973" spans="1:4" x14ac:dyDescent="0.3">
      <c r="A1973" s="1" t="str">
        <f>"18000316900"</f>
        <v>18000316900</v>
      </c>
      <c r="B1973" s="1" t="str">
        <f>"BROWNING ETTA C, BROWNING ETTA"</f>
        <v>BROWNING ETTA C, BROWNING ETTA</v>
      </c>
      <c r="C1973" s="1" t="str">
        <f>"SEDALIA DR BLACKLICK ESTATES 3 525"</f>
        <v>SEDALIA DR BLACKLICK ESTATES 3 525</v>
      </c>
      <c r="D1973" s="1">
        <v>252.29</v>
      </c>
    </row>
    <row r="1974" spans="1:4" x14ac:dyDescent="0.3">
      <c r="A1974" s="1" t="str">
        <f>"02000030800"</f>
        <v>02000030800</v>
      </c>
      <c r="B1974" s="1" t="str">
        <f>"BROWNING JOHN WILSON IV, STANTON MORGAN"</f>
        <v>BROWNING JOHN WILSON IV, STANTON MORGAN</v>
      </c>
      <c r="C1974" s="1" t="str">
        <f>"2416 PLYMOUTH AV BULLITT PK EXT AMD 41"</f>
        <v>2416 PLYMOUTH AV BULLITT PK EXT AMD 41</v>
      </c>
      <c r="D1974" s="1">
        <v>16879.54</v>
      </c>
    </row>
    <row r="1975" spans="1:4" x14ac:dyDescent="0.3">
      <c r="A1975" s="1" t="str">
        <f>"18000159100"</f>
        <v>18000159100</v>
      </c>
      <c r="B1975" s="1" t="str">
        <f>"BROWNING SUSAN CAROL"</f>
        <v>BROWNING SUSAN CAROL</v>
      </c>
      <c r="C1975" s="1" t="str">
        <f>"BIXBY RD HARRIET LOT 11 "</f>
        <v xml:space="preserve">BIXBY RD HARRIET LOT 11 </v>
      </c>
      <c r="D1975" s="1">
        <v>1965.92</v>
      </c>
    </row>
    <row r="1976" spans="1:4" x14ac:dyDescent="0.3">
      <c r="A1976" s="1" t="str">
        <f>"15300025400"</f>
        <v>15300025400</v>
      </c>
      <c r="B1976" s="1" t="str">
        <f>"BROWNING WILLIAM JENNINGS"</f>
        <v>BROWNING WILLIAM JENNINGS</v>
      </c>
      <c r="C1976" s="1" t="str">
        <f>"4085 KLEINLINE LN R22 T4 S13 .434 ACRE"</f>
        <v>4085 KLEINLINE LN R22 T4 S13 .434 ACRE</v>
      </c>
      <c r="D1976" s="1">
        <v>76.569999999999993</v>
      </c>
    </row>
    <row r="1977" spans="1:4" x14ac:dyDescent="0.3">
      <c r="A1977" s="1" t="str">
        <f>"14000085400"</f>
        <v>14000085400</v>
      </c>
      <c r="B1977" s="1" t="str">
        <f>"BROWNS TIRE REAL ESTATE LLC"</f>
        <v>BROWNS TIRE REAL ESTATE LLC</v>
      </c>
      <c r="C1977" s="1" t="str">
        <f>"HARRISBURG PK GARLINGS LOT 9"</f>
        <v>HARRISBURG PK GARLINGS LOT 9</v>
      </c>
      <c r="D1977" s="1">
        <v>645.59</v>
      </c>
    </row>
    <row r="1978" spans="1:4" x14ac:dyDescent="0.3">
      <c r="A1978" s="1" t="str">
        <f>"04000089500"</f>
        <v>04000089500</v>
      </c>
      <c r="B1978" s="1" t="str">
        <f>"BRUBAKER CYNTHIA K"</f>
        <v>BRUBAKER CYNTHIA K</v>
      </c>
      <c r="C1978" s="1" t="str">
        <f>"4163 FRANKLIN STREET GROSSMAN PLACE LOT 8 &amp; 1 FT S S 7"</f>
        <v>4163 FRANKLIN STREET GROSSMAN PLACE LOT 8 &amp; 1 FT S S 7</v>
      </c>
      <c r="D1978" s="1">
        <v>94.28</v>
      </c>
    </row>
    <row r="1979" spans="1:4" x14ac:dyDescent="0.3">
      <c r="A1979" s="1" t="str">
        <f>"17000060800"</f>
        <v>17000060800</v>
      </c>
      <c r="B1979" s="1" t="str">
        <f>"BRUBAKER RONALD D TR"</f>
        <v>BRUBAKER RONALD D TR</v>
      </c>
      <c r="C1979" s="1" t="str">
        <f>"5969 TAYLOR RD ACRES 5.771 R16 T1 S3 26-27"</f>
        <v>5969 TAYLOR RD ACRES 5.771 R16 T1 S3 26-27</v>
      </c>
      <c r="D1979" s="1">
        <v>300.54000000000002</v>
      </c>
    </row>
    <row r="1980" spans="1:4" x14ac:dyDescent="0.3">
      <c r="A1980" s="1" t="str">
        <f>"01010838200"</f>
        <v>01010838200</v>
      </c>
      <c r="B1980" s="1" t="str">
        <f>"BRUBAKER RONALD D TR"</f>
        <v>BRUBAKER RONALD D TR</v>
      </c>
      <c r="C1980" s="1" t="str">
        <f>"CASE ROAD N LINDEN NO 1 LOT 209"</f>
        <v>CASE ROAD N LINDEN NO 1 LOT 209</v>
      </c>
      <c r="D1980" s="1">
        <v>40.369999999999997</v>
      </c>
    </row>
    <row r="1981" spans="1:4" x14ac:dyDescent="0.3">
      <c r="A1981" s="1" t="str">
        <f>"01000760400"</f>
        <v>01000760400</v>
      </c>
      <c r="B1981" s="1" t="str">
        <f>"BRUBAKER RONALD D TR"</f>
        <v>BRUBAKER RONALD D TR</v>
      </c>
      <c r="C1981" s="1" t="str">
        <f>"1101 NEIL AVE HOGAN SUB 2"</f>
        <v>1101 NEIL AVE HOGAN SUB 2</v>
      </c>
      <c r="D1981" s="1">
        <v>166.54</v>
      </c>
    </row>
    <row r="1982" spans="1:4" x14ac:dyDescent="0.3">
      <c r="A1982" s="1" t="str">
        <f>"17000086300"</f>
        <v>17000086300</v>
      </c>
      <c r="B1982" s="1" t="str">
        <f>"BRUBAKER RONALD TR, BRUBAKER VIRGINIA TR"</f>
        <v>BRUBAKER RONALD TR, BRUBAKER VIRGINIA TR</v>
      </c>
      <c r="C1982" s="1" t="str">
        <f>"5949 TAYLOR RD R18 T1 S3 0.908 ACRE"</f>
        <v>5949 TAYLOR RD R18 T1 S3 0.908 ACRE</v>
      </c>
      <c r="D1982" s="1">
        <v>126.45</v>
      </c>
    </row>
    <row r="1983" spans="1:4" x14ac:dyDescent="0.3">
      <c r="A1983" s="1" t="str">
        <f>"01011591700"</f>
        <v>01011591700</v>
      </c>
      <c r="B1983" s="1" t="str">
        <f>"BRUCE VERA J"</f>
        <v>BRUCE VERA J</v>
      </c>
      <c r="C1983" s="1" t="str">
        <f>"GROVEPORT PIKE ACRES .182 "</f>
        <v xml:space="preserve">GROVEPORT PIKE ACRES .182 </v>
      </c>
      <c r="D1983" s="1">
        <v>331.97</v>
      </c>
    </row>
    <row r="1984" spans="1:4" x14ac:dyDescent="0.3">
      <c r="A1984" s="1" t="str">
        <f>"01013180300"</f>
        <v>01013180300</v>
      </c>
      <c r="B1984" s="1" t="str">
        <f>"BRUCK PROPERTIES LLC"</f>
        <v>BRUCK PROPERTIES LLC</v>
      </c>
      <c r="C1984" s="1" t="str">
        <f>"875 GREENRIDGE RD INDIAN HILLS LOT 8"</f>
        <v>875 GREENRIDGE RD INDIAN HILLS LOT 8</v>
      </c>
      <c r="D1984" s="1">
        <v>3305.3</v>
      </c>
    </row>
    <row r="1985" spans="1:4" x14ac:dyDescent="0.3">
      <c r="A1985" s="1" t="str">
        <f>"01011273700"</f>
        <v>01011273700</v>
      </c>
      <c r="B1985" s="1" t="str">
        <f>"BRUMFIELD CORY MATAY"</f>
        <v>BRUMFIELD CORY MATAY</v>
      </c>
      <c r="C1985" s="1" t="str">
        <f>"GLENDOWER AVE CAMBRIA LOT 44"</f>
        <v>GLENDOWER AVE CAMBRIA LOT 44</v>
      </c>
      <c r="D1985" s="1">
        <v>1443.34</v>
      </c>
    </row>
    <row r="1986" spans="1:4" x14ac:dyDescent="0.3">
      <c r="A1986" s="1" t="str">
        <f>"01011432300"</f>
        <v>01011432300</v>
      </c>
      <c r="B1986" s="1" t="str">
        <f>"BRUMFIELD HELENA"</f>
        <v>BRUMFIELD HELENA</v>
      </c>
      <c r="C1986" s="1" t="str">
        <f>"KOEBEL AVE LEWIS SOUTHERN HEIGHTS LOT 103"</f>
        <v>KOEBEL AVE LEWIS SOUTHERN HEIGHTS LOT 103</v>
      </c>
      <c r="D1986" s="1">
        <v>174.3</v>
      </c>
    </row>
    <row r="1987" spans="1:4" x14ac:dyDescent="0.3">
      <c r="A1987" s="1" t="str">
        <f>"23000337700"</f>
        <v>23000337700</v>
      </c>
      <c r="B1987" s="1" t="str">
        <f>"BRUNGARTH RICHARD"</f>
        <v>BRUNGARTH RICHARD</v>
      </c>
      <c r="C1987" s="1" t="str">
        <f>"LONDON-GROVEPORT RD ENTRY 978-6178 7.375 ACRES"</f>
        <v>LONDON-GROVEPORT RD ENTRY 978-6178 7.375 ACRES</v>
      </c>
      <c r="D1987" s="1">
        <v>3313.78</v>
      </c>
    </row>
    <row r="1988" spans="1:4" x14ac:dyDescent="0.3">
      <c r="A1988" s="1" t="str">
        <f>"23000148800"</f>
        <v>23000148800</v>
      </c>
      <c r="B1988" s="1" t="str">
        <f>"BRUNGARTH RICHARD"</f>
        <v>BRUNGARTH RICHARD</v>
      </c>
      <c r="C1988" s="1" t="str">
        <f>"LONDON-GROVEPORT RD ENTRY 978-6178 63.890 ACRES (0.672 ACRE IN R/W)"</f>
        <v>LONDON-GROVEPORT RD ENTRY 978-6178 63.890 ACRES (0.672 ACRE IN R/W)</v>
      </c>
      <c r="D1988" s="1">
        <v>1668.72</v>
      </c>
    </row>
    <row r="1989" spans="1:4" x14ac:dyDescent="0.3">
      <c r="A1989" s="1" t="str">
        <f>"23000144200"</f>
        <v>23000144200</v>
      </c>
      <c r="B1989" s="1" t="str">
        <f>"BRUNGARTH RICHARD L"</f>
        <v>BRUNGARTH RICHARD L</v>
      </c>
      <c r="C1989" s="1" t="str">
        <f>"LONDON GROVEPORT RD ENTRY 6178 48.3265 ACRES"</f>
        <v>LONDON GROVEPORT RD ENTRY 6178 48.3265 ACRES</v>
      </c>
      <c r="D1989" s="1">
        <v>1232.72</v>
      </c>
    </row>
    <row r="1990" spans="1:4" x14ac:dyDescent="0.3">
      <c r="A1990" s="1" t="str">
        <f>"07000463300"</f>
        <v>07000463300</v>
      </c>
      <c r="B1990" s="1" t="str">
        <f>"BRUNSMAN AUGUST E III"</f>
        <v>BRUNSMAN AUGUST E III</v>
      </c>
      <c r="C1990" s="1" t="str">
        <f>"VASSAR PLACE COLLEGE HILL PLACE LOT 81  &amp; PT VAC ALLEY"</f>
        <v>VASSAR PLACE COLLEGE HILL PLACE LOT 81  &amp; PT VAC ALLEY</v>
      </c>
      <c r="D1990" s="1">
        <v>8498.52</v>
      </c>
    </row>
    <row r="1991" spans="1:4" x14ac:dyDescent="0.3">
      <c r="A1991" s="1" t="str">
        <f>"01003386200"</f>
        <v>01003386200</v>
      </c>
      <c r="B1991" s="1" t="str">
        <f>"BRUSH KENNETH W"</f>
        <v>BRUSH KENNETH W</v>
      </c>
      <c r="C1991" s="1" t="str">
        <f>"404 S EUREKA BELLAIRE EXT LOT 230"</f>
        <v>404 S EUREKA BELLAIRE EXT LOT 230</v>
      </c>
      <c r="D1991" s="1">
        <v>2137.0500000000002</v>
      </c>
    </row>
    <row r="1992" spans="1:4" x14ac:dyDescent="0.3">
      <c r="A1992" s="1" t="str">
        <f>"15000155200"</f>
        <v>15000155200</v>
      </c>
      <c r="B1992" s="1" t="str">
        <f>"BRUSH MICHELLE"</f>
        <v>BRUSH MICHELLE</v>
      </c>
      <c r="C1992" s="1" t="str">
        <f>"4238 S PARSONS AVE 2.34 ACRES R22 T4 S 15-22"</f>
        <v>4238 S PARSONS AVE 2.34 ACRES R22 T4 S 15-22</v>
      </c>
      <c r="D1992" s="1">
        <v>417.28</v>
      </c>
    </row>
    <row r="1993" spans="1:4" x14ac:dyDescent="0.3">
      <c r="A1993" s="1" t="str">
        <f>"04000622500"</f>
        <v>04000622500</v>
      </c>
      <c r="B1993" s="1" t="str">
        <f>"BRYAN ABE"</f>
        <v>BRYAN ABE</v>
      </c>
      <c r="C1993" s="1" t="str">
        <f>"2386 FERNWOOD AVE MEADOW GROVE SEC 3 LOT 89"</f>
        <v>2386 FERNWOOD AVE MEADOW GROVE SEC 3 LOT 89</v>
      </c>
      <c r="D1993" s="1">
        <v>2159.1</v>
      </c>
    </row>
    <row r="1994" spans="1:4" x14ac:dyDescent="0.3">
      <c r="A1994" s="1" t="str">
        <f>"04000845300"</f>
        <v>04000845300</v>
      </c>
      <c r="B1994" s="1" t="str">
        <f>"BRYAN JOHN ALEXANDER"</f>
        <v>BRYAN JOHN ALEXANDER</v>
      </c>
      <c r="C1994" s="1" t="str">
        <f>"MARSOL AVE RUSH CREEK LOT 36"</f>
        <v>MARSOL AVE RUSH CREEK LOT 36</v>
      </c>
      <c r="D1994" s="1">
        <v>3330.09</v>
      </c>
    </row>
    <row r="1995" spans="1:4" x14ac:dyDescent="0.3">
      <c r="A1995" s="1" t="str">
        <f>"01013373500"</f>
        <v>01013373500</v>
      </c>
      <c r="B1995" s="1" t="str">
        <f>"BRYANT AJA"</f>
        <v>BRYANT AJA</v>
      </c>
      <c r="C1995" s="1" t="str">
        <f>"LIV-MOOR DR MILTWOOD LOT 6"</f>
        <v>LIV-MOOR DR MILTWOOD LOT 6</v>
      </c>
      <c r="D1995" s="1">
        <v>873.99</v>
      </c>
    </row>
    <row r="1996" spans="1:4" x14ac:dyDescent="0.3">
      <c r="A1996" s="1" t="str">
        <f>"06000579100"</f>
        <v>06000579100</v>
      </c>
      <c r="B1996" s="1" t="str">
        <f>"BRYANT ANTHONY B"</f>
        <v>BRYANT ANTHONY B</v>
      </c>
      <c r="C1996" s="1" t="str">
        <f>"6451 HURLINGHAM RD EASTSHIRE LOT 132"</f>
        <v>6451 HURLINGHAM RD EASTSHIRE LOT 132</v>
      </c>
      <c r="D1996" s="1">
        <v>1036.19</v>
      </c>
    </row>
    <row r="1997" spans="1:4" x14ac:dyDescent="0.3">
      <c r="A1997" s="1" t="str">
        <f>"01015485600"</f>
        <v>01015485600</v>
      </c>
      <c r="B1997" s="1" t="str">
        <f>"BRYANT DARRELL"</f>
        <v>BRYANT DARRELL</v>
      </c>
      <c r="C1997" s="1" t="str">
        <f>"CLARKSTON AVE LEXINGTON SEC 2 LOT 318"</f>
        <v>CLARKSTON AVE LEXINGTON SEC 2 LOT 318</v>
      </c>
      <c r="D1997" s="1">
        <v>1069.29</v>
      </c>
    </row>
    <row r="1998" spans="1:4" x14ac:dyDescent="0.3">
      <c r="A1998" s="1" t="str">
        <f>"01001058200"</f>
        <v>01001058200</v>
      </c>
      <c r="B1998" s="1" t="str">
        <f>"BRYANT DARRELL L"</f>
        <v>BRYANT DARRELL L</v>
      </c>
      <c r="C1998" s="1" t="str">
        <f>"1034 S OHIO AVE RUHS SCHILLER ST LOT 19"</f>
        <v>1034 S OHIO AVE RUHS SCHILLER ST LOT 19</v>
      </c>
      <c r="D1998" s="1">
        <v>939.49</v>
      </c>
    </row>
    <row r="1999" spans="1:4" x14ac:dyDescent="0.3">
      <c r="A1999" s="1" t="str">
        <f>"01008066100"</f>
        <v>01008066100</v>
      </c>
      <c r="B1999" s="1" t="str">
        <f>"BRYANT HENRY G, BRYANT SASHA D"</f>
        <v>BRYANT HENRY G, BRYANT SASHA D</v>
      </c>
      <c r="C1999" s="1" t="str">
        <f>"KELTON AVE DRIVING PK LOT 162"</f>
        <v>KELTON AVE DRIVING PK LOT 162</v>
      </c>
      <c r="D1999" s="1">
        <v>2270.23</v>
      </c>
    </row>
    <row r="2000" spans="1:4" x14ac:dyDescent="0.3">
      <c r="A2000" s="1" t="str">
        <f>"01012803100"</f>
        <v>01012803100</v>
      </c>
      <c r="B2000" s="1" t="str">
        <f>"BRYANT JACQUELINE D, LLOYD PAMELA J"</f>
        <v>BRYANT JACQUELINE D, LLOYD PAMELA J</v>
      </c>
      <c r="C2000" s="1" t="str">
        <f>"NEWFIELD RD BERWYN LOT 157"</f>
        <v>NEWFIELD RD BERWYN LOT 157</v>
      </c>
      <c r="D2000" s="1">
        <v>2579.9</v>
      </c>
    </row>
    <row r="2001" spans="1:4" x14ac:dyDescent="0.3">
      <c r="A2001" s="1" t="str">
        <f>"22200502700"</f>
        <v>22200502700</v>
      </c>
      <c r="B2001" s="1" t="str">
        <f>"BRYANT JULIE B"</f>
        <v>BRYANT JULIE B</v>
      </c>
      <c r="C2001" s="1" t="str">
        <f>"COURTYARDS AT NEW ALBANY PHASE 1 LOT 42"</f>
        <v>COURTYARDS AT NEW ALBANY PHASE 1 LOT 42</v>
      </c>
      <c r="D2001" s="1">
        <v>491.76</v>
      </c>
    </row>
    <row r="2002" spans="1:4" x14ac:dyDescent="0.3">
      <c r="A2002" s="1" t="str">
        <f>"21300071300"</f>
        <v>21300071300</v>
      </c>
      <c r="B2002" s="1" t="str">
        <f>"BRYANT MILLS HANNAH ELIZABETH, BRYANT MILLS MADISON JANEE, MILLS JOHN MICHAEL"</f>
        <v>BRYANT MILLS HANNAH ELIZABETH, BRYANT MILLS MADISON JANEE, MILLS JOHN MICHAEL</v>
      </c>
      <c r="C2002" s="1" t="str">
        <f>"DARWIN DR BROOKSIDE EST 1 LOT 73"</f>
        <v>DARWIN DR BROOKSIDE EST 1 LOT 73</v>
      </c>
      <c r="D2002" s="1">
        <v>14056.44</v>
      </c>
    </row>
    <row r="2003" spans="1:4" x14ac:dyDescent="0.3">
      <c r="A2003" s="1" t="str">
        <f>"57022000000"</f>
        <v>57022000000</v>
      </c>
      <c r="B2003" s="1" t="str">
        <f>"BRYANT PATRICIA A"</f>
        <v>BRYANT PATRICIA A</v>
      </c>
      <c r="C2003" s="1" t="str">
        <f>"BEAUJOLAIS PLACE EPERNAY LOT 51"</f>
        <v>BEAUJOLAIS PLACE EPERNAY LOT 51</v>
      </c>
      <c r="D2003" s="1">
        <v>259.75</v>
      </c>
    </row>
    <row r="2004" spans="1:4" x14ac:dyDescent="0.3">
      <c r="A2004" s="1" t="str">
        <f>"22200088000"</f>
        <v>22200088000</v>
      </c>
      <c r="B2004" s="1" t="str">
        <f>"BRYANT PAUL D, BRYANT JUDY M"</f>
        <v>BRYANT PAUL D, BRYANT JUDY M</v>
      </c>
      <c r="C2004" s="1" t="str">
        <f>"HARLEM RD R16 T2 1/4T3 1.00 ACRE"</f>
        <v>HARLEM RD R16 T2 1/4T3 1.00 ACRE</v>
      </c>
      <c r="D2004" s="1">
        <v>336.84</v>
      </c>
    </row>
    <row r="2005" spans="1:4" x14ac:dyDescent="0.3">
      <c r="A2005" s="1" t="str">
        <f>"01009508900"</f>
        <v>01009508900</v>
      </c>
      <c r="B2005" s="1" t="str">
        <f>"BRYANT RONALD G, BRYANT VIOLET L"</f>
        <v>BRYANT RONALD G, BRYANT VIOLET L</v>
      </c>
      <c r="C2005" s="1" t="str">
        <f>"GRASMERE AVE N GRASMERE AMD LOT 9"</f>
        <v>GRASMERE AVE N GRASMERE AMD LOT 9</v>
      </c>
      <c r="D2005" s="1">
        <v>7.7</v>
      </c>
    </row>
    <row r="2006" spans="1:4" x14ac:dyDescent="0.3">
      <c r="A2006" s="1" t="str">
        <f>"01007489600"</f>
        <v>01007489600</v>
      </c>
      <c r="B2006" s="1" t="str">
        <f>"BRYANT SOOK"</f>
        <v>BRYANT SOOK</v>
      </c>
      <c r="C2006" s="1" t="str">
        <f>"LEXINGTON AVE GRASMERE GARDENS LOT 130"</f>
        <v>LEXINGTON AVE GRASMERE GARDENS LOT 130</v>
      </c>
      <c r="D2006" s="1">
        <v>39.89</v>
      </c>
    </row>
    <row r="2007" spans="1:4" x14ac:dyDescent="0.3">
      <c r="A2007" s="1" t="str">
        <f>"01005564200"</f>
        <v>01005564200</v>
      </c>
      <c r="B2007" s="1" t="str">
        <f>"BRYANT TIARA D"</f>
        <v>BRYANT TIARA D</v>
      </c>
      <c r="C2007" s="1" t="str">
        <f>"KIMBALL PLACE KIMBALL 89' WE PT LOTS 17-18"</f>
        <v>KIMBALL PLACE KIMBALL 89' WE PT LOTS 17-18</v>
      </c>
      <c r="D2007" s="1">
        <v>2644.24</v>
      </c>
    </row>
    <row r="2008" spans="1:4" x14ac:dyDescent="0.3">
      <c r="A2008" s="1" t="str">
        <f>"01014658500"</f>
        <v>01014658500</v>
      </c>
      <c r="B2008" s="1" t="str">
        <f>"BRYSON THOMAS L, BARRET BRYSON DEBRA"</f>
        <v>BRYSON THOMAS L, BARRET BRYSON DEBRA</v>
      </c>
      <c r="C2008" s="1" t="str">
        <f>"2355 MCCUTCHOEN RD ACRES .562 R17 T1 1-4T2"</f>
        <v>2355 MCCUTCHOEN RD ACRES .562 R17 T1 1-4T2</v>
      </c>
      <c r="D2008" s="1">
        <v>2264.39</v>
      </c>
    </row>
    <row r="2009" spans="1:4" x14ac:dyDescent="0.3">
      <c r="A2009" s="1" t="str">
        <f>"59028181300"</f>
        <v>59028181300</v>
      </c>
      <c r="B2009" s="1" t="str">
        <f>"BS MAJORIS INC"</f>
        <v>BS MAJORIS INC</v>
      </c>
      <c r="C2009" s="1" t="str">
        <f>"GREYSTONE MANOR CONDOMINIUM UNIT GD2750-D"</f>
        <v>GREYSTONE MANOR CONDOMINIUM UNIT GD2750-D</v>
      </c>
      <c r="D2009" s="1">
        <v>3302.19</v>
      </c>
    </row>
    <row r="2010" spans="1:4" x14ac:dyDescent="0.3">
      <c r="A2010" s="1" t="str">
        <f>"18400041800"</f>
        <v>18400041800</v>
      </c>
      <c r="B2010" s="1" t="str">
        <f>"BT CANAL PROPERTIES LLC"</f>
        <v>BT CANAL PROPERTIES LLC</v>
      </c>
      <c r="C2010" s="1" t="str">
        <f>"HOCKING ST CV MOORES LOT 17"</f>
        <v>HOCKING ST CV MOORES LOT 17</v>
      </c>
      <c r="D2010" s="1">
        <v>2256.41</v>
      </c>
    </row>
    <row r="2011" spans="1:4" x14ac:dyDescent="0.3">
      <c r="A2011" s="1" t="str">
        <f>"18400041900"</f>
        <v>18400041900</v>
      </c>
      <c r="B2011" s="1" t="str">
        <f>"BT CANAL PROPERTIES LLC"</f>
        <v>BT CANAL PROPERTIES LLC</v>
      </c>
      <c r="C2011" s="1" t="str">
        <f>"HOCKING ST CV MOORES LOT 18"</f>
        <v>HOCKING ST CV MOORES LOT 18</v>
      </c>
      <c r="D2011" s="1">
        <v>2256.41</v>
      </c>
    </row>
    <row r="2012" spans="1:4" x14ac:dyDescent="0.3">
      <c r="A2012" s="1" t="str">
        <f>"24526629200"</f>
        <v>24526629200</v>
      </c>
      <c r="B2012" s="1" t="str">
        <f>"BT OH LLC"</f>
        <v>BT OH LLC</v>
      </c>
      <c r="C2012" s="1" t="str">
        <f>"TRABUE RD ENTRY 5244 5.324 ACRES"</f>
        <v>TRABUE RD ENTRY 5244 5.324 ACRES</v>
      </c>
      <c r="D2012" s="1">
        <v>1074.5</v>
      </c>
    </row>
    <row r="2013" spans="1:4" x14ac:dyDescent="0.3">
      <c r="A2013" s="1" t="str">
        <f>"15200144100"</f>
        <v>15200144100</v>
      </c>
      <c r="B2013" s="1" t="str">
        <f>"BT PROPERTY LLC"</f>
        <v>BT PROPERTY LLC</v>
      </c>
      <c r="C2013" s="1" t="str">
        <f>"TIPPLE RD R22 T4 S24 10.480 ACRES"</f>
        <v>TIPPLE RD R22 T4 S24 10.480 ACRES</v>
      </c>
      <c r="D2013" s="1">
        <v>664.32</v>
      </c>
    </row>
    <row r="2014" spans="1:4" x14ac:dyDescent="0.3">
      <c r="A2014" s="1" t="str">
        <f>"15200144200"</f>
        <v>15200144200</v>
      </c>
      <c r="B2014" s="1" t="str">
        <f>"BT PROPERTY LLC"</f>
        <v>BT PROPERTY LLC</v>
      </c>
      <c r="C2014" s="1" t="str">
        <f>"TIPPLE DR R22 T4 S24 11.443 ACRES"</f>
        <v>TIPPLE DR R22 T4 S24 11.443 ACRES</v>
      </c>
      <c r="D2014" s="1">
        <v>266.52999999999997</v>
      </c>
    </row>
    <row r="2015" spans="1:4" x14ac:dyDescent="0.3">
      <c r="A2015" s="1" t="str">
        <f>"15200071600"</f>
        <v>15200071600</v>
      </c>
      <c r="B2015" s="1" t="str">
        <f>"BT PROPERTY LLC"</f>
        <v>BT PROPERTY LLC</v>
      </c>
      <c r="C2015" s="1" t="str">
        <f>"GROVEPORT PIKE 5.586AC R22 T4 S24"</f>
        <v>GROVEPORT PIKE 5.586AC R22 T4 S24</v>
      </c>
      <c r="D2015" s="1">
        <v>317.64</v>
      </c>
    </row>
    <row r="2016" spans="1:4" x14ac:dyDescent="0.3">
      <c r="A2016" s="1" t="str">
        <f>"15200071700"</f>
        <v>15200071700</v>
      </c>
      <c r="B2016" s="1" t="str">
        <f>"BT PROPERTY LLC"</f>
        <v>BT PROPERTY LLC</v>
      </c>
      <c r="C2016" s="1" t="str">
        <f>"GROVEPORT PIKE 23.039AC R22 T4 S24"</f>
        <v>GROVEPORT PIKE 23.039AC R22 T4 S24</v>
      </c>
      <c r="D2016" s="1">
        <v>5590.59</v>
      </c>
    </row>
    <row r="2017" spans="1:4" x14ac:dyDescent="0.3">
      <c r="A2017" s="1" t="str">
        <f>"01001007500"</f>
        <v>01001007500</v>
      </c>
      <c r="B2017" s="1" t="str">
        <f>"BTJR LLC"</f>
        <v>BTJR LLC</v>
      </c>
      <c r="C2017" s="1" t="str">
        <f>"2583-2585 N HIGH ST NORTH COLUMBUS LOT 5"</f>
        <v>2583-2585 N HIGH ST NORTH COLUMBUS LOT 5</v>
      </c>
      <c r="D2017" s="1">
        <v>452.21</v>
      </c>
    </row>
    <row r="2018" spans="1:4" x14ac:dyDescent="0.3">
      <c r="A2018" s="1" t="str">
        <f>"01002056300"</f>
        <v>01002056300</v>
      </c>
      <c r="B2018" s="1" t="str">
        <f>"BTJR LLC"</f>
        <v>BTJR LLC</v>
      </c>
      <c r="C2018" s="1" t="str">
        <f>"2589 N HIGH ST 23X 149FT SS OF S1/2 N COLS LOT 6"</f>
        <v>2589 N HIGH ST 23X 149FT SS OF S1/2 N COLS LOT 6</v>
      </c>
      <c r="D2018" s="1">
        <v>124.17</v>
      </c>
    </row>
    <row r="2019" spans="1:4" x14ac:dyDescent="0.3">
      <c r="A2019" s="1" t="str">
        <f>"56029636100"</f>
        <v>56029636100</v>
      </c>
      <c r="B2019" s="1" t="str">
        <f>"BT-NEWYO LLC"</f>
        <v>BT-NEWYO LLC</v>
      </c>
      <c r="C2019" s="1" t="str">
        <f>"2070 WALCUTT RD ENTRY 287 20.845 ACRES"</f>
        <v>2070 WALCUTT RD ENTRY 287 20.845 ACRES</v>
      </c>
      <c r="D2019" s="1">
        <v>2983.56</v>
      </c>
    </row>
    <row r="2020" spans="1:4" x14ac:dyDescent="0.3">
      <c r="A2020" s="1" t="str">
        <f>"56029813800"</f>
        <v>56029813800</v>
      </c>
      <c r="B2020" s="1" t="str">
        <f>"BT-NEWYO LLC"</f>
        <v>BT-NEWYO LLC</v>
      </c>
      <c r="C2020" s="1" t="str">
        <f>"2160 INTERNATIONAL ST ENTRY 287 5.571 ACRES"</f>
        <v>2160 INTERNATIONAL ST ENTRY 287 5.571 ACRES</v>
      </c>
      <c r="D2020" s="1">
        <v>5743.09</v>
      </c>
    </row>
    <row r="2021" spans="1:4" x14ac:dyDescent="0.3">
      <c r="A2021" s="1" t="str">
        <f>"57029803400"</f>
        <v>57029803400</v>
      </c>
      <c r="B2021" s="1" t="str">
        <f>"BT-OH LLC"</f>
        <v>BT-OH LLC</v>
      </c>
      <c r="C2021" s="1" t="str">
        <f>"FISHER RD ENTRY 1484 1.478 ACRES"</f>
        <v>FISHER RD ENTRY 1484 1.478 ACRES</v>
      </c>
      <c r="D2021" s="1">
        <v>148.41999999999999</v>
      </c>
    </row>
    <row r="2022" spans="1:4" x14ac:dyDescent="0.3">
      <c r="A2022" s="1" t="str">
        <f>"24100147400"</f>
        <v>24100147400</v>
      </c>
      <c r="B2022" s="1" t="str">
        <f>"BT-OH LLC"</f>
        <v>BT-OH LLC</v>
      </c>
      <c r="C2022" s="1" t="str">
        <f>"TRABUE RD, I 70 W OF I270 CHRISTIAN CARL FARM 9.154 ACRES"</f>
        <v>TRABUE RD, I 70 W OF I270 CHRISTIAN CARL FARM 9.154 ACRES</v>
      </c>
      <c r="D2022" s="1">
        <v>1642.34</v>
      </c>
    </row>
    <row r="2023" spans="1:4" x14ac:dyDescent="0.3">
      <c r="A2023" s="1" t="str">
        <f>"24000462000"</f>
        <v>24000462000</v>
      </c>
      <c r="B2023" s="1" t="str">
        <f>"BUBENCHIK ROBYN K, METCALF LYNN C E"</f>
        <v>BUBENCHIK ROBYN K, METCALF LYNN C E</v>
      </c>
      <c r="C2023" s="1" t="str">
        <f>"CELINA RD LINCOLN VILLAGE S LOT 457"</f>
        <v>CELINA RD LINCOLN VILLAGE S LOT 457</v>
      </c>
      <c r="D2023" s="1">
        <v>1455.88</v>
      </c>
    </row>
    <row r="2024" spans="1:4" x14ac:dyDescent="0.3">
      <c r="A2024" s="1" t="str">
        <f>"61019549600"</f>
        <v>61019549600</v>
      </c>
      <c r="B2024" s="1" t="str">
        <f>"BUCCILLA DOMENICO ANTHONY"</f>
        <v>BUCCILLA DOMENICO ANTHONY</v>
      </c>
      <c r="C2024" s="1" t="str">
        <f>"8511 NIMITZ DR SQUIRREL HILL SEC 3 LOT 171"</f>
        <v>8511 NIMITZ DR SQUIRREL HILL SEC 3 LOT 171</v>
      </c>
      <c r="D2024" s="1">
        <v>8152.18</v>
      </c>
    </row>
    <row r="2025" spans="1:4" x14ac:dyDescent="0.3">
      <c r="A2025" s="1" t="str">
        <f>"10000010400"</f>
        <v>10000010400</v>
      </c>
      <c r="B2025" s="1" t="str">
        <f>"BUCHANAN DAVID B, HACKTHORN MERRIANNE"</f>
        <v>BUCHANAN DAVID B, HACKTHORN MERRIANNE</v>
      </c>
      <c r="C2025" s="1" t="str">
        <f>"147 W SOUTH ST LOT 6 PINNEYS SUB NO 2"</f>
        <v>147 W SOUTH ST LOT 6 PINNEYS SUB NO 2</v>
      </c>
      <c r="D2025" s="1">
        <v>646.28</v>
      </c>
    </row>
    <row r="2026" spans="1:4" x14ac:dyDescent="0.3">
      <c r="A2026" s="1" t="str">
        <f>"01029949800"</f>
        <v>01029949800</v>
      </c>
      <c r="B2026" s="1" t="str">
        <f>"BUCHANAN KAREN CLARK"</f>
        <v>BUCHANAN KAREN CLARK</v>
      </c>
      <c r="C2026" s="1" t="str">
        <f>"LATTA AVENUE CONDOMINIUM UNIT 40"</f>
        <v>LATTA AVENUE CONDOMINIUM UNIT 40</v>
      </c>
      <c r="D2026" s="1">
        <v>2456.44</v>
      </c>
    </row>
    <row r="2027" spans="1:4" x14ac:dyDescent="0.3">
      <c r="A2027" s="1" t="str">
        <f>"01016610400"</f>
        <v>01016610400</v>
      </c>
      <c r="B2027" s="1" t="str">
        <f>"BUCHEA JUDITH M"</f>
        <v>BUCHEA JUDITH M</v>
      </c>
      <c r="C2027" s="1" t="str">
        <f>"COLONY HILL CONDOMINIUM SEC III BLDG 26 UNIT 91"</f>
        <v>COLONY HILL CONDOMINIUM SEC III BLDG 26 UNIT 91</v>
      </c>
      <c r="D2027" s="1">
        <v>1237.45</v>
      </c>
    </row>
    <row r="2028" spans="1:4" x14ac:dyDescent="0.3">
      <c r="A2028" s="1" t="str">
        <f>"19000139900"</f>
        <v>19000139900</v>
      </c>
      <c r="B2028" s="1" t="str">
        <f>"BUCIO SERAFIN"</f>
        <v>BUCIO SERAFIN</v>
      </c>
      <c r="C2028" s="1" t="str">
        <f>"MYRTLE AVENUE GREENDALE PLACE LOT 45"</f>
        <v>MYRTLE AVENUE GREENDALE PLACE LOT 45</v>
      </c>
      <c r="D2028" s="1">
        <v>3354.1</v>
      </c>
    </row>
    <row r="2029" spans="1:4" x14ac:dyDescent="0.3">
      <c r="A2029" s="1" t="str">
        <f>"01009350600"</f>
        <v>01009350600</v>
      </c>
      <c r="B2029" s="1" t="str">
        <f>"BUCK J MARTIN"</f>
        <v>BUCK J MARTIN</v>
      </c>
      <c r="C2029" s="1" t="str">
        <f>"WEBER RD WEBER PARK 1 LOT 23"</f>
        <v>WEBER RD WEBER PARK 1 LOT 23</v>
      </c>
      <c r="D2029" s="1">
        <v>210.38</v>
      </c>
    </row>
    <row r="2030" spans="1:4" x14ac:dyDescent="0.3">
      <c r="A2030" s="1" t="str">
        <f>"08000507700"</f>
        <v>08000507700</v>
      </c>
      <c r="B2030" s="1" t="str">
        <f>"BUCK JERRY LEE"</f>
        <v>BUCK JERRY LEE</v>
      </c>
      <c r="C2030" s="1" t="str">
        <f>"WEST MAIN ST ANNEHURST VILLAGE 10 LOT 567"</f>
        <v>WEST MAIN ST ANNEHURST VILLAGE 10 LOT 567</v>
      </c>
      <c r="D2030" s="1">
        <v>321.45999999999998</v>
      </c>
    </row>
    <row r="2031" spans="1:4" x14ac:dyDescent="0.3">
      <c r="A2031" s="1" t="str">
        <f>"01004494900"</f>
        <v>01004494900</v>
      </c>
      <c r="B2031" s="1" t="str">
        <f>"BUCKEYE BUYS HOUSES LLC"</f>
        <v>BUCKEYE BUYS HOUSES LLC</v>
      </c>
      <c r="C2031" s="1" t="str">
        <f>"SCHULTZ AVE BELMONT LOT 190"</f>
        <v>SCHULTZ AVE BELMONT LOT 190</v>
      </c>
      <c r="D2031" s="1">
        <v>45.54</v>
      </c>
    </row>
    <row r="2032" spans="1:4" x14ac:dyDescent="0.3">
      <c r="A2032" s="1" t="str">
        <f>"01000928400"</f>
        <v>01000928400</v>
      </c>
      <c r="B2032" s="1" t="str">
        <f>"BUCKEYE CUSTOM CONTRACTING CORP"</f>
        <v>BUCKEYE CUSTOM CONTRACTING CORP</v>
      </c>
      <c r="C2032" s="1" t="str">
        <f>"263 AVONDALE W PARK LOT 167"</f>
        <v>263 AVONDALE W PARK LOT 167</v>
      </c>
      <c r="D2032" s="1">
        <v>3806.08</v>
      </c>
    </row>
    <row r="2033" spans="1:4" x14ac:dyDescent="0.3">
      <c r="A2033" s="1" t="str">
        <f>"59020475700"</f>
        <v>59020475700</v>
      </c>
      <c r="B2033" s="1" t="str">
        <f>"BUCKEYE FEE OWNER LLC"</f>
        <v>BUCKEYE FEE OWNER LLC</v>
      </c>
      <c r="C2033" s="1" t="str">
        <f>"ABINGTON VILLAGE CONDOMINIUM BLDG 13 UNIT 2472"</f>
        <v>ABINGTON VILLAGE CONDOMINIUM BLDG 13 UNIT 2472</v>
      </c>
      <c r="D2033" s="1">
        <v>1970.31</v>
      </c>
    </row>
    <row r="2034" spans="1:4" x14ac:dyDescent="0.3">
      <c r="A2034" s="1" t="str">
        <f>"01002892300"</f>
        <v>01002892300</v>
      </c>
      <c r="B2034" s="1" t="str">
        <f>"BUCKEYE REMODELING AND REAL ESTATE LLC"</f>
        <v>BUCKEYE REMODELING AND REAL ESTATE LLC</v>
      </c>
      <c r="C2034" s="1" t="str">
        <f>"1129 S 22ND ST LESLEIN HOME LOT 12"</f>
        <v>1129 S 22ND ST LESLEIN HOME LOT 12</v>
      </c>
      <c r="D2034" s="1">
        <v>1721.32</v>
      </c>
    </row>
    <row r="2035" spans="1:4" x14ac:dyDescent="0.3">
      <c r="A2035" s="1" t="str">
        <f>"60020255700"</f>
        <v>60020255700</v>
      </c>
      <c r="B2035" s="1" t="str">
        <f>"BUCKEYE STATE AUTO SALES"</f>
        <v>BUCKEYE STATE AUTO SALES</v>
      </c>
      <c r="C2035" s="1" t="str">
        <f>"N. HOMEACRE PARK R18 T2 1/4T1 PT LOT 1 &amp; PT LOT 6  EX IRR NE COR"</f>
        <v>N. HOMEACRE PARK R18 T2 1/4T1 PT LOT 1 &amp; PT LOT 6  EX IRR NE COR</v>
      </c>
      <c r="D2035" s="1">
        <v>509.89</v>
      </c>
    </row>
    <row r="2036" spans="1:4" x14ac:dyDescent="0.3">
      <c r="A2036" s="1" t="str">
        <f>"15300041900"</f>
        <v>15300041900</v>
      </c>
      <c r="B2036" s="1" t="str">
        <f>"BUCKLER DONNA K, BUCKLER PHYLLIS K"</f>
        <v>BUCKLER DONNA K, BUCKLER PHYLLIS K</v>
      </c>
      <c r="C2036" s="1" t="str">
        <f>"RODGER RD MCFADYENS ACRES PT LOT 13"</f>
        <v>RODGER RD MCFADYENS ACRES PT LOT 13</v>
      </c>
      <c r="D2036" s="1">
        <v>220</v>
      </c>
    </row>
    <row r="2037" spans="1:4" x14ac:dyDescent="0.3">
      <c r="A2037" s="1" t="str">
        <f>"01002180000"</f>
        <v>01002180000</v>
      </c>
      <c r="B2037" s="1" t="str">
        <f>"BUCKLEY BRANDON DEAN"</f>
        <v>BUCKLEY BRANDON DEAN</v>
      </c>
      <c r="C2037" s="1" t="str">
        <f>"206 N OGDEN AVE HILLCREST LOT 216"</f>
        <v>206 N OGDEN AVE HILLCREST LOT 216</v>
      </c>
      <c r="D2037" s="1">
        <v>2153.17</v>
      </c>
    </row>
    <row r="2038" spans="1:4" x14ac:dyDescent="0.3">
      <c r="A2038" s="1" t="str">
        <f>"61021783200"</f>
        <v>61021783200</v>
      </c>
      <c r="B2038" s="1" t="str">
        <f>"BUCKLEY KEVIN J, BUCKLEY BEVERLY J"</f>
        <v>BUCKLEY KEVIN J, BUCKLEY BEVERLY J</v>
      </c>
      <c r="C2038" s="1" t="str">
        <f>"SEVEN OAKS AT WORTHINGTON LOT 76"</f>
        <v>SEVEN OAKS AT WORTHINGTON LOT 76</v>
      </c>
      <c r="D2038" s="1">
        <v>432.62</v>
      </c>
    </row>
    <row r="2039" spans="1:4" x14ac:dyDescent="0.3">
      <c r="A2039" s="1" t="str">
        <f>"59020812000"</f>
        <v>59020812000</v>
      </c>
      <c r="B2039" s="1" t="str">
        <f>"BUCKLEY SHERYL F"</f>
        <v>BUCKLEY SHERYL F</v>
      </c>
      <c r="C2039" s="1" t="str">
        <f>"SPRUCE PINE DRIVE WHISPERING PINES LOT 82"</f>
        <v>SPRUCE PINE DRIVE WHISPERING PINES LOT 82</v>
      </c>
      <c r="D2039" s="1">
        <v>3684.43</v>
      </c>
    </row>
    <row r="2040" spans="1:4" x14ac:dyDescent="0.3">
      <c r="A2040" s="1" t="str">
        <f>"01005118100"</f>
        <v>01005118100</v>
      </c>
      <c r="B2040" s="1" t="str">
        <f>"BUCKSHAW MARY A, BUCKSHAW GARY J"</f>
        <v>BUCKSHAW MARY A, BUCKSHAW GARY J</v>
      </c>
      <c r="C2040" s="1" t="str">
        <f>"354 RICHARDSON AVE BRONX LOT 170"</f>
        <v>354 RICHARDSON AVE BRONX LOT 170</v>
      </c>
      <c r="D2040" s="1">
        <v>891</v>
      </c>
    </row>
    <row r="2041" spans="1:4" x14ac:dyDescent="0.3">
      <c r="A2041" s="1" t="str">
        <f>"15000239500"</f>
        <v>15000239500</v>
      </c>
      <c r="B2041" s="1" t="str">
        <f>"BUDDE JOSEPH E TR"</f>
        <v>BUDDE JOSEPH E TR</v>
      </c>
      <c r="C2041" s="1" t="str">
        <f>"1506 LONDON GROVEPRT R22 T4 S35 SE QR 2.295 ACRES"</f>
        <v>1506 LONDON GROVEPRT R22 T4 S35 SE QR 2.295 ACRES</v>
      </c>
      <c r="D2041" s="1">
        <v>3181.29</v>
      </c>
    </row>
    <row r="2042" spans="1:4" x14ac:dyDescent="0.3">
      <c r="A2042" s="1" t="str">
        <f>"01001113000"</f>
        <v>01001113000</v>
      </c>
      <c r="B2042" s="1" t="str">
        <f>"BUECHNER JAMES J II, BUECHNER DEBORAH L"</f>
        <v>BUECHNER JAMES J II, BUECHNER DEBORAH L</v>
      </c>
      <c r="C2042" s="1" t="str">
        <f>"188 S HARRIS AVE WICKLOW EX LOT 523"</f>
        <v>188 S HARRIS AVE WICKLOW EX LOT 523</v>
      </c>
      <c r="D2042" s="1">
        <v>851.74</v>
      </c>
    </row>
    <row r="2043" spans="1:4" x14ac:dyDescent="0.3">
      <c r="A2043" s="1" t="str">
        <f>"01011531300"</f>
        <v>01011531300</v>
      </c>
      <c r="B2043" s="1" t="str">
        <f>"BUECHNER JANET AILEEN TTEE"</f>
        <v>BUECHNER JANET AILEEN TTEE</v>
      </c>
      <c r="C2043" s="1" t="str">
        <f>"LOCKBOURNE RD MASON COOPER BUCKEYE LOT 5"</f>
        <v>LOCKBOURNE RD MASON COOPER BUCKEYE LOT 5</v>
      </c>
      <c r="D2043" s="1">
        <v>3898.8</v>
      </c>
    </row>
    <row r="2044" spans="1:4" x14ac:dyDescent="0.3">
      <c r="A2044" s="1" t="str">
        <f>"01001211600"</f>
        <v>01001211600</v>
      </c>
      <c r="B2044" s="1" t="str">
        <f>"BUEHLER CRAIG, BUEHLER SAMANTHA"</f>
        <v>BUEHLER CRAIG, BUEHLER SAMANTHA</v>
      </c>
      <c r="C2044" s="1" t="str">
        <f>"294 BREHL AVE DOREN CENTRAL AVE LOT 161"</f>
        <v>294 BREHL AVE DOREN CENTRAL AVE LOT 161</v>
      </c>
      <c r="D2044" s="1">
        <v>120.67</v>
      </c>
    </row>
    <row r="2045" spans="1:4" x14ac:dyDescent="0.3">
      <c r="A2045" s="1" t="str">
        <f>"27400124200"</f>
        <v>27400124200</v>
      </c>
      <c r="B2045" s="1" t="str">
        <f>"BUEHLER MICHAEL, BUEHLER JERI D"</f>
        <v>BUEHLER MICHAEL, BUEHLER JERI D</v>
      </c>
      <c r="C2045" s="1" t="str">
        <f>"5805 GLENDAVON LOOP BALLANTRAE SECTION 6 PART 1 LOT 482"</f>
        <v>5805 GLENDAVON LOOP BALLANTRAE SECTION 6 PART 1 LOT 482</v>
      </c>
      <c r="D2045" s="1">
        <v>955.46</v>
      </c>
    </row>
    <row r="2046" spans="1:4" x14ac:dyDescent="0.3">
      <c r="A2046" s="1" t="str">
        <f>"17000039900"</f>
        <v>17000039900</v>
      </c>
      <c r="B2046" s="1" t="str">
        <f>"BUEHRER LOGAN, BUEHRER MALORIE"</f>
        <v>BUEHRER LOGAN, BUEHRER MALORIE</v>
      </c>
      <c r="C2046" s="1" t="str">
        <f>"MULBERRY ST NE COR MULBERRY &amp; CENTER ST 13"</f>
        <v>MULBERRY ST NE COR MULBERRY &amp; CENTER ST 13</v>
      </c>
      <c r="D2046" s="1">
        <v>1551.88</v>
      </c>
    </row>
    <row r="2047" spans="1:4" x14ac:dyDescent="0.3">
      <c r="A2047" s="1" t="str">
        <f>"01007959800"</f>
        <v>01007959800</v>
      </c>
      <c r="B2047" s="1" t="str">
        <f>"BUFORD LESLIE O, BUFORD CHARLES D III"</f>
        <v>BUFORD LESLIE O, BUFORD CHARLES D III</v>
      </c>
      <c r="C2047" s="1" t="str">
        <f>"23RD AVE CLEVEMONT ADDN LOT 96"</f>
        <v>23RD AVE CLEVEMONT ADDN LOT 96</v>
      </c>
      <c r="D2047" s="1">
        <v>838.13</v>
      </c>
    </row>
    <row r="2048" spans="1:4" x14ac:dyDescent="0.3">
      <c r="A2048" s="1" t="str">
        <f>"01000344000"</f>
        <v>01000344000</v>
      </c>
      <c r="B2048" s="1" t="str">
        <f>"BUI CHARLENE NGUYEN"</f>
        <v>BUI CHARLENE NGUYEN</v>
      </c>
      <c r="C2048" s="1" t="str">
        <f>"790 PARSONS AVE SWAYNE LOT 59"</f>
        <v>790 PARSONS AVE SWAYNE LOT 59</v>
      </c>
      <c r="D2048" s="1">
        <v>908.09</v>
      </c>
    </row>
    <row r="2049" spans="1:4" x14ac:dyDescent="0.3">
      <c r="A2049" s="1" t="str">
        <f>"61015782300"</f>
        <v>61015782300</v>
      </c>
      <c r="B2049" s="1" t="str">
        <f>"BUI TIEN"</f>
        <v>BUI TIEN</v>
      </c>
      <c r="C2049" s="1" t="str">
        <f>"1531 BOLENHILL AVE DEVONSHIRE-NORTH LOT 7"</f>
        <v>1531 BOLENHILL AVE DEVONSHIRE-NORTH LOT 7</v>
      </c>
      <c r="D2049" s="1">
        <v>254.76</v>
      </c>
    </row>
    <row r="2050" spans="1:4" x14ac:dyDescent="0.3">
      <c r="A2050" s="1" t="str">
        <f>"01027493700"</f>
        <v>01027493700</v>
      </c>
      <c r="B2050" s="1" t="str">
        <f>"BUKOWSKI CHRISTOPHER TR, BUKOWSKI TERESA TR"</f>
        <v>BUKOWSKI CHRISTOPHER TR, BUKOWSKI TERESA TR</v>
      </c>
      <c r="C2050" s="1" t="str">
        <f>"VICTORIAN GATE            CONDOMINIUMS              UNIT 21 LINCOLN          "</f>
        <v xml:space="preserve">VICTORIAN GATE            CONDOMINIUMS              UNIT 21 LINCOLN          </v>
      </c>
      <c r="D2050" s="1">
        <v>7547.34</v>
      </c>
    </row>
    <row r="2051" spans="1:4" x14ac:dyDescent="0.3">
      <c r="A2051" s="1" t="str">
        <f>"01007904900"</f>
        <v>01007904900</v>
      </c>
      <c r="B2051" s="1" t="str">
        <f>"BUKOWSKI MARK A"</f>
        <v>BUKOWSKI MARK A</v>
      </c>
      <c r="C2051" s="1" t="str">
        <f>"SYLVAN AVE WESTGATE PARK LOT 535"</f>
        <v>SYLVAN AVE WESTGATE PARK LOT 535</v>
      </c>
      <c r="D2051" s="1">
        <v>149.93</v>
      </c>
    </row>
    <row r="2052" spans="1:4" x14ac:dyDescent="0.3">
      <c r="A2052" s="1" t="str">
        <f>"11000341800"</f>
        <v>11000341800</v>
      </c>
      <c r="B2052" s="1" t="str">
        <f>"BULE LIBAN"</f>
        <v>BULE LIBAN</v>
      </c>
      <c r="C2052" s="1" t="str">
        <f>"VIENNA DR H C HUBER PLAT 48 SEC 3 1486"</f>
        <v>VIENNA DR H C HUBER PLAT 48 SEC 3 1486</v>
      </c>
      <c r="D2052" s="1">
        <v>4207.5</v>
      </c>
    </row>
    <row r="2053" spans="1:4" x14ac:dyDescent="0.3">
      <c r="A2053" s="1" t="str">
        <f>"10000459100"</f>
        <v>10000459100</v>
      </c>
      <c r="B2053" s="1" t="str">
        <f>"BULGER KIMBERLY, BULGER CRAIGHTON"</f>
        <v>BULGER KIMBERLY, BULGER CRAIGHTON</v>
      </c>
      <c r="C2053" s="1" t="str">
        <f>"90 COLBURN CT COLBURN LOT 4"</f>
        <v>90 COLBURN CT COLBURN LOT 4</v>
      </c>
      <c r="D2053" s="1">
        <v>7585.24</v>
      </c>
    </row>
    <row r="2054" spans="1:4" x14ac:dyDescent="0.3">
      <c r="A2054" s="1" t="str">
        <f>"01003152100"</f>
        <v>01003152100</v>
      </c>
      <c r="B2054" s="1" t="str">
        <f>"BULLDOG BROTHERS INVESTMENT GORUP LLC"</f>
        <v>BULLDOG BROTHERS INVESTMENT GORUP LLC</v>
      </c>
      <c r="C2054" s="1" t="str">
        <f>"1395-97 E MOUND ST 41FT E PT OF 124FT WE T MILLER LOT 26"</f>
        <v>1395-97 E MOUND ST 41FT E PT OF 124FT WE T MILLER LOT 26</v>
      </c>
      <c r="D2054" s="1">
        <v>567.05999999999995</v>
      </c>
    </row>
    <row r="2055" spans="1:4" x14ac:dyDescent="0.3">
      <c r="A2055" s="1" t="str">
        <f>"01000390500"</f>
        <v>01000390500</v>
      </c>
      <c r="B2055" s="1" t="str">
        <f>"BULLDOG BROTHERS INVESTMENT GROUP LLC"</f>
        <v>BULLDOG BROTHERS INVESTMENT GROUP LLC</v>
      </c>
      <c r="C2055" s="1" t="str">
        <f>"ENGLER AL T MILLER AMENDED ADD PT LT 27 115.5'X62.5"</f>
        <v>ENGLER AL T MILLER AMENDED ADD PT LT 27 115.5'X62.5</v>
      </c>
      <c r="D2055" s="1">
        <v>2840.02</v>
      </c>
    </row>
    <row r="2056" spans="1:4" x14ac:dyDescent="0.3">
      <c r="A2056" s="1" t="str">
        <f>"01000390600"</f>
        <v>01000390600</v>
      </c>
      <c r="B2056" s="1" t="str">
        <f>"BULLDOG BROTHERS INVESTMENT GROUP LLC"</f>
        <v>BULLDOG BROTHERS INVESTMENT GROUP LLC</v>
      </c>
      <c r="C2056" s="1" t="str">
        <f>"1390 ENGLER ST AL S T MILLER'S AMD ADD 62.5'X115.5 PT LT 27"</f>
        <v>1390 ENGLER ST AL S T MILLER'S AMD ADD 62.5'X115.5 PT LT 27</v>
      </c>
      <c r="D2056" s="1">
        <v>1973.94</v>
      </c>
    </row>
    <row r="2057" spans="1:4" x14ac:dyDescent="0.3">
      <c r="A2057" s="1" t="str">
        <f>"01002835300"</f>
        <v>01002835300</v>
      </c>
      <c r="B2057" s="1" t="str">
        <f>"BULLOCK MARIA, BULLOCK MARIE"</f>
        <v>BULLOCK MARIA, BULLOCK MARIE</v>
      </c>
      <c r="C2057" s="1" t="str">
        <f>"915 E 12TH AVE .25 ACRE 18-1-4-8 SUB 8"</f>
        <v>915 E 12TH AVE .25 ACRE 18-1-4-8 SUB 8</v>
      </c>
      <c r="D2057" s="1">
        <v>1274.33</v>
      </c>
    </row>
    <row r="2058" spans="1:4" x14ac:dyDescent="0.3">
      <c r="A2058" s="1" t="str">
        <f>"01007092700"</f>
        <v>01007092700</v>
      </c>
      <c r="B2058" s="1" t="str">
        <f>"BULLOCKS KIMBERLY"</f>
        <v>BULLOCKS KIMBERLY</v>
      </c>
      <c r="C2058" s="1" t="str">
        <f>"1800 GENESSEE AVE WOLF &amp; CARY LOT 4"</f>
        <v>1800 GENESSEE AVE WOLF &amp; CARY LOT 4</v>
      </c>
      <c r="D2058" s="1">
        <v>2484.38</v>
      </c>
    </row>
    <row r="2059" spans="1:4" x14ac:dyDescent="0.3">
      <c r="A2059" s="1" t="str">
        <f>"01007461900"</f>
        <v>01007461900</v>
      </c>
      <c r="B2059" s="1" t="str">
        <f>"BUMGARDNER GEORGE H JR, BUMGARDNER GERALDINE"</f>
        <v>BUMGARDNER GEORGE H JR, BUMGARDNER GERALDINE</v>
      </c>
      <c r="C2059" s="1" t="str">
        <f>"BRIARWOOD AVE HIGHWAY PARK LOT 334"</f>
        <v>BRIARWOOD AVE HIGHWAY PARK LOT 334</v>
      </c>
      <c r="D2059" s="1">
        <v>870.08</v>
      </c>
    </row>
    <row r="2060" spans="1:4" x14ac:dyDescent="0.3">
      <c r="A2060" s="1" t="str">
        <f>"01022415600"</f>
        <v>01022415600</v>
      </c>
      <c r="B2060" s="1" t="str">
        <f>"BUMPER TONY"</f>
        <v>BUMPER TONY</v>
      </c>
      <c r="C2060" s="1" t="str">
        <f>"CAPITOL VIEW ESTATES LOT 30"</f>
        <v>CAPITOL VIEW ESTATES LOT 30</v>
      </c>
      <c r="D2060" s="1">
        <v>3758.3</v>
      </c>
    </row>
    <row r="2061" spans="1:4" x14ac:dyDescent="0.3">
      <c r="A2061" s="1" t="str">
        <f>"01013803200"</f>
        <v>01013803200</v>
      </c>
      <c r="B2061" s="1" t="str">
        <f>"BUNCH DOROTHEA L"</f>
        <v>BUNCH DOROTHEA L</v>
      </c>
      <c r="C2061" s="1" t="str">
        <f>"DE PORRES DR BRENTNELL PLACE LOT 14"</f>
        <v>DE PORRES DR BRENTNELL PLACE LOT 14</v>
      </c>
      <c r="D2061" s="1">
        <v>2332.4499999999998</v>
      </c>
    </row>
    <row r="2062" spans="1:4" x14ac:dyDescent="0.3">
      <c r="A2062" s="1" t="str">
        <f>"56021608700"</f>
        <v>56021608700</v>
      </c>
      <c r="B2062" s="1" t="str">
        <f>"BUNGO PATRICIA A"</f>
        <v>BUNGO PATRICIA A</v>
      </c>
      <c r="C2062" s="1" t="str">
        <f>"HILLIARD HEIGHTS CONDOMINIUM 5TH AMD UNIT 22F"</f>
        <v>HILLIARD HEIGHTS CONDOMINIUM 5TH AMD UNIT 22F</v>
      </c>
      <c r="D2062" s="1">
        <v>136.55000000000001</v>
      </c>
    </row>
    <row r="2063" spans="1:4" x14ac:dyDescent="0.3">
      <c r="A2063" s="1" t="str">
        <f>"01003824800"</f>
        <v>01003824800</v>
      </c>
      <c r="B2063" s="1" t="str">
        <f>"BUNKEE LLC"</f>
        <v>BUNKEE LLC</v>
      </c>
      <c r="C2063" s="1" t="str">
        <f>"532 N OHIO AVE WETMORE ADD LOT 108"</f>
        <v>532 N OHIO AVE WETMORE ADD LOT 108</v>
      </c>
      <c r="D2063" s="1">
        <v>1598.38</v>
      </c>
    </row>
    <row r="2064" spans="1:4" x14ac:dyDescent="0.3">
      <c r="A2064" s="1" t="str">
        <f>"01005366800"</f>
        <v>01005366800</v>
      </c>
      <c r="B2064" s="1" t="str">
        <f>"BUNN ROBERT W JR TR"</f>
        <v>BUNN ROBERT W JR TR</v>
      </c>
      <c r="C2064" s="1" t="str">
        <f>"193 W FOURTH AVE COLLINS ATKNSN&amp;GUITN LOT 76-77-78"</f>
        <v>193 W FOURTH AVE COLLINS ATKNSN&amp;GUITN LOT 76-77-78</v>
      </c>
      <c r="D2064" s="1">
        <v>399.26</v>
      </c>
    </row>
    <row r="2065" spans="1:4" x14ac:dyDescent="0.3">
      <c r="A2065" s="1" t="str">
        <f>"04000193600"</f>
        <v>04000193600</v>
      </c>
      <c r="B2065" s="1" t="str">
        <f>"BUNT JONES PROPERTIES LTD"</f>
        <v>BUNT JONES PROPERTIES LTD</v>
      </c>
      <c r="C2065" s="1" t="str">
        <f>"3984 RICHARD AVE JACKSON HOMES LOT 176"</f>
        <v>3984 RICHARD AVE JACKSON HOMES LOT 176</v>
      </c>
      <c r="D2065" s="1">
        <v>1703.53</v>
      </c>
    </row>
    <row r="2066" spans="1:4" x14ac:dyDescent="0.3">
      <c r="A2066" s="1" t="str">
        <f>"06000072000"</f>
        <v>06000072000</v>
      </c>
      <c r="B2066" s="1" t="str">
        <f>"BUNTING HAROLD L JR"</f>
        <v>BUNTING HAROLD L JR</v>
      </c>
      <c r="C2066" s="1" t="str">
        <f>"BRIAN DR BROOKSIDE PK 2 296 "</f>
        <v xml:space="preserve">BRIAN DR BROOKSIDE PK 2 296 </v>
      </c>
      <c r="D2066" s="1">
        <v>436.29</v>
      </c>
    </row>
    <row r="2067" spans="1:4" x14ac:dyDescent="0.3">
      <c r="A2067" s="1" t="str">
        <f>"18000449800"</f>
        <v>18000449800</v>
      </c>
      <c r="B2067" s="1" t="str">
        <f>"BUNTS DEON L"</f>
        <v>BUNTS DEON L</v>
      </c>
      <c r="C2067" s="1" t="str">
        <f>"BAYNARD DR RESUB PART BLACKLICK ESTATES 6 LOT 1052"</f>
        <v>BAYNARD DR RESUB PART BLACKLICK ESTATES 6 LOT 1052</v>
      </c>
      <c r="D2067" s="1">
        <v>3091.92</v>
      </c>
    </row>
    <row r="2068" spans="1:4" x14ac:dyDescent="0.3">
      <c r="A2068" s="1" t="str">
        <f>"01002932900"</f>
        <v>01002932900</v>
      </c>
      <c r="B2068" s="1" t="str">
        <f>"BURCHFIELD ELSA, BURCHFIELD JAMES"</f>
        <v>BURCHFIELD ELSA, BURCHFIELD JAMES</v>
      </c>
      <c r="C2068" s="1" t="str">
        <f>"2175 E BROAD MERION HTS LOT 32"</f>
        <v>2175 E BROAD MERION HTS LOT 32</v>
      </c>
      <c r="D2068" s="1">
        <v>10703.62</v>
      </c>
    </row>
    <row r="2069" spans="1:4" x14ac:dyDescent="0.3">
      <c r="A2069" s="1" t="str">
        <f>"01012636300"</f>
        <v>01012636300</v>
      </c>
      <c r="B2069" s="1" t="str">
        <f>"BURCHFIELD LARRY R"</f>
        <v>BURCHFIELD LARRY R</v>
      </c>
      <c r="C2069" s="1" t="str">
        <f>"PURITAN AVE AMERICAN LOT 206"</f>
        <v>PURITAN AVE AMERICAN LOT 206</v>
      </c>
      <c r="D2069" s="1">
        <v>704.84</v>
      </c>
    </row>
    <row r="2070" spans="1:4" x14ac:dyDescent="0.3">
      <c r="A2070" s="1" t="str">
        <f>"01012657900"</f>
        <v>01012657900</v>
      </c>
      <c r="B2070" s="1" t="str">
        <f>"BURCHFIELD LARRY, BURCHFIELD CHRISTINE, MAYNARD JAMES, BREWER KATHRYN"</f>
        <v>BURCHFIELD LARRY, BURCHFIELD CHRISTINE, MAYNARD JAMES, BREWER KATHRYN</v>
      </c>
      <c r="C2070" s="1" t="str">
        <f>"PURITAN AVE AMERICAN LOT 219-220"</f>
        <v>PURITAN AVE AMERICAN LOT 219-220</v>
      </c>
      <c r="D2070" s="1">
        <v>356.79</v>
      </c>
    </row>
    <row r="2071" spans="1:4" x14ac:dyDescent="0.3">
      <c r="A2071" s="1" t="str">
        <f>"15200099900"</f>
        <v>15200099900</v>
      </c>
      <c r="B2071" s="1" t="str">
        <f>"BURD DANA L, BURD DONNA M"</f>
        <v>BURD DANA L, BURD DONNA M</v>
      </c>
      <c r="C2071" s="1" t="str">
        <f>"POPLAR ST DAWSONS OBETZ 8 "</f>
        <v xml:space="preserve">POPLAR ST DAWSONS OBETZ 8 </v>
      </c>
      <c r="D2071" s="1">
        <v>505.18</v>
      </c>
    </row>
    <row r="2072" spans="1:4" x14ac:dyDescent="0.3">
      <c r="A2072" s="1" t="str">
        <f>"01016377000"</f>
        <v>01016377000</v>
      </c>
      <c r="B2072" s="1" t="str">
        <f>"BURDEN NATHANIAL"</f>
        <v>BURDEN NATHANIAL</v>
      </c>
      <c r="C2072" s="1" t="str">
        <f>"KIMBERLY VILLAS CONDO PHASE V BLDG 43 UNIT A"</f>
        <v>KIMBERLY VILLAS CONDO PHASE V BLDG 43 UNIT A</v>
      </c>
      <c r="D2072" s="1">
        <v>1234.69</v>
      </c>
    </row>
    <row r="2073" spans="1:4" x14ac:dyDescent="0.3">
      <c r="A2073" s="1" t="str">
        <f>"18000412900"</f>
        <v>18000412900</v>
      </c>
      <c r="B2073" s="1" t="str">
        <f>"BURDETT PROPERTY LLC"</f>
        <v>BURDETT PROPERTY LLC</v>
      </c>
      <c r="C2073" s="1" t="str">
        <f>"BURDETT DR BLACKLICK ESTATES 6 1360"</f>
        <v>BURDETT DR BLACKLICK ESTATES 6 1360</v>
      </c>
      <c r="D2073" s="1">
        <v>131.74</v>
      </c>
    </row>
    <row r="2074" spans="1:4" x14ac:dyDescent="0.3">
      <c r="A2074" s="1" t="str">
        <f>"04000550500"</f>
        <v>04000550500</v>
      </c>
      <c r="B2074" s="1" t="str">
        <f>"BURDETTE DALE R"</f>
        <v>BURDETTE DALE R</v>
      </c>
      <c r="C2074" s="1" t="str">
        <f>"2806 BUXTON LANE MAMIE KROPP SUB SEC1 LOT 5"</f>
        <v>2806 BUXTON LANE MAMIE KROPP SUB SEC1 LOT 5</v>
      </c>
      <c r="D2074" s="1">
        <v>5862.02</v>
      </c>
    </row>
    <row r="2075" spans="1:4" x14ac:dyDescent="0.3">
      <c r="A2075" s="1" t="str">
        <f>"24000193700"</f>
        <v>24000193700</v>
      </c>
      <c r="B2075" s="1" t="str">
        <f>"BURGASON JILL, BURGASON DANIEL"</f>
        <v>BURGASON JILL, BURGASON DANIEL</v>
      </c>
      <c r="C2075" s="1" t="str">
        <f>"ALTON RD ACRES .845 ENTRY 5240-5106 "</f>
        <v xml:space="preserve">ALTON RD ACRES .845 ENTRY 5240-5106 </v>
      </c>
      <c r="D2075" s="1">
        <v>403.42</v>
      </c>
    </row>
    <row r="2076" spans="1:4" x14ac:dyDescent="0.3">
      <c r="A2076" s="1" t="str">
        <f>"01002428700"</f>
        <v>01002428700</v>
      </c>
      <c r="B2076" s="1" t="str">
        <f>"BURGER KING COMPANY LLC"</f>
        <v>BURGER KING COMPANY LLC</v>
      </c>
      <c r="C2076" s="1" t="str">
        <f>"INDIANOLA AVE NORTH BROADWAY PT LOTS 61 &amp; 68"</f>
        <v>INDIANOLA AVE NORTH BROADWAY PT LOTS 61 &amp; 68</v>
      </c>
      <c r="D2076" s="1">
        <v>12095.84</v>
      </c>
    </row>
    <row r="2077" spans="1:4" x14ac:dyDescent="0.3">
      <c r="A2077" s="1" t="str">
        <f>"01028798700"</f>
        <v>01028798700</v>
      </c>
      <c r="B2077" s="1" t="str">
        <f>"BURGESS JOSHUA"</f>
        <v>BURGESS JOSHUA</v>
      </c>
      <c r="C2077" s="1" t="str">
        <f>"1220-1222 FRANKLIN AVENUE LOT 9 &amp; 2FT WS LOT 8 SCHMIDT &amp; FASSIGS SUB"</f>
        <v>1220-1222 FRANKLIN AVENUE LOT 9 &amp; 2FT WS LOT 8 SCHMIDT &amp; FASSIGS SUB</v>
      </c>
      <c r="D2077" s="1">
        <v>2727.58</v>
      </c>
    </row>
    <row r="2078" spans="1:4" x14ac:dyDescent="0.3">
      <c r="A2078" s="1" t="str">
        <f>"01011312700"</f>
        <v>01011312700</v>
      </c>
      <c r="B2078" s="1" t="str">
        <f>"BURGESS PHILLIP A"</f>
        <v>BURGESS PHILLIP A</v>
      </c>
      <c r="C2078" s="1" t="str">
        <f>"1020 WILLIAMS RD 1.176 ACRES R22 T4 S10"</f>
        <v>1020 WILLIAMS RD 1.176 ACRES R22 T4 S10</v>
      </c>
      <c r="D2078" s="1">
        <v>75.72</v>
      </c>
    </row>
    <row r="2079" spans="1:4" x14ac:dyDescent="0.3">
      <c r="A2079" s="1" t="str">
        <f>"01001576300"</f>
        <v>01001576300</v>
      </c>
      <c r="B2079" s="1" t="str">
        <f>"BURGESS RUTH W"</f>
        <v>BURGESS RUTH W</v>
      </c>
      <c r="C2079" s="1" t="str">
        <f>"102 N 22ND ST QUINN LOT 2"</f>
        <v>102 N 22ND ST QUINN LOT 2</v>
      </c>
      <c r="D2079" s="1">
        <v>1481.16</v>
      </c>
    </row>
    <row r="2080" spans="1:4" x14ac:dyDescent="0.3">
      <c r="A2080" s="1" t="str">
        <f>"01006833300"</f>
        <v>01006833300</v>
      </c>
      <c r="B2080" s="1" t="str">
        <f>"BURGESS SOLUTIONS LLC"</f>
        <v>BURGESS SOLUTIONS LLC</v>
      </c>
      <c r="C2080" s="1" t="str">
        <f>"643-5 S BURGESS AVE HEFFNER HEIGHTS SUB LOT 107"</f>
        <v>643-5 S BURGESS AVE HEFFNER HEIGHTS SUB LOT 107</v>
      </c>
      <c r="D2080" s="1">
        <v>2583.7800000000002</v>
      </c>
    </row>
    <row r="2081" spans="1:4" x14ac:dyDescent="0.3">
      <c r="A2081" s="1" t="str">
        <f>"15200049200"</f>
        <v>15200049200</v>
      </c>
      <c r="B2081" s="1" t="str">
        <f>"BURGETT JANET K"</f>
        <v>BURGETT JANET K</v>
      </c>
      <c r="C2081" s="1" t="str">
        <f>"1711 MERILINE AVE COLUMBUS TERRACE 388-9"</f>
        <v>1711 MERILINE AVE COLUMBUS TERRACE 388-9</v>
      </c>
      <c r="D2081" s="1">
        <v>3307.69</v>
      </c>
    </row>
    <row r="2082" spans="1:4" x14ac:dyDescent="0.3">
      <c r="A2082" s="1" t="str">
        <f>"01009053000"</f>
        <v>01009053000</v>
      </c>
      <c r="B2082" s="1" t="str">
        <f>"BURGNER EDWARD H TOD"</f>
        <v>BURGNER EDWARD H TOD</v>
      </c>
      <c r="C2082" s="1" t="str">
        <f>"KENILWORTH PL EASTMINSTER LOT 307 &amp; PT VAC AL"</f>
        <v>KENILWORTH PL EASTMINSTER LOT 307 &amp; PT VAC AL</v>
      </c>
      <c r="D2082" s="1">
        <v>220</v>
      </c>
    </row>
    <row r="2083" spans="1:4" x14ac:dyDescent="0.3">
      <c r="A2083" s="1" t="str">
        <f>"01003570400"</f>
        <v>01003570400</v>
      </c>
      <c r="B2083" s="1" t="str">
        <f>"BURK MICHAEL L, BURK ERIN N"</f>
        <v>BURK MICHAEL L, BURK ERIN N</v>
      </c>
      <c r="C2083" s="1" t="str">
        <f>"962 MT PLEASANT           AVE MT PLEASANT           LOT 29                   "</f>
        <v xml:space="preserve">962 MT PLEASANT           AVE MT PLEASANT           LOT 29                   </v>
      </c>
      <c r="D2083" s="1">
        <v>4037.61</v>
      </c>
    </row>
    <row r="2084" spans="1:4" x14ac:dyDescent="0.3">
      <c r="A2084" s="1" t="str">
        <f>"18000308600"</f>
        <v>18000308600</v>
      </c>
      <c r="B2084" s="1" t="str">
        <f>"BURKAS TILLIE C"</f>
        <v>BURKAS TILLIE C</v>
      </c>
      <c r="C2084" s="1" t="str">
        <f>"HARBOR BLVD BLACKLICK ESTATES 3 LOT 442"</f>
        <v>HARBOR BLVD BLACKLICK ESTATES 3 LOT 442</v>
      </c>
      <c r="D2084" s="1">
        <v>3236.11</v>
      </c>
    </row>
    <row r="2085" spans="1:4" x14ac:dyDescent="0.3">
      <c r="A2085" s="1" t="str">
        <f>"01003991800"</f>
        <v>01003991800</v>
      </c>
      <c r="B2085" s="1" t="str">
        <f>"BURKE AND SMITH CO"</f>
        <v>BURKE AND SMITH CO</v>
      </c>
      <c r="C2085" s="1" t="str">
        <f>"949 SULLIVANT AVE OSBORN PLC LOT 85"</f>
        <v>949 SULLIVANT AVE OSBORN PLC LOT 85</v>
      </c>
      <c r="D2085" s="1">
        <v>512.67999999999995</v>
      </c>
    </row>
    <row r="2086" spans="1:4" x14ac:dyDescent="0.3">
      <c r="A2086" s="1" t="str">
        <f>"01002183200"</f>
        <v>01002183200</v>
      </c>
      <c r="B2086" s="1" t="str">
        <f>"BURKE AND SMITH CO"</f>
        <v>BURKE AND SMITH CO</v>
      </c>
      <c r="C2086" s="1" t="str">
        <f>"945 SULLIVANT AVE. OSBORN PLACE LOT 84"</f>
        <v>945 SULLIVANT AVE. OSBORN PLACE LOT 84</v>
      </c>
      <c r="D2086" s="1">
        <v>1706.95</v>
      </c>
    </row>
    <row r="2087" spans="1:4" x14ac:dyDescent="0.3">
      <c r="A2087" s="1" t="str">
        <f>"01005000300"</f>
        <v>01005000300</v>
      </c>
      <c r="B2087" s="1" t="str">
        <f>"BURKE JAMES IV"</f>
        <v>BURKE JAMES IV</v>
      </c>
      <c r="C2087" s="1" t="str">
        <f>"382-84 HINMAN AVE S SIDE TERR LOT 31"</f>
        <v>382-84 HINMAN AVE S SIDE TERR LOT 31</v>
      </c>
      <c r="D2087" s="1">
        <v>3689.74</v>
      </c>
    </row>
    <row r="2088" spans="1:4" x14ac:dyDescent="0.3">
      <c r="A2088" s="1" t="str">
        <f>"04000644700"</f>
        <v>04000644700</v>
      </c>
      <c r="B2088" s="1" t="str">
        <f>"BURKE JOSEPH D, BURKE MIRANDA S"</f>
        <v>BURKE JOSEPH D, BURKE MIRANDA S</v>
      </c>
      <c r="C2088" s="1" t="str">
        <f>"4354 DOROTHY LANE KELLER FARMS SEC 4 LOT 77"</f>
        <v>4354 DOROTHY LANE KELLER FARMS SEC 4 LOT 77</v>
      </c>
      <c r="D2088" s="1">
        <v>209.07</v>
      </c>
    </row>
    <row r="2089" spans="1:4" x14ac:dyDescent="0.3">
      <c r="A2089" s="1" t="str">
        <f>"53017379000"</f>
        <v>53017379000</v>
      </c>
      <c r="B2089" s="1" t="str">
        <f>"BURKE-HIGGINS TERRI ELIZABETH, HIGGINS CALVIN JOSEPH"</f>
        <v>BURKE-HIGGINS TERRI ELIZABETH, HIGGINS CALVIN JOSEPH</v>
      </c>
      <c r="C2089" s="1" t="str">
        <f>"CENTENNIAL DR INDEPENDENCE VLG SC4 LOT 298"</f>
        <v>CENTENNIAL DR INDEPENDENCE VLG SC4 LOT 298</v>
      </c>
      <c r="D2089" s="1">
        <v>1676.96</v>
      </c>
    </row>
    <row r="2090" spans="1:4" x14ac:dyDescent="0.3">
      <c r="A2090" s="1" t="str">
        <f>"04001144500"</f>
        <v>04001144500</v>
      </c>
      <c r="B2090" s="1" t="str">
        <f>"BURKEY WILLIAM J, BURKEY WANDA J"</f>
        <v>BURKEY WILLIAM J, BURKEY WANDA J</v>
      </c>
      <c r="C2090" s="1" t="str">
        <f>"THE LANDINGS AT QUAIL CREEK CONDOMINIUM BLDG 22 UNIT 22-5927"</f>
        <v>THE LANDINGS AT QUAIL CREEK CONDOMINIUM BLDG 22 UNIT 22-5927</v>
      </c>
      <c r="D2090" s="1">
        <v>205.09</v>
      </c>
    </row>
    <row r="2091" spans="1:4" x14ac:dyDescent="0.3">
      <c r="A2091" s="1" t="str">
        <f>"01007595500"</f>
        <v>01007595500</v>
      </c>
      <c r="B2091" s="1" t="str">
        <f>"BURKHEAD ROBERT TEINAL"</f>
        <v>BURKHEAD ROBERT TEINAL</v>
      </c>
      <c r="C2091" s="1" t="str">
        <f>"3113 MEDINA AVE SEE DUP FOR DESC LINDEN GDNS LOT 29"</f>
        <v>3113 MEDINA AVE SEE DUP FOR DESC LINDEN GDNS LOT 29</v>
      </c>
      <c r="D2091" s="1">
        <v>1286.17</v>
      </c>
    </row>
    <row r="2092" spans="1:4" x14ac:dyDescent="0.3">
      <c r="A2092" s="1" t="str">
        <f>"01016739200"</f>
        <v>01016739200</v>
      </c>
      <c r="B2092" s="1" t="str">
        <f>"BURKHEART DOROTHY, COBB RUBY, BROOKS DENESE R LE, BURKHEART TAJUAN, BURKHEART LENA, BURKHEART JAMES JR, JACKSON EVA, BROOKS DENESE R"</f>
        <v>BURKHEART DOROTHY, COBB RUBY, BROOKS DENESE R LE, BURKHEART TAJUAN, BURKHEART LENA, BURKHEART JAMES JR, JACKSON EVA, BROOKS DENESE R</v>
      </c>
      <c r="C2092" s="1" t="str">
        <f>"1951 BRENTNELL AVE AMVET HOMESTEAD 2 LOT 25 BLK S"</f>
        <v>1951 BRENTNELL AVE AMVET HOMESTEAD 2 LOT 25 BLK S</v>
      </c>
      <c r="D2092" s="1">
        <v>831.2</v>
      </c>
    </row>
    <row r="2093" spans="1:4" x14ac:dyDescent="0.3">
      <c r="A2093" s="1" t="str">
        <f>"01012518500"</f>
        <v>01012518500</v>
      </c>
      <c r="B2093" s="1" t="str">
        <f>"BURKHOLDER BARBARA L"</f>
        <v>BURKHOLDER BARBARA L</v>
      </c>
      <c r="C2093" s="1" t="str">
        <f>"CRAWFORD DR NORTHVIEW ESTATES 2 LOT 108"</f>
        <v>CRAWFORD DR NORTHVIEW ESTATES 2 LOT 108</v>
      </c>
      <c r="D2093" s="1">
        <v>1827.08</v>
      </c>
    </row>
    <row r="2094" spans="1:4" x14ac:dyDescent="0.3">
      <c r="A2094" s="1" t="str">
        <f>"05300008200"</f>
        <v>05300008200</v>
      </c>
      <c r="B2094" s="1" t="str">
        <f>"BURKHOLDER CHARLENE, BURKHOLDER DANA"</f>
        <v>BURKHOLDER CHARLENE, BURKHOLDER DANA</v>
      </c>
      <c r="C2094" s="1" t="str">
        <f>"HERITAGE PRESERVE SECTION 1 PHASE 2 LOT 39"</f>
        <v>HERITAGE PRESERVE SECTION 1 PHASE 2 LOT 39</v>
      </c>
      <c r="D2094" s="1">
        <v>623.04999999999995</v>
      </c>
    </row>
    <row r="2095" spans="1:4" x14ac:dyDescent="0.3">
      <c r="A2095" s="1" t="str">
        <f>"01005038800"</f>
        <v>01005038800</v>
      </c>
      <c r="B2095" s="1" t="str">
        <f>"BURKS BRIAN"</f>
        <v>BURKS BRIAN</v>
      </c>
      <c r="C2095" s="1" t="str">
        <f>"266 MIDLAND AVE WESTWOOD HTS LOT 158"</f>
        <v>266 MIDLAND AVE WESTWOOD HTS LOT 158</v>
      </c>
      <c r="D2095" s="1">
        <v>2098.21</v>
      </c>
    </row>
    <row r="2096" spans="1:4" x14ac:dyDescent="0.3">
      <c r="A2096" s="1" t="str">
        <f>"01007563500"</f>
        <v>01007563500</v>
      </c>
      <c r="B2096" s="1" t="str">
        <f>"BURLESON DEBORAH F"</f>
        <v>BURLESON DEBORAH F</v>
      </c>
      <c r="C2096" s="1" t="str">
        <f>"1406 E WEBER RD 140 FT S E LINDEN GARDNS"</f>
        <v>1406 E WEBER RD 140 FT S E LINDEN GARDNS</v>
      </c>
      <c r="D2096" s="1">
        <v>2169.98</v>
      </c>
    </row>
    <row r="2097" spans="1:4" x14ac:dyDescent="0.3">
      <c r="A2097" s="1" t="str">
        <f>"16100109800"</f>
        <v>16100109800</v>
      </c>
      <c r="B2097" s="1" t="str">
        <f>"BURLEY JUANITA"</f>
        <v>BURLEY JUANITA</v>
      </c>
      <c r="C2097" s="1" t="str">
        <f>"2625 AUGUSTUS CT DOBBINS URBANCREST 1 LOT 10"</f>
        <v>2625 AUGUSTUS CT DOBBINS URBANCREST 1 LOT 10</v>
      </c>
      <c r="D2097" s="1">
        <v>108.91</v>
      </c>
    </row>
    <row r="2098" spans="1:4" x14ac:dyDescent="0.3">
      <c r="A2098" s="1" t="str">
        <f>"01001540300"</f>
        <v>01001540300</v>
      </c>
      <c r="B2098" s="1" t="str">
        <f>"BURLEY KELVIN"</f>
        <v>BURLEY KELVIN</v>
      </c>
      <c r="C2098" s="1" t="str">
        <f>"MULBERRY ST CARTERS B&amp;O LOT 134"</f>
        <v>MULBERRY ST CARTERS B&amp;O LOT 134</v>
      </c>
      <c r="D2098" s="1">
        <v>100.46</v>
      </c>
    </row>
    <row r="2099" spans="1:4" x14ac:dyDescent="0.3">
      <c r="A2099" s="1" t="str">
        <f>"07001075100"</f>
        <v>07001075100</v>
      </c>
      <c r="B2099" s="1" t="str">
        <f>"BURLON KONRA K TTEE"</f>
        <v>BURLON KONRA K TTEE</v>
      </c>
      <c r="C2099" s="1" t="str">
        <f>"4550 HELSTON CT SHELBOURNE HTS EX 4 LOT 26"</f>
        <v>4550 HELSTON CT SHELBOURNE HTS EX 4 LOT 26</v>
      </c>
      <c r="D2099" s="1">
        <v>6216.83</v>
      </c>
    </row>
    <row r="2100" spans="1:4" x14ac:dyDescent="0.3">
      <c r="A2100" s="1" t="str">
        <f>"01006928500"</f>
        <v>01006928500</v>
      </c>
      <c r="B2100" s="1" t="str">
        <f>"BURNETT KIMBERLY J"</f>
        <v>BURNETT KIMBERLY J</v>
      </c>
      <c r="C2100" s="1" t="str">
        <f>"CRESCENT RD WILSHIRE HEIGHTS LOT 8 BLK 40"</f>
        <v>CRESCENT RD WILSHIRE HEIGHTS LOT 8 BLK 40</v>
      </c>
      <c r="D2100" s="1">
        <v>181.92</v>
      </c>
    </row>
    <row r="2101" spans="1:4" x14ac:dyDescent="0.3">
      <c r="A2101" s="1" t="str">
        <f>"18500044800"</f>
        <v>18500044800</v>
      </c>
      <c r="B2101" s="1" t="str">
        <f>"BURNHEIMER TODD"</f>
        <v>BURNHEIMER TODD</v>
      </c>
      <c r="C2101" s="1" t="str">
        <f>"COLLEGE ST WERTS GROVE PT LOTS 54-55=0.320 ACRE"</f>
        <v>COLLEGE ST WERTS GROVE PT LOTS 54-55=0.320 ACRE</v>
      </c>
      <c r="D2101" s="1">
        <v>827.9</v>
      </c>
    </row>
    <row r="2102" spans="1:4" x14ac:dyDescent="0.3">
      <c r="A2102" s="1" t="str">
        <f>"13000211100"</f>
        <v>13000211100</v>
      </c>
      <c r="B2102" s="1" t="str">
        <f>"BURNS CARLO"</f>
        <v>BURNS CARLO</v>
      </c>
      <c r="C2102" s="1" t="str">
        <f>"2245 SALE RD NORTH LINDEN NO 3 LOT 12 &amp; 5'VAC ALLEY"</f>
        <v>2245 SALE RD NORTH LINDEN NO 3 LOT 12 &amp; 5'VAC ALLEY</v>
      </c>
      <c r="D2102" s="1">
        <v>1637.86</v>
      </c>
    </row>
    <row r="2103" spans="1:4" x14ac:dyDescent="0.3">
      <c r="A2103" s="1" t="str">
        <f>"01007995800"</f>
        <v>01007995800</v>
      </c>
      <c r="B2103" s="1" t="str">
        <f>"BURNS CARLO JULIAN, AREHART JANELL"</f>
        <v>BURNS CARLO JULIAN, AREHART JANELL</v>
      </c>
      <c r="C2103" s="1" t="str">
        <f>"1530 E WEBER RD KENMORE PARK LOT 6 BLK 9"</f>
        <v>1530 E WEBER RD KENMORE PARK LOT 6 BLK 9</v>
      </c>
      <c r="D2103" s="1">
        <v>1366.32</v>
      </c>
    </row>
    <row r="2104" spans="1:4" x14ac:dyDescent="0.3">
      <c r="A2104" s="1" t="str">
        <f>"15200142700"</f>
        <v>15200142700</v>
      </c>
      <c r="B2104" s="1" t="str">
        <f>"BURNS EDWARD M, BURNS MATTHEW, BURNS PETER"</f>
        <v>BURNS EDWARD M, BURNS MATTHEW, BURNS PETER</v>
      </c>
      <c r="C2104" s="1" t="str">
        <f>"BRIDLEWOOD BLVD BRIDLEWOOD NO II LOT 138"</f>
        <v>BRIDLEWOOD BLVD BRIDLEWOOD NO II LOT 138</v>
      </c>
      <c r="D2104" s="1">
        <v>284.31</v>
      </c>
    </row>
    <row r="2105" spans="1:4" x14ac:dyDescent="0.3">
      <c r="A2105" s="1" t="str">
        <f>"01024520900"</f>
        <v>01024520900</v>
      </c>
      <c r="B2105" s="1" t="str">
        <f>"BURNS ELENA"</f>
        <v>BURNS ELENA</v>
      </c>
      <c r="C2105" s="1" t="str">
        <f>"PARKSHIRE COMMONS CONDOMINIUM 1ST AMD UNIT 5542"</f>
        <v>PARKSHIRE COMMONS CONDOMINIUM 1ST AMD UNIT 5542</v>
      </c>
      <c r="D2105" s="1">
        <v>120.52</v>
      </c>
    </row>
    <row r="2106" spans="1:4" x14ac:dyDescent="0.3">
      <c r="A2106" s="1" t="str">
        <f>"24000289700"</f>
        <v>24000289700</v>
      </c>
      <c r="B2106" s="1" t="str">
        <f>"BURNS JAMES E"</f>
        <v>BURNS JAMES E</v>
      </c>
      <c r="C2106" s="1" t="str">
        <f>"GREENER AVE GARDEN HEIGHTS 49 "</f>
        <v xml:space="preserve">GREENER AVE GARDEN HEIGHTS 49 </v>
      </c>
      <c r="D2106" s="1">
        <v>7.16</v>
      </c>
    </row>
    <row r="2107" spans="1:4" x14ac:dyDescent="0.3">
      <c r="A2107" s="1" t="str">
        <f>"24000298800"</f>
        <v>24000298800</v>
      </c>
      <c r="B2107" s="1" t="str">
        <f>"BURNS JAMES E"</f>
        <v>BURNS JAMES E</v>
      </c>
      <c r="C2107" s="1" t="str">
        <f>"GARDEN HTS AVE GARDEN HTS LOT 140"</f>
        <v>GARDEN HTS AVE GARDEN HTS LOT 140</v>
      </c>
      <c r="D2107" s="1">
        <v>6.82</v>
      </c>
    </row>
    <row r="2108" spans="1:4" x14ac:dyDescent="0.3">
      <c r="A2108" s="1" t="str">
        <f>"24000298900"</f>
        <v>24000298900</v>
      </c>
      <c r="B2108" s="1" t="str">
        <f>"BURNS JAMES E"</f>
        <v>BURNS JAMES E</v>
      </c>
      <c r="C2108" s="1" t="str">
        <f>"GARDEN HTS AVE GARDEN HEIGHTS 141 "</f>
        <v xml:space="preserve">GARDEN HTS AVE GARDEN HEIGHTS 141 </v>
      </c>
      <c r="D2108" s="1">
        <v>9.07</v>
      </c>
    </row>
    <row r="2109" spans="1:4" x14ac:dyDescent="0.3">
      <c r="A2109" s="1" t="str">
        <f>"01007704900"</f>
        <v>01007704900</v>
      </c>
      <c r="B2109" s="1" t="str">
        <f>"BURNS MEGAN"</f>
        <v>BURNS MEGAN</v>
      </c>
      <c r="C2109" s="1" t="str">
        <f>"MANSFIELD AVE DEVON LOT 64-65-66"</f>
        <v>MANSFIELD AVE DEVON LOT 64-65-66</v>
      </c>
      <c r="D2109" s="1">
        <v>425.78</v>
      </c>
    </row>
    <row r="2110" spans="1:4" x14ac:dyDescent="0.3">
      <c r="A2110" s="1" t="str">
        <f>"24000322500"</f>
        <v>24000322500</v>
      </c>
      <c r="B2110" s="1" t="str">
        <f>"BURNS MICHAEL C"</f>
        <v>BURNS MICHAEL C</v>
      </c>
      <c r="C2110" s="1" t="str">
        <f>"4990 ANNHURST RD LINCOLN VILLAGE LOT 95 &amp; 0.099 ACS"</f>
        <v>4990 ANNHURST RD LINCOLN VILLAGE LOT 95 &amp; 0.099 ACS</v>
      </c>
      <c r="D2110" s="1">
        <v>1888.34</v>
      </c>
    </row>
    <row r="2111" spans="1:4" x14ac:dyDescent="0.3">
      <c r="A2111" s="1" t="str">
        <f>"01006540900"</f>
        <v>01006540900</v>
      </c>
      <c r="B2111" s="1" t="str">
        <f>"BURNS RICHARD G"</f>
        <v>BURNS RICHARD G</v>
      </c>
      <c r="C2111" s="1" t="str">
        <f>"237 TO 45 W PACEMONT MANHATTAN PK LOT 79-80"</f>
        <v>237 TO 45 W PACEMONT MANHATTAN PK LOT 79-80</v>
      </c>
      <c r="D2111" s="1">
        <v>645.48</v>
      </c>
    </row>
    <row r="2112" spans="1:4" x14ac:dyDescent="0.3">
      <c r="A2112" s="1" t="str">
        <f>"01016099600"</f>
        <v>01016099600</v>
      </c>
      <c r="B2112" s="1" t="str">
        <f>"BURNSIDE RHONDA MOORE, REED KAREN MOORE"</f>
        <v>BURNSIDE RHONDA MOORE, REED KAREN MOORE</v>
      </c>
      <c r="C2112" s="1" t="str">
        <f>"1221 WOODBROOK CT WOODBROOK VILLAGE CONDOMINIUM UNIT 30"</f>
        <v>1221 WOODBROOK CT WOODBROOK VILLAGE CONDOMINIUM UNIT 30</v>
      </c>
      <c r="D2112" s="1">
        <v>1150.1500000000001</v>
      </c>
    </row>
    <row r="2113" spans="1:4" x14ac:dyDescent="0.3">
      <c r="A2113" s="1" t="str">
        <f>"27300727900"</f>
        <v>27300727900</v>
      </c>
      <c r="B2113" s="1" t="str">
        <f>"BURON ENRIQUE T, BURON JENNIFER M"</f>
        <v>BURON ENRIQUE T, BURON JENNIFER M</v>
      </c>
      <c r="C2113" s="1" t="str">
        <f>"ST MEL CIRCLE DUBLINSHIRE SEC4 PH2 LOT 391"</f>
        <v>ST MEL CIRCLE DUBLINSHIRE SEC4 PH2 LOT 391</v>
      </c>
      <c r="D2113" s="1">
        <v>34739.449999999997</v>
      </c>
    </row>
    <row r="2114" spans="1:4" x14ac:dyDescent="0.3">
      <c r="A2114" s="1" t="str">
        <f>"03000146800"</f>
        <v>03000146800</v>
      </c>
      <c r="B2114" s="1" t="str">
        <f>"BURR APARTMENTS LLC"</f>
        <v>BURR APARTMENTS LLC</v>
      </c>
      <c r="C2114" s="1" t="str">
        <f>"9641 BURR AVE NORTHWEST BLVD # 4 LOT 548 &amp; PT 547"</f>
        <v>9641 BURR AVE NORTHWEST BLVD # 4 LOT 548 &amp; PT 547</v>
      </c>
      <c r="D2114" s="1">
        <v>537.96</v>
      </c>
    </row>
    <row r="2115" spans="1:4" x14ac:dyDescent="0.3">
      <c r="A2115" s="1" t="str">
        <f>"06000809900"</f>
        <v>06000809900</v>
      </c>
      <c r="B2115" s="1" t="str">
        <f>"BURROUGHS DEBRA"</f>
        <v>BURROUGHS DEBRA</v>
      </c>
      <c r="C2115" s="1" t="str">
        <f>"LEIGHTON VILLAGE SECTION 4 LOT 79"</f>
        <v>LEIGHTON VILLAGE SECTION 4 LOT 79</v>
      </c>
      <c r="D2115" s="1">
        <v>320.42</v>
      </c>
    </row>
    <row r="2116" spans="1:4" x14ac:dyDescent="0.3">
      <c r="A2116" s="1" t="str">
        <f>"14000420800"</f>
        <v>14000420800</v>
      </c>
      <c r="B2116" s="1" t="str">
        <f>"BURROWS JEANETT"</f>
        <v>BURROWS JEANETT</v>
      </c>
      <c r="C2116" s="1" t="str">
        <f>"1250 BROWNLEAF RD MARY ANN LOT 18 "</f>
        <v xml:space="preserve">1250 BROWNLEAF RD MARY ANN LOT 18 </v>
      </c>
      <c r="D2116" s="1">
        <v>134.78</v>
      </c>
    </row>
    <row r="2117" spans="1:4" x14ac:dyDescent="0.3">
      <c r="A2117" s="1" t="str">
        <f>"07000955300"</f>
        <v>07000955300</v>
      </c>
      <c r="B2117" s="1" t="str">
        <f>"BURT RANDALL F, BURT CHRISTINA D"</f>
        <v>BURT RANDALL F, BURT CHRISTINA D</v>
      </c>
      <c r="C2117" s="1" t="str">
        <f>"2216 MIDDLESEX RD MIDDLESEX PLACE 3 BLK 1"</f>
        <v>2216 MIDDLESEX RD MIDDLESEX PLACE 3 BLK 1</v>
      </c>
      <c r="D2117" s="1">
        <v>461.35</v>
      </c>
    </row>
    <row r="2118" spans="1:4" x14ac:dyDescent="0.3">
      <c r="A2118" s="1" t="str">
        <f>"07000138200"</f>
        <v>07000138200</v>
      </c>
      <c r="B2118" s="1" t="str">
        <f>"BURTON DOUGLAS R, BURTON ROXANNE M"</f>
        <v>BURTON DOUGLAS R, BURTON ROXANNE M</v>
      </c>
      <c r="C2118" s="1" t="str">
        <f>"2724 WEXFORD RD GUILFORD PLACE LOT 251"</f>
        <v>2724 WEXFORD RD GUILFORD PLACE LOT 251</v>
      </c>
      <c r="D2118" s="1">
        <v>810.02</v>
      </c>
    </row>
    <row r="2119" spans="1:4" x14ac:dyDescent="0.3">
      <c r="A2119" s="1" t="str">
        <f>"01001044000"</f>
        <v>01001044000</v>
      </c>
      <c r="B2119" s="1" t="str">
        <f>"BURTON LAWRENCE E, BURTON JOANN"</f>
        <v>BURTON LAWRENCE E, BURTON JOANN</v>
      </c>
      <c r="C2119" s="1" t="str">
        <f>"791 N ROSE AVE CARETERS B&amp;O LOT 90"</f>
        <v>791 N ROSE AVE CARETERS B&amp;O LOT 90</v>
      </c>
      <c r="D2119" s="1">
        <v>74.17</v>
      </c>
    </row>
    <row r="2120" spans="1:4" x14ac:dyDescent="0.3">
      <c r="A2120" s="1" t="str">
        <f>"01016588200"</f>
        <v>01016588200</v>
      </c>
      <c r="B2120" s="1" t="str">
        <f>"BURTON LAWRENCE, BURTON JOANN"</f>
        <v>BURTON LAWRENCE, BURTON JOANN</v>
      </c>
      <c r="C2120" s="1" t="str">
        <f>"CONESTOGA DRIVE GREENBRIER FARM NO 5 LOT 6"</f>
        <v>CONESTOGA DRIVE GREENBRIER FARM NO 5 LOT 6</v>
      </c>
      <c r="D2120" s="1">
        <v>395.74</v>
      </c>
    </row>
    <row r="2121" spans="1:4" x14ac:dyDescent="0.3">
      <c r="A2121" s="1" t="str">
        <f>"01016720600"</f>
        <v>01016720600</v>
      </c>
      <c r="B2121" s="1" t="str">
        <f>"BURTON NATHANIEL"</f>
        <v>BURTON NATHANIEL</v>
      </c>
      <c r="C2121" s="1" t="str">
        <f>"MEREDITH DR AMVET HOMESTD SUB 1 LOT 41 BLK E"</f>
        <v>MEREDITH DR AMVET HOMESTD SUB 1 LOT 41 BLK E</v>
      </c>
      <c r="D2121" s="1">
        <v>1994.94</v>
      </c>
    </row>
    <row r="2122" spans="1:4" x14ac:dyDescent="0.3">
      <c r="A2122" s="1" t="str">
        <f>"01000946900"</f>
        <v>01000946900</v>
      </c>
      <c r="B2122" s="1" t="str">
        <f>"BURTON RONALD C TTEE (RCB TRUST)"</f>
        <v>BURTON RONALD C TTEE (RCB TRUST)</v>
      </c>
      <c r="C2122" s="1" t="str">
        <f>"24-26 W LAKEVIEW AVE CLOVER LEAF LOT 31"</f>
        <v>24-26 W LAKEVIEW AVE CLOVER LEAF LOT 31</v>
      </c>
      <c r="D2122" s="1">
        <v>15.3</v>
      </c>
    </row>
    <row r="2123" spans="1:4" x14ac:dyDescent="0.3">
      <c r="A2123" s="1" t="str">
        <f>"59019152000"</f>
        <v>59019152000</v>
      </c>
      <c r="B2123" s="1" t="str">
        <f>"BURTON RONALD C TTEE (RCB TRUST)"</f>
        <v>BURTON RONALD C TTEE (RCB TRUST)</v>
      </c>
      <c r="C2123" s="1" t="str">
        <f>"6479 CRANSTON WY CRANSTON COM CONDO 4 BLDG 11 UNIT 47"</f>
        <v>6479 CRANSTON WY CRANSTON COM CONDO 4 BLDG 11 UNIT 47</v>
      </c>
      <c r="D2123" s="1">
        <v>6.77</v>
      </c>
    </row>
    <row r="2124" spans="1:4" x14ac:dyDescent="0.3">
      <c r="A2124" s="1" t="str">
        <f>"59019152100"</f>
        <v>59019152100</v>
      </c>
      <c r="B2124" s="1" t="str">
        <f>"BURTON RONALD C TTEE (RCB TRUST)"</f>
        <v>BURTON RONALD C TTEE (RCB TRUST)</v>
      </c>
      <c r="C2124" s="1" t="str">
        <f>"6477 CRANSTON WY CRANSTON COM CONDO 4 BLDG 11 UNIT 48"</f>
        <v>6477 CRANSTON WY CRANSTON COM CONDO 4 BLDG 11 UNIT 48</v>
      </c>
      <c r="D2124" s="1">
        <v>6.77</v>
      </c>
    </row>
    <row r="2125" spans="1:4" x14ac:dyDescent="0.3">
      <c r="A2125" s="1" t="str">
        <f>"59019152200"</f>
        <v>59019152200</v>
      </c>
      <c r="B2125" s="1" t="str">
        <f>"BURTON RONALD C TTEE (RCB TRUST)"</f>
        <v>BURTON RONALD C TTEE (RCB TRUST)</v>
      </c>
      <c r="C2125" s="1" t="str">
        <f>"6475 CRANSTON WY CRANSTON COM CONDO 4 BLDG 11 UNIT 49"</f>
        <v>6475 CRANSTON WY CRANSTON COM CONDO 4 BLDG 11 UNIT 49</v>
      </c>
      <c r="D2125" s="1">
        <v>6.77</v>
      </c>
    </row>
    <row r="2126" spans="1:4" x14ac:dyDescent="0.3">
      <c r="A2126" s="1" t="str">
        <f>"59019152300"</f>
        <v>59019152300</v>
      </c>
      <c r="B2126" s="1" t="str">
        <f>"BURTON RONALD C TTEE (RCB TRUST)"</f>
        <v>BURTON RONALD C TTEE (RCB TRUST)</v>
      </c>
      <c r="C2126" s="1" t="str">
        <f>"6473 CRANSTON WY CRANSTON COM CONDO 4 BLDG 11 UNIT 50"</f>
        <v>6473 CRANSTON WY CRANSTON COM CONDO 4 BLDG 11 UNIT 50</v>
      </c>
      <c r="D2126" s="1">
        <v>6.77</v>
      </c>
    </row>
    <row r="2127" spans="1:4" x14ac:dyDescent="0.3">
      <c r="A2127" s="1" t="str">
        <f>"01005743200"</f>
        <v>01005743200</v>
      </c>
      <c r="B2127" s="1" t="str">
        <f>"BURTON VANITA A"</f>
        <v>BURTON VANITA A</v>
      </c>
      <c r="C2127" s="1" t="str">
        <f>"1340 LINWOOD AVE EDGEWOOD LOT 37-38"</f>
        <v>1340 LINWOOD AVE EDGEWOOD LOT 37-38</v>
      </c>
      <c r="D2127" s="1">
        <v>558.62</v>
      </c>
    </row>
    <row r="2128" spans="1:4" x14ac:dyDescent="0.3">
      <c r="A2128" s="1" t="str">
        <f>"01013086100"</f>
        <v>01013086100</v>
      </c>
      <c r="B2128" s="1" t="str">
        <f>"BURWELL ALICE L TR"</f>
        <v>BURWELL ALICE L TR</v>
      </c>
      <c r="C2128" s="1" t="str">
        <f>"ROCHE DR SALEM VILLAGE 2 LOT 178"</f>
        <v>ROCHE DR SALEM VILLAGE 2 LOT 178</v>
      </c>
      <c r="D2128" s="1">
        <v>334.23</v>
      </c>
    </row>
    <row r="2129" spans="1:4" x14ac:dyDescent="0.3">
      <c r="A2129" s="1" t="str">
        <f>"59019698300"</f>
        <v>59019698300</v>
      </c>
      <c r="B2129" s="1" t="str">
        <f>"BUSBY TRUDY O"</f>
        <v>BUSBY TRUDY O</v>
      </c>
      <c r="C2129" s="1" t="str">
        <f>"2333 GAVINLEY WY WOODRUN PLC CONDO 1 BLDG 8 UNIT 55"</f>
        <v>2333 GAVINLEY WY WOODRUN PLC CONDO 1 BLDG 8 UNIT 55</v>
      </c>
      <c r="D2129" s="1">
        <v>187.48</v>
      </c>
    </row>
    <row r="2130" spans="1:4" x14ac:dyDescent="0.3">
      <c r="A2130" s="1" t="str">
        <f>"01028357200"</f>
        <v>01028357200</v>
      </c>
      <c r="B2130" s="1" t="str">
        <f>"BUSCEMI JOSEPH"</f>
        <v>BUSCEMI JOSEPH</v>
      </c>
      <c r="C2130" s="1" t="str">
        <f>"CARLYLE'S WATCH           CONDOMINIUM               UNIT 3E                  "</f>
        <v xml:space="preserve">CARLYLE'S WATCH           CONDOMINIUM               UNIT 3E                  </v>
      </c>
      <c r="D2130" s="1">
        <v>577.15</v>
      </c>
    </row>
    <row r="2131" spans="1:4" x14ac:dyDescent="0.3">
      <c r="A2131" s="1" t="str">
        <f>"01029430600"</f>
        <v>01029430600</v>
      </c>
      <c r="B2131" s="1" t="str">
        <f>"BUSCH STEVEN L, BUSCH JULIE M"</f>
        <v>BUSCH STEVEN L, BUSCH JULIE M</v>
      </c>
      <c r="C2131" s="1" t="str">
        <f>"186 SYCAMORE ST JONAS PLETSCHS 1 13'NE LOT 2"</f>
        <v>186 SYCAMORE ST JONAS PLETSCHS 1 13'NE LOT 2</v>
      </c>
      <c r="D2131" s="1">
        <v>783.28</v>
      </c>
    </row>
    <row r="2132" spans="1:4" x14ac:dyDescent="0.3">
      <c r="A2132" s="1" t="str">
        <f>"01003282500"</f>
        <v>01003282500</v>
      </c>
      <c r="B2132" s="1" t="str">
        <f>"BUSH WILLIAM M, MOORE MAUREEN J"</f>
        <v>BUSH WILLIAM M, MOORE MAUREEN J</v>
      </c>
      <c r="C2132" s="1" t="str">
        <f>"CLINTON HEIGHTS AVE WALHALLA PARK PLACE 2 LOT 40"</f>
        <v>CLINTON HEIGHTS AVE WALHALLA PARK PLACE 2 LOT 40</v>
      </c>
      <c r="D2132" s="1">
        <v>275.83</v>
      </c>
    </row>
    <row r="2133" spans="1:4" x14ac:dyDescent="0.3">
      <c r="A2133" s="1" t="str">
        <f>"01026049800"</f>
        <v>01026049800</v>
      </c>
      <c r="B2133" s="1" t="str">
        <f>"BUSHONG ROGER, BUSHONG PATTI J"</f>
        <v>BUSHONG ROGER, BUSHONG PATTI J</v>
      </c>
      <c r="C2133" s="1" t="str">
        <f>"THE RAVINES AT ROCK FORK CONDOMINIUMS 8TH AMD UNIT 5302"</f>
        <v>THE RAVINES AT ROCK FORK CONDOMINIUMS 8TH AMD UNIT 5302</v>
      </c>
      <c r="D2133" s="1">
        <v>2547.83</v>
      </c>
    </row>
    <row r="2134" spans="1:4" x14ac:dyDescent="0.3">
      <c r="A2134" s="1" t="str">
        <f>"01013442100"</f>
        <v>01013442100</v>
      </c>
      <c r="B2134" s="1" t="str">
        <f>"BUSSEY TERESA"</f>
        <v>BUSSEY TERESA</v>
      </c>
      <c r="C2134" s="1" t="str">
        <f>"KOEBEL RD RADCLIFF 2 LOT 278"</f>
        <v>KOEBEL RD RADCLIFF 2 LOT 278</v>
      </c>
      <c r="D2134" s="1">
        <v>434.31</v>
      </c>
    </row>
    <row r="2135" spans="1:4" x14ac:dyDescent="0.3">
      <c r="A2135" s="1" t="str">
        <f>"01013125700"</f>
        <v>01013125700</v>
      </c>
      <c r="B2135" s="1" t="str">
        <f>"BUTCHER D NORRIS, BUTCHER VICKI"</f>
        <v>BUTCHER D NORRIS, BUTCHER VICKI</v>
      </c>
      <c r="C2135" s="1" t="str">
        <f>"HILOCK COURT HIGHLAND 2 LOT 20"</f>
        <v>HILOCK COURT HIGHLAND 2 LOT 20</v>
      </c>
      <c r="D2135" s="1">
        <v>129.66999999999999</v>
      </c>
    </row>
    <row r="2136" spans="1:4" x14ac:dyDescent="0.3">
      <c r="A2136" s="1" t="str">
        <f>"01001143100"</f>
        <v>01001143100</v>
      </c>
      <c r="B2136" s="1" t="str">
        <f>"BUTCHER WANDA JEAN TR"</f>
        <v>BUTCHER WANDA JEAN TR</v>
      </c>
      <c r="C2136" s="1" t="str">
        <f>"375 WHITHORNE AVE WESTWOOD HTS LOT 236"</f>
        <v>375 WHITHORNE AVE WESTWOOD HTS LOT 236</v>
      </c>
      <c r="D2136" s="1">
        <v>151.44999999999999</v>
      </c>
    </row>
    <row r="2137" spans="1:4" x14ac:dyDescent="0.3">
      <c r="A2137" s="1" t="str">
        <f>"01003150100"</f>
        <v>01003150100</v>
      </c>
      <c r="B2137" s="1" t="str">
        <f>"BUTCHER WANDA JEAN TR"</f>
        <v>BUTCHER WANDA JEAN TR</v>
      </c>
      <c r="C2137" s="1" t="str">
        <f>"369-71 WHIETHORNE AV WESTWOOD HTS LOT 229"</f>
        <v>369-71 WHIETHORNE AV WESTWOOD HTS LOT 229</v>
      </c>
      <c r="D2137" s="1">
        <v>1613.61</v>
      </c>
    </row>
    <row r="2138" spans="1:4" x14ac:dyDescent="0.3">
      <c r="A2138" s="1" t="str">
        <f>"01004881600"</f>
        <v>01004881600</v>
      </c>
      <c r="B2138" s="1" t="str">
        <f>"BUTLER AMELIA"</f>
        <v>BUTLER AMELIA</v>
      </c>
      <c r="C2138" s="1" t="str">
        <f>"1949 FLORAL AVE GLENWOOD HTS LOT 145"</f>
        <v>1949 FLORAL AVE GLENWOOD HTS LOT 145</v>
      </c>
      <c r="D2138" s="1">
        <v>1736.68</v>
      </c>
    </row>
    <row r="2139" spans="1:4" x14ac:dyDescent="0.3">
      <c r="A2139" s="1" t="str">
        <f>"01003827100"</f>
        <v>01003827100</v>
      </c>
      <c r="B2139" s="1" t="str">
        <f>"BUTLER AMELIA"</f>
        <v>BUTLER AMELIA</v>
      </c>
      <c r="C2139" s="1" t="str">
        <f>"1953 FLORAL AVE GLENWOOD HTS LOT 144"</f>
        <v>1953 FLORAL AVE GLENWOOD HTS LOT 144</v>
      </c>
      <c r="D2139" s="1">
        <v>863.88</v>
      </c>
    </row>
    <row r="2140" spans="1:4" x14ac:dyDescent="0.3">
      <c r="A2140" s="1" t="str">
        <f>"60030065800"</f>
        <v>60030065800</v>
      </c>
      <c r="B2140" s="1" t="str">
        <f>"BUTLER ELIZABETH D"</f>
        <v>BUTLER ELIZABETH D</v>
      </c>
      <c r="C2140" s="1" t="str">
        <f>"THE COVE SECTION 1 LOT 9"</f>
        <v>THE COVE SECTION 1 LOT 9</v>
      </c>
      <c r="D2140" s="1">
        <v>433.23</v>
      </c>
    </row>
    <row r="2141" spans="1:4" x14ac:dyDescent="0.3">
      <c r="A2141" s="1" t="str">
        <f>"07001212900"</f>
        <v>07001212900</v>
      </c>
      <c r="B2141" s="1" t="str">
        <f>"BUTLER EUGENE R, BUTLER KENDALL D"</f>
        <v>BUTLER EUGENE R, BUTLER KENDALL D</v>
      </c>
      <c r="C2141" s="1" t="str">
        <f>"1224 LANGSTON DR KNOLLS ARLNGTN SEC 9 LOT 183"</f>
        <v>1224 LANGSTON DR KNOLLS ARLNGTN SEC 9 LOT 183</v>
      </c>
      <c r="D2141" s="1">
        <v>5514.1</v>
      </c>
    </row>
    <row r="2142" spans="1:4" x14ac:dyDescent="0.3">
      <c r="A2142" s="1" t="str">
        <f>"01028698800"</f>
        <v>01028698800</v>
      </c>
      <c r="B2142" s="1" t="str">
        <f>"BUTLER GINA"</f>
        <v>BUTLER GINA</v>
      </c>
      <c r="C2142" s="1" t="str">
        <f>"RESERVE AT PRESTON WOODS CONDOMINIUMS 9TH AMD BLDG 27 UNIT 6152"</f>
        <v>RESERVE AT PRESTON WOODS CONDOMINIUMS 9TH AMD BLDG 27 UNIT 6152</v>
      </c>
      <c r="D2142" s="1">
        <v>3967.34</v>
      </c>
    </row>
    <row r="2143" spans="1:4" x14ac:dyDescent="0.3">
      <c r="A2143" s="1" t="str">
        <f>"01012896800"</f>
        <v>01012896800</v>
      </c>
      <c r="B2143" s="1" t="str">
        <f>"BUTLER HAROLD, BUTLER CEKIMBER, BUTLER SHERLEY"</f>
        <v>BUTLER HAROLD, BUTLER CEKIMBER, BUTLER SHERLEY</v>
      </c>
      <c r="C2143" s="1" t="str">
        <f>"PAGE RD MILLBROOK LOT 106-105"</f>
        <v>PAGE RD MILLBROOK LOT 106-105</v>
      </c>
      <c r="D2143" s="1">
        <v>2791.43</v>
      </c>
    </row>
    <row r="2144" spans="1:4" x14ac:dyDescent="0.3">
      <c r="A2144" s="1" t="str">
        <f>"01011013300"</f>
        <v>01011013300</v>
      </c>
      <c r="B2144" s="1" t="str">
        <f>"BUTLER JANE C TTEE"</f>
        <v>BUTLER JANE C TTEE</v>
      </c>
      <c r="C2144" s="1" t="str">
        <f>"MEADOWLARK LANE SUNNYMEDE LOT 53"</f>
        <v>MEADOWLARK LANE SUNNYMEDE LOT 53</v>
      </c>
      <c r="D2144" s="1">
        <v>257.77999999999997</v>
      </c>
    </row>
    <row r="2145" spans="1:4" x14ac:dyDescent="0.3">
      <c r="A2145" s="1" t="str">
        <f>"01011710200"</f>
        <v>01011710200</v>
      </c>
      <c r="B2145" s="1" t="str">
        <f>"BUTLER JOY"</f>
        <v>BUTLER JOY</v>
      </c>
      <c r="C2145" s="1" t="str">
        <f>"GANSON DR ELIZABETH BEAN LOT 7"</f>
        <v>GANSON DR ELIZABETH BEAN LOT 7</v>
      </c>
      <c r="D2145" s="1">
        <v>1751.56</v>
      </c>
    </row>
    <row r="2146" spans="1:4" x14ac:dyDescent="0.3">
      <c r="A2146" s="1" t="str">
        <f>"56022649400"</f>
        <v>56022649400</v>
      </c>
      <c r="B2146" s="1" t="str">
        <f>"BUTLER LISA S"</f>
        <v>BUTLER LISA S</v>
      </c>
      <c r="C2146" s="1" t="str">
        <f>"BRITTANY OAKS CONDOMINIUM 6TH AMD UNIT 2683"</f>
        <v>BRITTANY OAKS CONDOMINIUM 6TH AMD UNIT 2683</v>
      </c>
      <c r="D2146" s="1">
        <v>1919.48</v>
      </c>
    </row>
    <row r="2147" spans="1:4" x14ac:dyDescent="0.3">
      <c r="A2147" s="1" t="str">
        <f>"57015393400"</f>
        <v>57015393400</v>
      </c>
      <c r="B2147" s="1" t="str">
        <f>"BUTLER YVETTE"</f>
        <v>BUTLER YVETTE</v>
      </c>
      <c r="C2147" s="1" t="str">
        <f>"MALLCREEK COURT RIVER BEND SEC 4 LOT 351"</f>
        <v>MALLCREEK COURT RIVER BEND SEC 4 LOT 351</v>
      </c>
      <c r="D2147" s="1">
        <v>2107.41</v>
      </c>
    </row>
    <row r="2148" spans="1:4" x14ac:dyDescent="0.3">
      <c r="A2148" s="1" t="str">
        <f>"57022310200"</f>
        <v>57022310200</v>
      </c>
      <c r="B2148" s="1" t="str">
        <f>"BUTSKO RICHARD, TOROK HATSUE"</f>
        <v>BUTSKO RICHARD, TOROK HATSUE</v>
      </c>
      <c r="C2148" s="1" t="str">
        <f>"GREYSTONE VILLAGE DR GREYSTONE VILLAGE CONDO 6TH AMD UNIT1A"</f>
        <v>GREYSTONE VILLAGE DR GREYSTONE VILLAGE CONDO 6TH AMD UNIT1A</v>
      </c>
      <c r="D2148" s="1">
        <v>1567.08</v>
      </c>
    </row>
    <row r="2149" spans="1:4" x14ac:dyDescent="0.3">
      <c r="A2149" s="1" t="str">
        <f>"01007355700"</f>
        <v>01007355700</v>
      </c>
      <c r="B2149" s="1" t="str">
        <f>"BUTTLER GEORGE P"</f>
        <v>BUTTLER GEORGE P</v>
      </c>
      <c r="C2149" s="1" t="str">
        <f>"ARLINGTON AVE HOMECROFT LOT 111"</f>
        <v>ARLINGTON AVE HOMECROFT LOT 111</v>
      </c>
      <c r="D2149" s="1">
        <v>921.33</v>
      </c>
    </row>
    <row r="2150" spans="1:4" x14ac:dyDescent="0.3">
      <c r="A2150" s="1" t="str">
        <f>"06000771700"</f>
        <v>06000771700</v>
      </c>
      <c r="B2150" s="1" t="str">
        <f>"BUTTRICK DANA E"</f>
        <v>BUTTRICK DANA E</v>
      </c>
      <c r="C2150" s="1" t="str">
        <f>"OAK VALLEY ROAD LEIGHTON VILLAGE LOT 5"</f>
        <v>OAK VALLEY ROAD LEIGHTON VILLAGE LOT 5</v>
      </c>
      <c r="D2150" s="1">
        <v>3195.38</v>
      </c>
    </row>
    <row r="2151" spans="1:4" x14ac:dyDescent="0.3">
      <c r="A2151" s="1" t="str">
        <f>"16100008600"</f>
        <v>16100008600</v>
      </c>
      <c r="B2151" s="1" t="str">
        <f>"BUTTS JOHN"</f>
        <v>BUTTS JOHN</v>
      </c>
      <c r="C2151" s="1" t="str">
        <f>"VINE ST URBANCREST 10 BLK 9"</f>
        <v>VINE ST URBANCREST 10 BLK 9</v>
      </c>
      <c r="D2151" s="1">
        <v>459.78</v>
      </c>
    </row>
    <row r="2152" spans="1:4" x14ac:dyDescent="0.3">
      <c r="A2152" s="1" t="str">
        <f>"16100012100"</f>
        <v>16100012100</v>
      </c>
      <c r="B2152" s="1" t="str">
        <f>"BUTTS JOHN"</f>
        <v>BUTTS JOHN</v>
      </c>
      <c r="C2152" s="1" t="str">
        <f>"2838 VINE ST URBANCREST 9 BLK 9"</f>
        <v>2838 VINE ST URBANCREST 9 BLK 9</v>
      </c>
      <c r="D2152" s="1">
        <v>1165.9000000000001</v>
      </c>
    </row>
    <row r="2153" spans="1:4" x14ac:dyDescent="0.3">
      <c r="A2153" s="1" t="str">
        <f>"01019103800"</f>
        <v>01019103800</v>
      </c>
      <c r="B2153" s="1" t="str">
        <f>"BUXTON TIFFANY A"</f>
        <v>BUXTON TIFFANY A</v>
      </c>
      <c r="C2153" s="1" t="str">
        <f>"WORTHINGTON FOREST CONDOMINIUM UNIT 5484 BLDG 3"</f>
        <v>WORTHINGTON FOREST CONDOMINIUM UNIT 5484 BLDG 3</v>
      </c>
      <c r="D2153" s="1">
        <v>868.23</v>
      </c>
    </row>
    <row r="2154" spans="1:4" x14ac:dyDescent="0.3">
      <c r="A2154" s="1" t="str">
        <f>"01015343000"</f>
        <v>01015343000</v>
      </c>
      <c r="B2154" s="1" t="str">
        <f>"BUYALOS ROBERT J"</f>
        <v>BUYALOS ROBERT J</v>
      </c>
      <c r="C2154" s="1" t="str">
        <f>"DORSETSHIRE RD SHARON WOODS SEC 4 LOT 292"</f>
        <v>DORSETSHIRE RD SHARON WOODS SEC 4 LOT 292</v>
      </c>
      <c r="D2154" s="1">
        <v>1875.35</v>
      </c>
    </row>
    <row r="2155" spans="1:4" x14ac:dyDescent="0.3">
      <c r="A2155" s="1" t="str">
        <f>"01028485300"</f>
        <v>01028485300</v>
      </c>
      <c r="B2155" s="1" t="str">
        <f>"BUZBY GAIL E, BUZBY GEORGE W"</f>
        <v>BUZBY GAIL E, BUZBY GEORGE W</v>
      </c>
      <c r="C2155" s="1" t="str">
        <f>"ATRIUM LOFTS CONDOMINIUM FKA THE LOFTS AT 106 CONDOMINIUM UNIT 503"</f>
        <v>ATRIUM LOFTS CONDOMINIUM FKA THE LOFTS AT 106 CONDOMINIUM UNIT 503</v>
      </c>
      <c r="D2155" s="1">
        <v>1694.85</v>
      </c>
    </row>
    <row r="2156" spans="1:4" x14ac:dyDescent="0.3">
      <c r="A2156" s="1" t="str">
        <f>"04001325300"</f>
        <v>04001325300</v>
      </c>
      <c r="B2156" s="1" t="str">
        <f>"BUZZARD LEWIS E III, BUZZARD JEANENE M"</f>
        <v>BUZZARD LEWIS E III, BUZZARD JEANENE M</v>
      </c>
      <c r="C2156" s="1" t="str">
        <f>"4978 HAUGHN RD ENTRY 1383 0.574 ACRE"</f>
        <v>4978 HAUGHN RD ENTRY 1383 0.574 ACRE</v>
      </c>
      <c r="D2156" s="1">
        <v>7014.71</v>
      </c>
    </row>
    <row r="2157" spans="1:4" x14ac:dyDescent="0.3">
      <c r="A2157" s="1" t="str">
        <f>"27301229500"</f>
        <v>27301229500</v>
      </c>
      <c r="B2157" s="1" t="str">
        <f>"BVH ASSOCIATES LLC"</f>
        <v>BVH ASSOCIATES LLC</v>
      </c>
      <c r="C2157" s="1" t="str">
        <f>"6924 RIVERSIDE DRIVE R19 T2 1/4T2 1.085 ACRES"</f>
        <v>6924 RIVERSIDE DRIVE R19 T2 1/4T2 1.085 ACRES</v>
      </c>
      <c r="D2157" s="1">
        <v>44775.61</v>
      </c>
    </row>
    <row r="2158" spans="1:4" x14ac:dyDescent="0.3">
      <c r="A2158" s="1" t="str">
        <f>"01013667200"</f>
        <v>01013667200</v>
      </c>
      <c r="B2158" s="1" t="str">
        <f>"BYAS-WHITE JANET"</f>
        <v>BYAS-WHITE JANET</v>
      </c>
      <c r="C2158" s="1" t="str">
        <f>"ENDERLY DRIVE ARGYLE PARK LOT56"</f>
        <v>ENDERLY DRIVE ARGYLE PARK LOT56</v>
      </c>
      <c r="D2158" s="1">
        <v>653.41</v>
      </c>
    </row>
    <row r="2159" spans="1:4" x14ac:dyDescent="0.3">
      <c r="A2159" s="1" t="str">
        <f>"24000270400"</f>
        <v>24000270400</v>
      </c>
      <c r="B2159" s="1" t="str">
        <f>"BYERLY KEETON"</f>
        <v>BYERLY KEETON</v>
      </c>
      <c r="C2159" s="1" t="str">
        <f>"OXLEY RD ROME HTS LOT 152"</f>
        <v>OXLEY RD ROME HTS LOT 152</v>
      </c>
      <c r="D2159" s="1">
        <v>528.85</v>
      </c>
    </row>
    <row r="2160" spans="1:4" x14ac:dyDescent="0.3">
      <c r="A2160" s="1" t="str">
        <f>"18000357700"</f>
        <v>18000357700</v>
      </c>
      <c r="B2160" s="1" t="str">
        <f>"BYERS BRADLEY"</f>
        <v>BYERS BRADLEY</v>
      </c>
      <c r="C2160" s="1" t="str">
        <f>"BURBANK RD BLACKLICK ESTATES 7 LOT 1429"</f>
        <v>BURBANK RD BLACKLICK ESTATES 7 LOT 1429</v>
      </c>
      <c r="D2160" s="1">
        <v>1306.8699999999999</v>
      </c>
    </row>
    <row r="2161" spans="1:4" x14ac:dyDescent="0.3">
      <c r="A2161" s="1" t="str">
        <f>"01013563900"</f>
        <v>01013563900</v>
      </c>
      <c r="B2161" s="1" t="str">
        <f>"BYERS GILBERT M, BYERS PHYLLIS R"</f>
        <v>BYERS GILBERT M, BYERS PHYLLIS R</v>
      </c>
      <c r="C2161" s="1" t="str">
        <f>"PORTSMOUTH DR GLENMEADOWS LOT 73"</f>
        <v>PORTSMOUTH DR GLENMEADOWS LOT 73</v>
      </c>
      <c r="D2161" s="1">
        <v>79.2</v>
      </c>
    </row>
    <row r="2162" spans="1:4" x14ac:dyDescent="0.3">
      <c r="A2162" s="1" t="str">
        <f>"19000476100"</f>
        <v>19000476100</v>
      </c>
      <c r="B2162" s="1" t="str">
        <f>"BYRD ELISHA L, BYRD AUSTIN L II"</f>
        <v>BYRD ELISHA L, BYRD AUSTIN L II</v>
      </c>
      <c r="C2162" s="1" t="str">
        <f>"EARL AVE DENUNE E LINDEN 5TH E1/2&amp;2X89 FT SE COR W 1/2 197"</f>
        <v>EARL AVE DENUNE E LINDEN 5TH E1/2&amp;2X89 FT SE COR W 1/2 197</v>
      </c>
      <c r="D2162" s="1">
        <v>1334.87</v>
      </c>
    </row>
    <row r="2163" spans="1:4" x14ac:dyDescent="0.3">
      <c r="A2163" s="1" t="str">
        <f>"57012574700"</f>
        <v>57012574700</v>
      </c>
      <c r="B2163" s="1" t="str">
        <f>"BYREM BARBARA"</f>
        <v>BYREM BARBARA</v>
      </c>
      <c r="C2163" s="1" t="str">
        <f>" HARDESTY HTS CONDO N LOT N-11"</f>
        <v xml:space="preserve"> HARDESTY HTS CONDO N LOT N-11</v>
      </c>
      <c r="D2163" s="1">
        <v>113.78</v>
      </c>
    </row>
    <row r="2164" spans="1:4" x14ac:dyDescent="0.3">
      <c r="A2164" s="1" t="str">
        <f>"10000584100"</f>
        <v>10000584100</v>
      </c>
      <c r="B2164" s="1" t="str">
        <f>"BYRON JEFFREY S TTEE, BYRON NANCY H TTEE"</f>
        <v>BYRON JEFFREY S TTEE, BYRON NANCY H TTEE</v>
      </c>
      <c r="C2164" s="1" t="str">
        <f>"1310 LAKESIDE PL POTTERS CREEK SEC 2 LOT 131"</f>
        <v>1310 LAKESIDE PL POTTERS CREEK SEC 2 LOT 131</v>
      </c>
      <c r="D2164" s="1">
        <v>466.35</v>
      </c>
    </row>
    <row r="2165" spans="1:4" x14ac:dyDescent="0.3">
      <c r="A2165" s="1" t="str">
        <f>"07001414500"</f>
        <v>07001414500</v>
      </c>
      <c r="B2165" s="1" t="str">
        <f>"BYRUM BARBARA J TR"</f>
        <v>BYRUM BARBARA J TR</v>
      </c>
      <c r="C2165" s="1" t="str">
        <f>"MONTAGUE CT CONCORD VILLAGE PH 7 .0985 ACRE LOT 33"</f>
        <v>MONTAGUE CT CONCORD VILLAGE PH 7 .0985 ACRE LOT 33</v>
      </c>
      <c r="D2165" s="1">
        <v>7237.49</v>
      </c>
    </row>
    <row r="2166" spans="1:4" x14ac:dyDescent="0.3">
      <c r="A2166" s="1" t="str">
        <f>"01005827000"</f>
        <v>01005827000</v>
      </c>
      <c r="B2166" s="1" t="str">
        <f>"C &amp; D OAK INVESTMENTS LLC"</f>
        <v>C &amp; D OAK INVESTMENTS LLC</v>
      </c>
      <c r="C2166" s="1" t="str">
        <f>"LEXINGTON AVE MCGUFFEY SCHOOL LOT 55"</f>
        <v>LEXINGTON AVE MCGUFFEY SCHOOL LOT 55</v>
      </c>
      <c r="D2166" s="1">
        <v>597.79</v>
      </c>
    </row>
    <row r="2167" spans="1:4" x14ac:dyDescent="0.3">
      <c r="A2167" s="1" t="str">
        <f>"01002511900"</f>
        <v>01002511900</v>
      </c>
      <c r="B2167" s="1" t="str">
        <f>"C &amp; L INVESTMENT PROPERTIES LLC"</f>
        <v>C &amp; L INVESTMENT PROPERTIES LLC</v>
      </c>
      <c r="C2167" s="1" t="str">
        <f>"1935-1937 FAIRMONT GLENWOOD HTS LOT 85"</f>
        <v>1935-1937 FAIRMONT GLENWOOD HTS LOT 85</v>
      </c>
      <c r="D2167" s="1">
        <v>1134.23</v>
      </c>
    </row>
    <row r="2168" spans="1:4" x14ac:dyDescent="0.3">
      <c r="A2168" s="1" t="str">
        <f>"01005038300"</f>
        <v>01005038300</v>
      </c>
      <c r="B2168" s="1" t="str">
        <f>"C &amp; M INVESTMENTS OHIO LLC"</f>
        <v>C &amp; M INVESTMENTS OHIO LLC</v>
      </c>
      <c r="C2168" s="1" t="str">
        <f>"365 BELVIDERE AVE MUNSON SUB 42 "</f>
        <v xml:space="preserve">365 BELVIDERE AVE MUNSON SUB 42 </v>
      </c>
      <c r="D2168" s="1">
        <v>1207.9000000000001</v>
      </c>
    </row>
    <row r="2169" spans="1:4" x14ac:dyDescent="0.3">
      <c r="A2169" s="1" t="str">
        <f>"57019390800"</f>
        <v>57019390800</v>
      </c>
      <c r="B2169" s="1" t="str">
        <f>"C &amp; M INVESTMENTS OHIO LLC"</f>
        <v>C &amp; M INVESTMENTS OHIO LLC</v>
      </c>
      <c r="C2169" s="1" t="str">
        <f>"DYER RD                   ENTRY 4641                1.0 ACRE                 "</f>
        <v xml:space="preserve">DYER RD                   ENTRY 4641                1.0 ACRE                 </v>
      </c>
      <c r="D2169" s="1">
        <v>685.63</v>
      </c>
    </row>
    <row r="2170" spans="1:4" x14ac:dyDescent="0.3">
      <c r="A2170" s="1" t="str">
        <f>"04000000400"</f>
        <v>04000000400</v>
      </c>
      <c r="B2170" s="1" t="str">
        <f>"C &amp; M INVESTMENTS OHIO LLC"</f>
        <v>C &amp; M INVESTMENTS OHIO LLC</v>
      </c>
      <c r="C2170" s="1" t="str">
        <f>"3699 MIDLAND ST BEULAH SUB LOT 122"</f>
        <v>3699 MIDLAND ST BEULAH SUB LOT 122</v>
      </c>
      <c r="D2170" s="1">
        <v>742.36</v>
      </c>
    </row>
    <row r="2171" spans="1:4" x14ac:dyDescent="0.3">
      <c r="A2171" s="1" t="str">
        <f>"01008953200"</f>
        <v>01008953200</v>
      </c>
      <c r="B2171" s="1" t="str">
        <f>"C &amp; M OHIO RENTALS LLC"</f>
        <v>C &amp; M OHIO RENTALS LLC</v>
      </c>
      <c r="C2171" s="1" t="str">
        <f>"467 NAPOLEON AVE LINCOLN PARK 2 LOT 455"</f>
        <v>467 NAPOLEON AVE LINCOLN PARK 2 LOT 455</v>
      </c>
      <c r="D2171" s="1">
        <v>562.11</v>
      </c>
    </row>
    <row r="2172" spans="1:4" x14ac:dyDescent="0.3">
      <c r="A2172" s="1" t="str">
        <f>"01003868100"</f>
        <v>01003868100</v>
      </c>
      <c r="B2172" s="1" t="str">
        <f>"C &amp; M OHIO RENTALS LLC"</f>
        <v>C &amp; M OHIO RENTALS LLC</v>
      </c>
      <c r="C2172" s="1" t="str">
        <f>"1103 WHITTIER ST AUBURNDALE LOT 362"</f>
        <v>1103 WHITTIER ST AUBURNDALE LOT 362</v>
      </c>
      <c r="D2172" s="1">
        <v>1410.09</v>
      </c>
    </row>
    <row r="2173" spans="1:4" x14ac:dyDescent="0.3">
      <c r="A2173" s="1" t="str">
        <f>"24000226500"</f>
        <v>24000226500</v>
      </c>
      <c r="B2173" s="1" t="str">
        <f>"C &amp; S GROUP OF OHIO LLC"</f>
        <v>C &amp; S GROUP OF OHIO LLC</v>
      </c>
      <c r="C2173" s="1" t="str">
        <f>"W BROAD ST ACRES .15 ENTRY 5106"</f>
        <v>W BROAD ST ACRES .15 ENTRY 5106</v>
      </c>
      <c r="D2173" s="1">
        <v>262.60000000000002</v>
      </c>
    </row>
    <row r="2174" spans="1:4" x14ac:dyDescent="0.3">
      <c r="A2174" s="1" t="str">
        <f>"06000584300"</f>
        <v>06000584300</v>
      </c>
      <c r="B2174" s="1" t="str">
        <f>"C A PROPERTIES ENTERPRISES LLC"</f>
        <v>C A PROPERTIES ENTERPRISES LLC</v>
      </c>
      <c r="C2174" s="1" t="str">
        <f>"BIRCHVIEW DR S EASTSHIRE SECTION 2 LOT 176"</f>
        <v>BIRCHVIEW DR S EASTSHIRE SECTION 2 LOT 176</v>
      </c>
      <c r="D2174" s="1">
        <v>3242.95</v>
      </c>
    </row>
    <row r="2175" spans="1:4" x14ac:dyDescent="0.3">
      <c r="A2175" s="1" t="str">
        <f>"06000262100"</f>
        <v>06000262100</v>
      </c>
      <c r="B2175" s="1" t="str">
        <f>"C A PROPERTIES ENTERPRISES LLC"</f>
        <v>C A PROPERTIES ENTERPRISES LLC</v>
      </c>
      <c r="C2175" s="1" t="str">
        <f>"BRICE RD HC HUBER PLAT 38 SEC 2    1044"</f>
        <v>BRICE RD HC HUBER PLAT 38 SEC 2    1044</v>
      </c>
      <c r="D2175" s="1">
        <v>2344.11</v>
      </c>
    </row>
    <row r="2176" spans="1:4" x14ac:dyDescent="0.3">
      <c r="A2176" s="1" t="str">
        <f>"07001149200"</f>
        <v>07001149200</v>
      </c>
      <c r="B2176" s="1" t="str">
        <f>"C M WATSON ENTERPRISES LLC"</f>
        <v>C M WATSON ENTERPRISES LLC</v>
      </c>
      <c r="C2176" s="1" t="str">
        <f>"1350 MARLYN DRIVE LOT 23 "</f>
        <v xml:space="preserve">1350 MARLYN DRIVE LOT 23 </v>
      </c>
      <c r="D2176" s="1">
        <v>679.6</v>
      </c>
    </row>
    <row r="2177" spans="1:4" x14ac:dyDescent="0.3">
      <c r="A2177" s="1" t="str">
        <f>"01000550500"</f>
        <v>01000550500</v>
      </c>
      <c r="B2177" s="1" t="str">
        <f>"C&amp;D OAK INVESTMENTS LLC"</f>
        <v>C&amp;D OAK INVESTMENTS LLC</v>
      </c>
      <c r="C2177" s="1" t="str">
        <f>"25-29 PATTERSON AVE MT AUBURN LOT 61"</f>
        <v>25-29 PATTERSON AVE MT AUBURN LOT 61</v>
      </c>
      <c r="D2177" s="1">
        <v>1484.24</v>
      </c>
    </row>
    <row r="2178" spans="1:4" x14ac:dyDescent="0.3">
      <c r="A2178" s="1" t="str">
        <f>"01004392900"</f>
        <v>01004392900</v>
      </c>
      <c r="B2178" s="1" t="str">
        <f>"C&amp;D OAK INVESTMENTS LLC"</f>
        <v>C&amp;D OAK INVESTMENTS LLC</v>
      </c>
      <c r="C2178" s="1" t="str">
        <f>"2739 SAUTTON AVE HILL CREST LOT 42"</f>
        <v>2739 SAUTTON AVE HILL CREST LOT 42</v>
      </c>
      <c r="D2178" s="1">
        <v>566.04</v>
      </c>
    </row>
    <row r="2179" spans="1:4" x14ac:dyDescent="0.3">
      <c r="A2179" s="1" t="str">
        <f>"01006634400"</f>
        <v>01006634400</v>
      </c>
      <c r="B2179" s="1" t="str">
        <f>"C&amp;D OAK INVESTMENTS LLC"</f>
        <v>C&amp;D OAK INVESTMENTS LLC</v>
      </c>
      <c r="C2179" s="1" t="str">
        <f>"RARIG AVE 2ND E COLUMBUS HTS LOT 150"</f>
        <v>RARIG AVE 2ND E COLUMBUS HTS LOT 150</v>
      </c>
      <c r="D2179" s="1">
        <v>884.79</v>
      </c>
    </row>
    <row r="2180" spans="1:4" x14ac:dyDescent="0.3">
      <c r="A2180" s="1" t="str">
        <f>"01006635600"</f>
        <v>01006635600</v>
      </c>
      <c r="B2180" s="1" t="str">
        <f>"C&amp;D OAK INVESTMENTS LLC"</f>
        <v>C&amp;D OAK INVESTMENTS LLC</v>
      </c>
      <c r="C2180" s="1" t="str">
        <f>"RARIG AVE 2ND E COLUMBUS ATS LOT 149"</f>
        <v>RARIG AVE 2ND E COLUMBUS ATS LOT 149</v>
      </c>
      <c r="D2180" s="1">
        <v>705.69</v>
      </c>
    </row>
    <row r="2181" spans="1:4" x14ac:dyDescent="0.3">
      <c r="A2181" s="1" t="str">
        <f>"01003381700"</f>
        <v>01003381700</v>
      </c>
      <c r="B2181" s="1" t="str">
        <f>"C&amp;D OAK INVESTMENTS LLC"</f>
        <v>C&amp;D OAK INVESTMENTS LLC</v>
      </c>
      <c r="C2181" s="1" t="str">
        <f>"1002-4 16TH AVE 35.5 FT E S LOUIS HTS LOT 342"</f>
        <v>1002-4 16TH AVE 35.5 FT E S LOUIS HTS LOT 342</v>
      </c>
      <c r="D2181" s="1">
        <v>915.83</v>
      </c>
    </row>
    <row r="2182" spans="1:4" x14ac:dyDescent="0.3">
      <c r="A2182" s="1" t="str">
        <f>"01010706300"</f>
        <v>01010706300</v>
      </c>
      <c r="B2182" s="1" t="str">
        <f>"C&amp;M INVESTMENTS LLC"</f>
        <v>C&amp;M INVESTMENTS LLC</v>
      </c>
      <c r="C2182" s="1" t="str">
        <f>"HAMILTON RD LEA-WOOD GARDENS 2 LOT 31"</f>
        <v>HAMILTON RD LEA-WOOD GARDENS 2 LOT 31</v>
      </c>
      <c r="D2182" s="1">
        <v>386.31</v>
      </c>
    </row>
    <row r="2183" spans="1:4" x14ac:dyDescent="0.3">
      <c r="A2183" s="1" t="str">
        <f>"01006637900"</f>
        <v>01006637900</v>
      </c>
      <c r="B2183" s="1" t="str">
        <f>"C&amp;M INVESTMENTS OHIO LLC"</f>
        <v>C&amp;M INVESTMENTS OHIO LLC</v>
      </c>
      <c r="C2183" s="1" t="str">
        <f>"3121 E 5TH AVE WORMANS LOT 1"</f>
        <v>3121 E 5TH AVE WORMANS LOT 1</v>
      </c>
      <c r="D2183" s="1">
        <v>1567.82</v>
      </c>
    </row>
    <row r="2184" spans="1:4" x14ac:dyDescent="0.3">
      <c r="A2184" s="1" t="str">
        <f>"18000251900"</f>
        <v>18000251900</v>
      </c>
      <c r="B2184" s="1" t="str">
        <f>"C&amp;M INVESTMENTS OHIO LLC"</f>
        <v>C&amp;M INVESTMENTS OHIO LLC</v>
      </c>
      <c r="C2184" s="1" t="str">
        <f>"NEWPORT RD BLACKLICK ESTATES 2 128 "</f>
        <v xml:space="preserve">NEWPORT RD BLACKLICK ESTATES 2 128 </v>
      </c>
      <c r="D2184" s="1">
        <v>3083.14</v>
      </c>
    </row>
    <row r="2185" spans="1:4" x14ac:dyDescent="0.3">
      <c r="A2185" s="1" t="str">
        <f>"09000387000"</f>
        <v>09000387000</v>
      </c>
      <c r="B2185" s="1" t="str">
        <f>"C&amp;M INVESTMENTS OHIO LLC"</f>
        <v>C&amp;M INVESTMENTS OHIO LLC</v>
      </c>
      <c r="C2185" s="1" t="str">
        <f>"548 WESTPHAL AVE GLENCOE LOT 74 "</f>
        <v xml:space="preserve">548 WESTPHAL AVE GLENCOE LOT 74 </v>
      </c>
      <c r="D2185" s="1">
        <v>1375.67</v>
      </c>
    </row>
    <row r="2186" spans="1:4" x14ac:dyDescent="0.3">
      <c r="A2186" s="1" t="str">
        <f>"01010693000"</f>
        <v>01010693000</v>
      </c>
      <c r="B2186" s="1" t="str">
        <f>"C&amp;M INVESTMENTS OHIO LLC"</f>
        <v>C&amp;M INVESTMENTS OHIO LLC</v>
      </c>
      <c r="C2186" s="1" t="str">
        <f>"ASTOR AVE BARNETT HTS AMD LOT 24"</f>
        <v>ASTOR AVE BARNETT HTS AMD LOT 24</v>
      </c>
      <c r="D2186" s="1">
        <v>1383.11</v>
      </c>
    </row>
    <row r="2187" spans="1:4" x14ac:dyDescent="0.3">
      <c r="A2187" s="1" t="str">
        <f>"01009452700"</f>
        <v>01009452700</v>
      </c>
      <c r="B2187" s="1" t="str">
        <f>"C&amp;M INVESTMENTS OHIO LLC"</f>
        <v>C&amp;M INVESTMENTS OHIO LLC</v>
      </c>
      <c r="C2187" s="1" t="str">
        <f>"OAKLEY AVE TONTI AMD LOT 57"</f>
        <v>OAKLEY AVE TONTI AMD LOT 57</v>
      </c>
      <c r="D2187" s="1">
        <v>22.82</v>
      </c>
    </row>
    <row r="2188" spans="1:4" x14ac:dyDescent="0.3">
      <c r="A2188" s="1" t="str">
        <f>"01009962700"</f>
        <v>01009962700</v>
      </c>
      <c r="B2188" s="1" t="str">
        <f>"C&amp;M INVESTMENTS OHIO LLC"</f>
        <v>C&amp;M INVESTMENTS OHIO LLC</v>
      </c>
      <c r="C2188" s="1" t="str">
        <f>"CAROLWOOD AVE BEECHWOOD LOT 155"</f>
        <v>CAROLWOOD AVE BEECHWOOD LOT 155</v>
      </c>
      <c r="D2188" s="1">
        <v>2491.69</v>
      </c>
    </row>
    <row r="2189" spans="1:4" x14ac:dyDescent="0.3">
      <c r="A2189" s="1" t="str">
        <f>"01007414900"</f>
        <v>01007414900</v>
      </c>
      <c r="B2189" s="1" t="str">
        <f>"C&amp;M INVESTMENTS OHIO LLC"</f>
        <v>C&amp;M INVESTMENTS OHIO LLC</v>
      </c>
      <c r="C2189" s="1" t="str">
        <f>"AZELDA ST ALMADA LOT 427"</f>
        <v>AZELDA ST ALMADA LOT 427</v>
      </c>
      <c r="D2189" s="1">
        <v>1899.2</v>
      </c>
    </row>
    <row r="2190" spans="1:4" x14ac:dyDescent="0.3">
      <c r="A2190" s="1" t="str">
        <f>"01006055100"</f>
        <v>01006055100</v>
      </c>
      <c r="B2190" s="1" t="str">
        <f>"C&amp;M INVESTMENTS OHIO LLC"</f>
        <v>C&amp;M INVESTMENTS OHIO LLC</v>
      </c>
      <c r="C2190" s="1" t="str">
        <f>"1374 E 20TH AVE WALDEMERE LOT 311"</f>
        <v>1374 E 20TH AVE WALDEMERE LOT 311</v>
      </c>
      <c r="D2190" s="1">
        <v>648.74</v>
      </c>
    </row>
    <row r="2191" spans="1:4" x14ac:dyDescent="0.3">
      <c r="A2191" s="1" t="str">
        <f>"01007368100"</f>
        <v>01007368100</v>
      </c>
      <c r="B2191" s="1" t="str">
        <f>"C&amp;M INVESTMENTS OHIO LLC"</f>
        <v>C&amp;M INVESTMENTS OHIO LLC</v>
      </c>
      <c r="C2191" s="1" t="str">
        <f>"ATWOOD TERRACE ALMADA LOT 56"</f>
        <v>ATWOOD TERRACE ALMADA LOT 56</v>
      </c>
      <c r="D2191" s="1">
        <v>1528.62</v>
      </c>
    </row>
    <row r="2192" spans="1:4" x14ac:dyDescent="0.3">
      <c r="A2192" s="1" t="str">
        <f>"01003028500"</f>
        <v>01003028500</v>
      </c>
      <c r="B2192" s="1" t="str">
        <f>"C.E. INVESTMENT GROUP LLC"</f>
        <v>C.E. INVESTMENT GROUP LLC</v>
      </c>
      <c r="C2192" s="1" t="str">
        <f>"822 WILSON AVE AUBURNDALE LOT 63"</f>
        <v>822 WILSON AVE AUBURNDALE LOT 63</v>
      </c>
      <c r="D2192" s="1">
        <v>269.37</v>
      </c>
    </row>
    <row r="2193" spans="1:4" x14ac:dyDescent="0.3">
      <c r="A2193" s="1" t="str">
        <f>"01018341300"</f>
        <v>01018341300</v>
      </c>
      <c r="B2193" s="1" t="str">
        <f>"CAB LEGACY PROPERTIES, LLC"</f>
        <v>CAB LEGACY PROPERTIES, LLC</v>
      </c>
      <c r="C2193" s="1" t="str">
        <f>"BRAFFERTON VIL CONDO UNIT 5278 "</f>
        <v xml:space="preserve">BRAFFERTON VIL CONDO UNIT 5278 </v>
      </c>
      <c r="D2193" s="1">
        <v>101.04</v>
      </c>
    </row>
    <row r="2194" spans="1:4" x14ac:dyDescent="0.3">
      <c r="A2194" s="1" t="str">
        <f>"01009075600"</f>
        <v>01009075600</v>
      </c>
      <c r="B2194" s="1" t="str">
        <f>"CABAKOFF STEVE L"</f>
        <v>CABAKOFF STEVE L</v>
      </c>
      <c r="C2194" s="1" t="str">
        <f>"2981 ELBERN AVE EASTMOOR LOT 172"</f>
        <v>2981 ELBERN AVE EASTMOOR LOT 172</v>
      </c>
      <c r="D2194" s="1">
        <v>248.09</v>
      </c>
    </row>
    <row r="2195" spans="1:4" x14ac:dyDescent="0.3">
      <c r="A2195" s="1" t="str">
        <f>"01006027200"</f>
        <v>01006027200</v>
      </c>
      <c r="B2195" s="1" t="str">
        <f>"CABALLERO SERGIO F"</f>
        <v>CABALLERO SERGIO F</v>
      </c>
      <c r="C2195" s="1" t="str">
        <f>"1581 KENMORE RD INNIS CREST LOT 317"</f>
        <v>1581 KENMORE RD INNIS CREST LOT 317</v>
      </c>
      <c r="D2195" s="1">
        <v>1743.42</v>
      </c>
    </row>
    <row r="2196" spans="1:4" x14ac:dyDescent="0.3">
      <c r="A2196" s="1" t="str">
        <f>"27301142000"</f>
        <v>27301142000</v>
      </c>
      <c r="B2196" s="1" t="str">
        <f>"CABLE GEORGE F, CABLE JEAN W"</f>
        <v>CABLE GEORGE F, CABLE JEAN W</v>
      </c>
      <c r="C2196" s="1" t="str">
        <f>"8128 CONINE DRIVE WEDGEWOOD GLEN LOT 76"</f>
        <v>8128 CONINE DRIVE WEDGEWOOD GLEN LOT 76</v>
      </c>
      <c r="D2196" s="1">
        <v>701.99</v>
      </c>
    </row>
    <row r="2197" spans="1:4" x14ac:dyDescent="0.3">
      <c r="A2197" s="1" t="str">
        <f>"03000279200"</f>
        <v>03000279200</v>
      </c>
      <c r="B2197" s="1" t="str">
        <f>"CABOT CAROL"</f>
        <v>CABOT CAROL</v>
      </c>
      <c r="C2197" s="1" t="str">
        <f>"1122 FAIRVIEW AVE FAIRVIEW MANOR SUB LOT 2 .460 AC"</f>
        <v>1122 FAIRVIEW AVE FAIRVIEW MANOR SUB LOT 2 .460 AC</v>
      </c>
      <c r="D2197" s="1">
        <v>3450.32</v>
      </c>
    </row>
    <row r="2198" spans="1:4" x14ac:dyDescent="0.3">
      <c r="A2198" s="1" t="str">
        <f>"03000279300"</f>
        <v>03000279300</v>
      </c>
      <c r="B2198" s="1" t="str">
        <f>"CABOT CAROL A"</f>
        <v>CABOT CAROL A</v>
      </c>
      <c r="C2198" s="1" t="str">
        <f>"FAIRVIEW AVE FAIRVIEW MANOR SUB LOT 3 .251 AC"</f>
        <v>FAIRVIEW AVE FAIRVIEW MANOR SUB LOT 3 .251 AC</v>
      </c>
      <c r="D2198" s="1">
        <v>737.82</v>
      </c>
    </row>
    <row r="2199" spans="1:4" x14ac:dyDescent="0.3">
      <c r="A2199" s="1" t="str">
        <f>"03000279100"</f>
        <v>03000279100</v>
      </c>
      <c r="B2199" s="1" t="str">
        <f>"CABOT CAROL A"</f>
        <v>CABOT CAROL A</v>
      </c>
      <c r="C2199" s="1" t="str">
        <f>"FAIRVIEW AVE FAIRVIEW MANOR SUB LOT 1 .290 AC"</f>
        <v>FAIRVIEW AVE FAIRVIEW MANOR SUB LOT 1 .290 AC</v>
      </c>
      <c r="D2199" s="1">
        <v>2106.8200000000002</v>
      </c>
    </row>
    <row r="2200" spans="1:4" x14ac:dyDescent="0.3">
      <c r="A2200" s="1" t="str">
        <f>"01010979200"</f>
        <v>01010979200</v>
      </c>
      <c r="B2200" s="1" t="str">
        <f>"CABREJA JOSE R, CABREJA MARIA S, RAMOS MONA K"</f>
        <v>CABREJA JOSE R, CABREJA MARIA S, RAMOS MONA K</v>
      </c>
      <c r="C2200" s="1" t="str">
        <f>"23 CHASE RD CHASELAND ADDN LOT 43"</f>
        <v>23 CHASE RD CHASELAND ADDN LOT 43</v>
      </c>
      <c r="D2200" s="1">
        <v>226.51</v>
      </c>
    </row>
    <row r="2201" spans="1:4" x14ac:dyDescent="0.3">
      <c r="A2201" s="1" t="str">
        <f>"01007269300"</f>
        <v>01007269300</v>
      </c>
      <c r="B2201" s="1" t="str">
        <f>"CACERES CARLA"</f>
        <v>CACERES CARLA</v>
      </c>
      <c r="C2201" s="1" t="str">
        <f>"AZELDA AVE ALMADA LOT 526"</f>
        <v>AZELDA AVE ALMADA LOT 526</v>
      </c>
      <c r="D2201" s="1">
        <v>2078.81</v>
      </c>
    </row>
    <row r="2202" spans="1:4" x14ac:dyDescent="0.3">
      <c r="A2202" s="1" t="str">
        <f>"23000289900"</f>
        <v>23000289900</v>
      </c>
      <c r="B2202" s="1" t="str">
        <f>"CACHEIRO CHEILA, HERNANDEZ JUAN MANUEL MARTINEZ"</f>
        <v>CACHEIRO CHEILA, HERNANDEZ JUAN MANUEL MARTINEZ</v>
      </c>
      <c r="C2202" s="1" t="str">
        <f>"DENTON ROAD ENTRY 931 6.2721 ACRES"</f>
        <v>DENTON ROAD ENTRY 931 6.2721 ACRES</v>
      </c>
      <c r="D2202" s="1">
        <v>345.47</v>
      </c>
    </row>
    <row r="2203" spans="1:4" x14ac:dyDescent="0.3">
      <c r="A2203" s="1" t="str">
        <f>"54523884900"</f>
        <v>54523884900</v>
      </c>
      <c r="B2203" s="1" t="str">
        <f>"CADOW LLC"</f>
        <v>CADOW LLC</v>
      </c>
      <c r="C2203" s="1" t="str">
        <f>"NEW ALBANY VILLAGE CONDOMINIUM BLDG 4 UNIT 4983"</f>
        <v>NEW ALBANY VILLAGE CONDOMINIUM BLDG 4 UNIT 4983</v>
      </c>
      <c r="D2203" s="1">
        <v>2525.5300000000002</v>
      </c>
    </row>
    <row r="2204" spans="1:4" x14ac:dyDescent="0.3">
      <c r="A2204" s="1" t="str">
        <f>"01005949000"</f>
        <v>01005949000</v>
      </c>
      <c r="B2204" s="1" t="str">
        <f>"CADOW LLC"</f>
        <v>CADOW LLC</v>
      </c>
      <c r="C2204" s="1" t="str">
        <f>"WESTERVILLE RD LINDEN TERRACE LOT 28-26-27-29"</f>
        <v>WESTERVILLE RD LINDEN TERRACE LOT 28-26-27-29</v>
      </c>
      <c r="D2204" s="1">
        <v>6257.31</v>
      </c>
    </row>
    <row r="2205" spans="1:4" x14ac:dyDescent="0.3">
      <c r="A2205" s="1" t="str">
        <f>"03000273500"</f>
        <v>03000273500</v>
      </c>
      <c r="B2205" s="1" t="str">
        <f>"CADY LELIA"</f>
        <v>CADY LELIA</v>
      </c>
      <c r="C2205" s="1" t="str">
        <f>"1000 URLIN AVE SUMMIT CHASE CONDO UNIT 1803"</f>
        <v>1000 URLIN AVE SUMMIT CHASE CONDO UNIT 1803</v>
      </c>
      <c r="D2205" s="1">
        <v>2074.88</v>
      </c>
    </row>
    <row r="2206" spans="1:4" x14ac:dyDescent="0.3">
      <c r="A2206" s="1" t="str">
        <f>"01007711500"</f>
        <v>01007711500</v>
      </c>
      <c r="B2206" s="1" t="str">
        <f>"CAGUANA MILTON, PERALTA NANCY"</f>
        <v>CAGUANA MILTON, PERALTA NANCY</v>
      </c>
      <c r="C2206" s="1" t="str">
        <f>"3000 SULLIVANT AVE BROADVIEW EXT LOT 14 BLK 29"</f>
        <v>3000 SULLIVANT AVE BROADVIEW EXT LOT 14 BLK 29</v>
      </c>
      <c r="D2206" s="1">
        <v>16.16</v>
      </c>
    </row>
    <row r="2207" spans="1:4" x14ac:dyDescent="0.3">
      <c r="A2207" s="1" t="str">
        <f>"01009806100"</f>
        <v>01009806100</v>
      </c>
      <c r="B2207" s="1" t="str">
        <f>"CAHILL MARK"</f>
        <v>CAHILL MARK</v>
      </c>
      <c r="C2207" s="1" t="str">
        <f>"REGINA AVE ALL LOT 184&amp;5FT WS LT 185 BROOKSHIRE PK L185-4"</f>
        <v>REGINA AVE ALL LOT 184&amp;5FT WS LT 185 BROOKSHIRE PK L185-4</v>
      </c>
      <c r="D2207" s="1">
        <v>1589.64</v>
      </c>
    </row>
    <row r="2208" spans="1:4" x14ac:dyDescent="0.3">
      <c r="A2208" s="1" t="str">
        <f>"01008116000"</f>
        <v>01008116000</v>
      </c>
      <c r="B2208" s="1" t="str">
        <f>"CAHILL MARK D TR"</f>
        <v>CAHILL MARK D TR</v>
      </c>
      <c r="C2208" s="1" t="str">
        <f>"59 GARDEN RD HIGHLAND GARDENS LOT 215"</f>
        <v>59 GARDEN RD HIGHLAND GARDENS LOT 215</v>
      </c>
      <c r="D2208" s="1">
        <v>3429.29</v>
      </c>
    </row>
    <row r="2209" spans="1:4" x14ac:dyDescent="0.3">
      <c r="A2209" s="1" t="str">
        <f>"01000224100"</f>
        <v>01000224100</v>
      </c>
      <c r="B2209" s="1" t="str">
        <f>"CAI YUANNAN"</f>
        <v>CAI YUANNAN</v>
      </c>
      <c r="C2209" s="1" t="str">
        <f>"1157-9 LINWOOD AVE HALLIDAYS STUDER PL LOT 38"</f>
        <v>1157-9 LINWOOD AVE HALLIDAYS STUDER PL LOT 38</v>
      </c>
      <c r="D2209" s="1">
        <v>4490.2700000000004</v>
      </c>
    </row>
    <row r="2210" spans="1:4" x14ac:dyDescent="0.3">
      <c r="A2210" s="1" t="str">
        <f>"01010865100"</f>
        <v>01010865100</v>
      </c>
      <c r="B2210" s="1" t="str">
        <f>"CAICEDO GLORIA K, SESMAS DANIEL CASTILLO"</f>
        <v>CAICEDO GLORIA K, SESMAS DANIEL CASTILLO</v>
      </c>
      <c r="C2210" s="1" t="str">
        <f>"1830 COOKE RD R18 T1 1/4T1 .703 ACRE LOT 16"</f>
        <v>1830 COOKE RD R18 T1 1/4T1 .703 ACRE LOT 16</v>
      </c>
      <c r="D2210" s="1">
        <v>3781.72</v>
      </c>
    </row>
    <row r="2211" spans="1:4" x14ac:dyDescent="0.3">
      <c r="A2211" s="1" t="str">
        <f>"01012014000"</f>
        <v>01012014000</v>
      </c>
      <c r="B2211" s="1" t="str">
        <f>"CAICEDO PEREZ JENIFFER PAOLA"</f>
        <v>CAICEDO PEREZ JENIFFER PAOLA</v>
      </c>
      <c r="C2211" s="1" t="str">
        <f>"WETMORE RD MAIZE MEADOW LOT 210"</f>
        <v>WETMORE RD MAIZE MEADOW LOT 210</v>
      </c>
      <c r="D2211" s="1">
        <v>1890.55</v>
      </c>
    </row>
    <row r="2212" spans="1:4" x14ac:dyDescent="0.3">
      <c r="A2212" s="1" t="str">
        <f>"57022151200"</f>
        <v>57022151200</v>
      </c>
      <c r="B2212" s="1" t="str">
        <f>"CAIN ANITA LEE TTEE"</f>
        <v>CAIN ANITA LEE TTEE</v>
      </c>
      <c r="C2212" s="1" t="str">
        <f>"GREYSTONE VILLAGE CONDOMINIUM 5TH AMD UNIT 6D"</f>
        <v>GREYSTONE VILLAGE CONDOMINIUM 5TH AMD UNIT 6D</v>
      </c>
      <c r="D2212" s="1">
        <v>449.62</v>
      </c>
    </row>
    <row r="2213" spans="1:4" x14ac:dyDescent="0.3">
      <c r="A2213" s="1" t="str">
        <f>"09000040200"</f>
        <v>09000040200</v>
      </c>
      <c r="B2213" s="1" t="str">
        <f>"CAIN CATHERINE"</f>
        <v>CAIN CATHERINE</v>
      </c>
      <c r="C2213" s="1" t="str">
        <f>"BERNHARD RD S 1/2 LOT 94 BERNHARD"</f>
        <v>BERNHARD RD S 1/2 LOT 94 BERNHARD</v>
      </c>
      <c r="D2213" s="1">
        <v>1879.02</v>
      </c>
    </row>
    <row r="2214" spans="1:4" x14ac:dyDescent="0.3">
      <c r="A2214" s="1" t="str">
        <f>"01016293800"</f>
        <v>01016293800</v>
      </c>
      <c r="B2214" s="1" t="str">
        <f>"CAIN CHRYSTAL, CARTER CLAUDETTE, BLACK MONICA"</f>
        <v>CAIN CHRYSTAL, CARTER CLAUDETTE, BLACK MONICA</v>
      </c>
      <c r="C2214" s="1" t="str">
        <f>"GLENBROOK GREEN CONDOMINIUM BLDG 2 UNIT A"</f>
        <v>GLENBROOK GREEN CONDOMINIUM BLDG 2 UNIT A</v>
      </c>
      <c r="D2214" s="1">
        <v>542.5</v>
      </c>
    </row>
    <row r="2215" spans="1:4" x14ac:dyDescent="0.3">
      <c r="A2215" s="1" t="str">
        <f>"04001500400"</f>
        <v>04001500400</v>
      </c>
      <c r="B2215" s="1" t="str">
        <f>"CAIN JEFFREY MICHAEL, CAIN KRISTEN RENE"</f>
        <v>CAIN JEFFREY MICHAEL, CAIN KRISTEN RENE</v>
      </c>
      <c r="C2215" s="1" t="str">
        <f>"HAUGHN GLEN CONDOMINIUM 36TH AMD UNIT 55 "</f>
        <v xml:space="preserve">HAUGHN GLEN CONDOMINIUM 36TH AMD UNIT 55 </v>
      </c>
      <c r="D2215" s="1">
        <v>3798.02</v>
      </c>
    </row>
    <row r="2216" spans="1:4" x14ac:dyDescent="0.3">
      <c r="A2216" s="1" t="str">
        <f>"04000408200"</f>
        <v>04000408200</v>
      </c>
      <c r="B2216" s="1" t="str">
        <f>"CAIN KENNETH R SR"</f>
        <v>CAIN KENNETH R SR</v>
      </c>
      <c r="C2216" s="1" t="str">
        <f>"3493 CASTLETON ST HIGHLAND PARK NO 1 LOT 36"</f>
        <v>3493 CASTLETON ST HIGHLAND PARK NO 1 LOT 36</v>
      </c>
      <c r="D2216" s="1">
        <v>96.74</v>
      </c>
    </row>
    <row r="2217" spans="1:4" x14ac:dyDescent="0.3">
      <c r="A2217" s="1" t="str">
        <f>"01007490200"</f>
        <v>01007490200</v>
      </c>
      <c r="B2217" s="1" t="str">
        <f>"CAIN ROY L, CAIN BETTY S"</f>
        <v>CAIN ROY L, CAIN BETTY S</v>
      </c>
      <c r="C2217" s="1" t="str">
        <f>"LEXINGTON AVE GRASMERE GARDENS LOT 136"</f>
        <v>LEXINGTON AVE GRASMERE GARDENS LOT 136</v>
      </c>
      <c r="D2217" s="1">
        <v>45.15</v>
      </c>
    </row>
    <row r="2218" spans="1:4" x14ac:dyDescent="0.3">
      <c r="A2218" s="1" t="str">
        <f>"27400035700"</f>
        <v>27400035700</v>
      </c>
      <c r="B2218" s="1" t="str">
        <f>"CAIRNS JENNIFER HOEFLING"</f>
        <v>CAIRNS JENNIFER HOEFLING</v>
      </c>
      <c r="C2218" s="1" t="str">
        <f>"VILLAGE OF BALGRIFFIN CONDOMINIUM 3RD AMD BLDG 2 UNIT 6182"</f>
        <v>VILLAGE OF BALGRIFFIN CONDOMINIUM 3RD AMD BLDG 2 UNIT 6182</v>
      </c>
      <c r="D2218" s="1">
        <v>7107.43</v>
      </c>
    </row>
    <row r="2219" spans="1:4" x14ac:dyDescent="0.3">
      <c r="A2219" s="1" t="str">
        <f>"01001210700"</f>
        <v>01001210700</v>
      </c>
      <c r="B2219" s="1" t="str">
        <f>"CALAROSA-CARMEL NILA R, CARTER DAVID J"</f>
        <v>CALAROSA-CARMEL NILA R, CARTER DAVID J</v>
      </c>
      <c r="C2219" s="1" t="str">
        <f>"221 BREHL AVE DOREN CENTRAL AVE LOT 133"</f>
        <v>221 BREHL AVE DOREN CENTRAL AVE LOT 133</v>
      </c>
      <c r="D2219" s="1">
        <v>166.39</v>
      </c>
    </row>
    <row r="2220" spans="1:4" x14ac:dyDescent="0.3">
      <c r="A2220" s="1" t="str">
        <f>"14000154500"</f>
        <v>14000154500</v>
      </c>
      <c r="B2220" s="1" t="str">
        <f>"CALDERON CONSTRUCTION LLC"</f>
        <v>CALDERON CONSTRUCTION LLC</v>
      </c>
      <c r="C2220" s="1" t="str">
        <f>"1943 HUNT AVE WOODROW PLC LOT 105 "</f>
        <v xml:space="preserve">1943 HUNT AVE WOODROW PLC LOT 105 </v>
      </c>
      <c r="D2220" s="1">
        <v>960.82</v>
      </c>
    </row>
    <row r="2221" spans="1:4" x14ac:dyDescent="0.3">
      <c r="A2221" s="1" t="str">
        <f>"14000154600"</f>
        <v>14000154600</v>
      </c>
      <c r="B2221" s="1" t="str">
        <f>"CALDERON CONSTRUCTION LLC"</f>
        <v>CALDERON CONSTRUCTION LLC</v>
      </c>
      <c r="C2221" s="1" t="str">
        <f>"HUNT AVE WOODROW PLC LOT106 "</f>
        <v xml:space="preserve">HUNT AVE WOODROW PLC LOT106 </v>
      </c>
      <c r="D2221" s="1">
        <v>89.91</v>
      </c>
    </row>
    <row r="2222" spans="1:4" x14ac:dyDescent="0.3">
      <c r="A2222" s="1" t="str">
        <f>"01011325200"</f>
        <v>01011325200</v>
      </c>
      <c r="B2222" s="1" t="str">
        <f>"CALDERON CONSTRUCTION LLC"</f>
        <v>CALDERON CONSTRUCTION LLC</v>
      </c>
      <c r="C2222" s="1" t="str">
        <f>"2398SFIFTH ST OBETZ LOT 26"</f>
        <v>2398SFIFTH ST OBETZ LOT 26</v>
      </c>
      <c r="D2222" s="1">
        <v>1032.9100000000001</v>
      </c>
    </row>
    <row r="2223" spans="1:4" x14ac:dyDescent="0.3">
      <c r="A2223" s="1" t="str">
        <f>"01003096900"</f>
        <v>01003096900</v>
      </c>
      <c r="B2223" s="1" t="str">
        <f>"CALDERON LAGUNAS FIDEL"</f>
        <v>CALDERON LAGUNAS FIDEL</v>
      </c>
      <c r="C2223" s="1" t="str">
        <f>"145 S WARREN AVE WICKLOW LOT 461"</f>
        <v>145 S WARREN AVE WICKLOW LOT 461</v>
      </c>
      <c r="D2223" s="1">
        <v>1120.95</v>
      </c>
    </row>
    <row r="2224" spans="1:4" x14ac:dyDescent="0.3">
      <c r="A2224" s="1" t="str">
        <f>"01011958700"</f>
        <v>01011958700</v>
      </c>
      <c r="B2224" s="1" t="str">
        <f>"CALDERON MENENDEZ JOSE DAVID"</f>
        <v>CALDERON MENENDEZ JOSE DAVID</v>
      </c>
      <c r="C2224" s="1" t="str">
        <f>"LEWIS RD HILLGATE LOT 5"</f>
        <v>LEWIS RD HILLGATE LOT 5</v>
      </c>
      <c r="D2224" s="1">
        <v>1643.09</v>
      </c>
    </row>
    <row r="2225" spans="1:4" x14ac:dyDescent="0.3">
      <c r="A2225" s="1" t="str">
        <f>"57019269900"</f>
        <v>57019269900</v>
      </c>
      <c r="B2225" s="1" t="str">
        <f>"CALDWELL APRIL"</f>
        <v>CALDWELL APRIL</v>
      </c>
      <c r="C2225" s="1" t="str">
        <f>"2609 BROWN RD             M JEANNETTE MCDOWELS DYER 300FT EE LOT 22          "</f>
        <v xml:space="preserve">2609 BROWN RD             M JEANNETTE MCDOWELS DYER 300FT EE LOT 22          </v>
      </c>
      <c r="D2225" s="1">
        <v>1402.45</v>
      </c>
    </row>
    <row r="2226" spans="1:4" x14ac:dyDescent="0.3">
      <c r="A2226" s="1" t="str">
        <f>"01001745200"</f>
        <v>01001745200</v>
      </c>
      <c r="B2226" s="1" t="str">
        <f>"CALDWELL RONALD R"</f>
        <v>CALDWELL RONALD R</v>
      </c>
      <c r="C2226" s="1" t="str">
        <f>"840 FRONT ST SOUTH        S 1/2 TALLMADGE S         LOT 3                    "</f>
        <v xml:space="preserve">840 FRONT ST SOUTH        S 1/2 TALLMADGE S         LOT 3                    </v>
      </c>
      <c r="D2226" s="1">
        <v>2934.66</v>
      </c>
    </row>
    <row r="2227" spans="1:4" x14ac:dyDescent="0.3">
      <c r="A2227" s="1" t="str">
        <f>"09000009000"</f>
        <v>09000009000</v>
      </c>
      <c r="B2227" s="1" t="str">
        <f>"CALES CONSTANCE JOY, CALES JAMES DOW JR"</f>
        <v>CALES CONSTANCE JOY, CALES JAMES DOW JR</v>
      </c>
      <c r="C2227" s="1" t="str">
        <f>"584 COLLINGWOOD AVE LOWRIE BROS N 1/2 LOT 244"</f>
        <v>584 COLLINGWOOD AVE LOWRIE BROS N 1/2 LOT 244</v>
      </c>
      <c r="D2227" s="1">
        <v>498.79</v>
      </c>
    </row>
    <row r="2228" spans="1:4" x14ac:dyDescent="0.3">
      <c r="A2228" s="1" t="str">
        <f>"19000508400"</f>
        <v>19000508400</v>
      </c>
      <c r="B2228" s="1" t="str">
        <f>"CALHOUN BRYAN T, CALHOUN MELODY L"</f>
        <v>CALHOUN BRYAN T, CALHOUN MELODY L</v>
      </c>
      <c r="C2228" s="1" t="str">
        <f>"WOODLAND AVE R17 T1 S1/4T2 1.000 ACRE"</f>
        <v>WOODLAND AVE R17 T1 S1/4T2 1.000 ACRE</v>
      </c>
      <c r="D2228" s="1">
        <v>3414.96</v>
      </c>
    </row>
    <row r="2229" spans="1:4" x14ac:dyDescent="0.3">
      <c r="A2229" s="1" t="str">
        <f>"15000016800"</f>
        <v>15000016800</v>
      </c>
      <c r="B2229" s="1" t="str">
        <f>"CALHOUN JAMES A"</f>
        <v>CALHOUN JAMES A</v>
      </c>
      <c r="C2229" s="1" t="str">
        <f>"4505 LOCKBOURNE RD RI2 T4 R12   NE &amp; SE QR    0.75 ACRE"</f>
        <v>4505 LOCKBOURNE RD RI2 T4 R12   NE &amp; SE QR    0.75 ACRE</v>
      </c>
      <c r="D2229" s="1">
        <v>3100.57</v>
      </c>
    </row>
    <row r="2230" spans="1:4" x14ac:dyDescent="0.3">
      <c r="A2230" s="1" t="str">
        <f>"01011365300"</f>
        <v>01011365300</v>
      </c>
      <c r="B2230" s="1" t="str">
        <f>"CALHOUN KYLE"</f>
        <v>CALHOUN KYLE</v>
      </c>
      <c r="C2230" s="1" t="str">
        <f>"RHODES AVE OPPORTUNITY FARMS LOT 22"</f>
        <v>RHODES AVE OPPORTUNITY FARMS LOT 22</v>
      </c>
      <c r="D2230" s="1">
        <v>3758.23</v>
      </c>
    </row>
    <row r="2231" spans="1:4" x14ac:dyDescent="0.3">
      <c r="A2231" s="1" t="str">
        <f>"24000378300"</f>
        <v>24000378300</v>
      </c>
      <c r="B2231" s="1" t="str">
        <f>"CALIKEYS LLC"</f>
        <v>CALIKEYS LLC</v>
      </c>
      <c r="C2231" s="1" t="str">
        <f>"N MURRAY HILL RD LINCOLN VILLAGE 643 "</f>
        <v xml:space="preserve">N MURRAY HILL RD LINCOLN VILLAGE 643 </v>
      </c>
      <c r="D2231" s="1">
        <v>2066.09</v>
      </c>
    </row>
    <row r="2232" spans="1:4" x14ac:dyDescent="0.3">
      <c r="A2232" s="1" t="str">
        <f>"01006513800"</f>
        <v>01006513800</v>
      </c>
      <c r="B2232" s="1" t="str">
        <f>"CALL VIRGINIA"</f>
        <v>CALL VIRGINIA</v>
      </c>
      <c r="C2232" s="1" t="str">
        <f>"243-5 SOUTHWOOD AVE HOPE A BELL LOT 10"</f>
        <v>243-5 SOUTHWOOD AVE HOPE A BELL LOT 10</v>
      </c>
      <c r="D2232" s="1">
        <v>264.89999999999998</v>
      </c>
    </row>
    <row r="2233" spans="1:4" x14ac:dyDescent="0.3">
      <c r="A2233" s="1" t="str">
        <f>"22200232200"</f>
        <v>22200232200</v>
      </c>
      <c r="B2233" s="1" t="str">
        <f>"CALLAHAN PAUL W, CALLAHAN LORI ANN"</f>
        <v>CALLAHAN PAUL W, CALLAHAN LORI ANN</v>
      </c>
      <c r="C2233" s="1" t="str">
        <f>"PEMBROOKE PASS NEW ALBANY COUNTRY CLUB SECTION 16B LOT 86"</f>
        <v>PEMBROOKE PASS NEW ALBANY COUNTRY CLUB SECTION 16B LOT 86</v>
      </c>
      <c r="D2233" s="1">
        <v>13465.67</v>
      </c>
    </row>
    <row r="2234" spans="1:4" x14ac:dyDescent="0.3">
      <c r="A2234" s="1" t="str">
        <f>"01011974000"</f>
        <v>01011974000</v>
      </c>
      <c r="B2234" s="1" t="str">
        <f>"CALLAM CHERIE"</f>
        <v>CALLAM CHERIE</v>
      </c>
      <c r="C2234" s="1" t="str">
        <f>"BRIXHAM RD WESTGATE TERRACE LOT 58"</f>
        <v>BRIXHAM RD WESTGATE TERRACE LOT 58</v>
      </c>
      <c r="D2234" s="1">
        <v>3020.97</v>
      </c>
    </row>
    <row r="2235" spans="1:4" x14ac:dyDescent="0.3">
      <c r="A2235" s="1" t="str">
        <f>"01008161200"</f>
        <v>01008161200</v>
      </c>
      <c r="B2235" s="1" t="str">
        <f>"CALLAND LINDA"</f>
        <v>CALLAND LINDA</v>
      </c>
      <c r="C2235" s="1" t="str">
        <f>"BUTLER AVE HIGH RIDGE EXT LOT 30 BLK 10"</f>
        <v>BUTLER AVE HIGH RIDGE EXT LOT 30 BLK 10</v>
      </c>
      <c r="D2235" s="1">
        <v>2020.58</v>
      </c>
    </row>
    <row r="2236" spans="1:4" x14ac:dyDescent="0.3">
      <c r="A2236" s="1" t="str">
        <f>"01002001700"</f>
        <v>01002001700</v>
      </c>
      <c r="B2236" s="1" t="str">
        <f>"CALLENTINE TODD"</f>
        <v>CALLENTINE TODD</v>
      </c>
      <c r="C2236" s="1" t="str">
        <f>"248 JOHNSON ST BACHMAN LOT62"</f>
        <v>248 JOHNSON ST BACHMAN LOT62</v>
      </c>
      <c r="D2236" s="1">
        <v>121.16</v>
      </c>
    </row>
    <row r="2237" spans="1:4" x14ac:dyDescent="0.3">
      <c r="A2237" s="1" t="str">
        <f>"01003250900"</f>
        <v>01003250900</v>
      </c>
      <c r="B2237" s="1" t="str">
        <f>"CALLENTINE TODD"</f>
        <v>CALLENTINE TODD</v>
      </c>
      <c r="C2237" s="1" t="str">
        <f>"S 22ND ST MCLAUGHLIN PLC LOTS 21-24"</f>
        <v>S 22ND ST MCLAUGHLIN PLC LOTS 21-24</v>
      </c>
      <c r="D2237" s="1">
        <v>146.12</v>
      </c>
    </row>
    <row r="2238" spans="1:4" x14ac:dyDescent="0.3">
      <c r="A2238" s="1" t="str">
        <f>"07000790500"</f>
        <v>07000790500</v>
      </c>
      <c r="B2238" s="1" t="str">
        <f>"CALLENTINE TODD A"</f>
        <v>CALLENTINE TODD A</v>
      </c>
      <c r="C2238" s="1" t="str">
        <f>"2726 FISHINGER RD FISHINGER PK 13 B 400"</f>
        <v>2726 FISHINGER RD FISHINGER PK 13 B 400</v>
      </c>
      <c r="D2238" s="1">
        <v>634.85</v>
      </c>
    </row>
    <row r="2239" spans="1:4" x14ac:dyDescent="0.3">
      <c r="A2239" s="1" t="str">
        <f>"01004404400"</f>
        <v>01004404400</v>
      </c>
      <c r="B2239" s="1" t="str">
        <f>"CALLENTINE TODD A, HAFIZ MOHAMMED"</f>
        <v>CALLENTINE TODD A, HAFIZ MOHAMMED</v>
      </c>
      <c r="C2239" s="1" t="str">
        <f>"189 N BURGESS AVE HILL CREST LOT 224"</f>
        <v>189 N BURGESS AVE HILL CREST LOT 224</v>
      </c>
      <c r="D2239" s="1">
        <v>108.32</v>
      </c>
    </row>
    <row r="2240" spans="1:4" x14ac:dyDescent="0.3">
      <c r="A2240" s="1" t="str">
        <f>"01004409300"</f>
        <v>01004409300</v>
      </c>
      <c r="B2240" s="1" t="str">
        <f>"CALLENTINE TODD A, MOHAMMED HAFIZ"</f>
        <v>CALLENTINE TODD A, MOHAMMED HAFIZ</v>
      </c>
      <c r="C2240" s="1" t="str">
        <f>"236 N WAYNE AVE GLEN VIEW HTS LOT 93"</f>
        <v>236 N WAYNE AVE GLEN VIEW HTS LOT 93</v>
      </c>
      <c r="D2240" s="1">
        <v>98.58</v>
      </c>
    </row>
    <row r="2241" spans="1:4" x14ac:dyDescent="0.3">
      <c r="A2241" s="1" t="str">
        <f>"01001772100"</f>
        <v>01001772100</v>
      </c>
      <c r="B2241" s="1" t="str">
        <f>"CALLERTINE TODD"</f>
        <v>CALLERTINE TODD</v>
      </c>
      <c r="C2241" s="1" t="str">
        <f>"190 MONROE AVE ALL 62 EX 2 FT S S &amp; 2 FT 63"</f>
        <v>190 MONROE AVE ALL 62 EX 2 FT S S &amp; 2 FT 63</v>
      </c>
      <c r="D2241" s="1">
        <v>164.53</v>
      </c>
    </row>
    <row r="2242" spans="1:4" x14ac:dyDescent="0.3">
      <c r="A2242" s="1" t="str">
        <f>"01010221700"</f>
        <v>01010221700</v>
      </c>
      <c r="B2242" s="1" t="str">
        <f>"CALLEY OHIO PROPERTIES LLC"</f>
        <v>CALLEY OHIO PROPERTIES LLC</v>
      </c>
      <c r="C2242" s="1" t="str">
        <f>"FENTON ST RANDLES LOT 29"</f>
        <v>FENTON ST RANDLES LOT 29</v>
      </c>
      <c r="D2242" s="1">
        <v>1503.74</v>
      </c>
    </row>
    <row r="2243" spans="1:4" x14ac:dyDescent="0.3">
      <c r="A2243" s="1" t="str">
        <f>"01004808800"</f>
        <v>01004808800</v>
      </c>
      <c r="B2243" s="1" t="str">
        <f>"CALLEY OHIO PROPERTIES LLC"</f>
        <v>CALLEY OHIO PROPERTIES LLC</v>
      </c>
      <c r="C2243" s="1" t="str">
        <f>"902-906 WILSON AVE AUBURNDALE LOT 126"</f>
        <v>902-906 WILSON AVE AUBURNDALE LOT 126</v>
      </c>
      <c r="D2243" s="1">
        <v>2209.0100000000002</v>
      </c>
    </row>
    <row r="2244" spans="1:4" x14ac:dyDescent="0.3">
      <c r="A2244" s="1" t="str">
        <f>"01028280200"</f>
        <v>01028280200</v>
      </c>
      <c r="B2244" s="1" t="str">
        <f>"CALLEY OHIO PROPERTIES LLC"</f>
        <v>CALLEY OHIO PROPERTIES LLC</v>
      </c>
      <c r="C2244" s="1" t="str">
        <f>"167/169 NORTH EIGHTEENTH CONDOMINIUM UNIT 167"</f>
        <v>167/169 NORTH EIGHTEENTH CONDOMINIUM UNIT 167</v>
      </c>
      <c r="D2244" s="1">
        <v>753.95</v>
      </c>
    </row>
    <row r="2245" spans="1:4" x14ac:dyDescent="0.3">
      <c r="A2245" s="1" t="str">
        <f>"01028280300"</f>
        <v>01028280300</v>
      </c>
      <c r="B2245" s="1" t="str">
        <f>"CALLEY OHIO PROPERTIES LLC"</f>
        <v>CALLEY OHIO PROPERTIES LLC</v>
      </c>
      <c r="C2245" s="1" t="str">
        <f>"167/169 NORTH EIGHTEENTH CONDOMINIUM UNIT 169"</f>
        <v>167/169 NORTH EIGHTEENTH CONDOMINIUM UNIT 169</v>
      </c>
      <c r="D2245" s="1">
        <v>745.11</v>
      </c>
    </row>
    <row r="2246" spans="1:4" x14ac:dyDescent="0.3">
      <c r="A2246" s="1" t="str">
        <f>"19000055400"</f>
        <v>19000055400</v>
      </c>
      <c r="B2246" s="1" t="str">
        <f>"CALLICOAT LEONARD P TR, CALLICOAT JUDITH A TR"</f>
        <v>CALLICOAT LEONARD P TR, CALLICOAT JUDITH A TR</v>
      </c>
      <c r="C2246" s="1" t="str">
        <f>"FERRIS RD MAPLE HTS LOT 13"</f>
        <v>FERRIS RD MAPLE HTS LOT 13</v>
      </c>
      <c r="D2246" s="1">
        <v>2000</v>
      </c>
    </row>
    <row r="2247" spans="1:4" x14ac:dyDescent="0.3">
      <c r="A2247" s="1" t="str">
        <f>"06000216000"</f>
        <v>06000216000</v>
      </c>
      <c r="B2247" s="1" t="str">
        <f>"CALLOWAY LAWRENCE R SR"</f>
        <v>CALLOWAY LAWRENCE R SR</v>
      </c>
      <c r="C2247" s="1" t="str">
        <f>"HAFT DR H C HUBER PLAT 36 SEC 2 218"</f>
        <v>HAFT DR H C HUBER PLAT 36 SEC 2 218</v>
      </c>
      <c r="D2247" s="1">
        <v>1904.24</v>
      </c>
    </row>
    <row r="2248" spans="1:4" x14ac:dyDescent="0.3">
      <c r="A2248" s="1" t="str">
        <f>"14000426200"</f>
        <v>14000426200</v>
      </c>
      <c r="B2248" s="1" t="str">
        <f>"CALVILLO CARINA, CHAGOLLA-BARRIGA CARLOS"</f>
        <v>CALVILLO CARINA, CHAGOLLA-BARRIGA CARLOS</v>
      </c>
      <c r="C2248" s="1" t="str">
        <f>"1466 LITTLE AVE RANSBURGH LOT 32 "</f>
        <v xml:space="preserve">1466 LITTLE AVE RANSBURGH LOT 32 </v>
      </c>
      <c r="D2248" s="1">
        <v>1238.5999999999999</v>
      </c>
    </row>
    <row r="2249" spans="1:4" x14ac:dyDescent="0.3">
      <c r="A2249" s="1" t="str">
        <f>"14000426300"</f>
        <v>14000426300</v>
      </c>
      <c r="B2249" s="1" t="str">
        <f>"CALVILLO CARINA, CHAGOLLA-BARRIGA CARLOS"</f>
        <v>CALVILLO CARINA, CHAGOLLA-BARRIGA CARLOS</v>
      </c>
      <c r="C2249" s="1" t="str">
        <f>"LITTLE AVE RANSBURGH LOT 33 "</f>
        <v xml:space="preserve">LITTLE AVE RANSBURGH LOT 33 </v>
      </c>
      <c r="D2249" s="1">
        <v>294.8</v>
      </c>
    </row>
    <row r="2250" spans="1:4" x14ac:dyDescent="0.3">
      <c r="A2250" s="1" t="str">
        <f>"61018787200"</f>
        <v>61018787200</v>
      </c>
      <c r="B2250" s="1" t="str">
        <f>"CALZADILLA ANDRES, PEDROZA LUIS"</f>
        <v>CALZADILLA ANDRES, PEDROZA LUIS</v>
      </c>
      <c r="C2250" s="1" t="str">
        <f>"SLATON CT SLATON PINES CONDO 4 UNIT 1919"</f>
        <v>SLATON CT SLATON PINES CONDO 4 UNIT 1919</v>
      </c>
      <c r="D2250" s="1">
        <v>4043.97</v>
      </c>
    </row>
    <row r="2251" spans="1:4" x14ac:dyDescent="0.3">
      <c r="A2251" s="1" t="str">
        <f>"01007347400"</f>
        <v>01007347400</v>
      </c>
      <c r="B2251" s="1" t="str">
        <f>"CAMACHO CORINA ESCOBAR"</f>
        <v>CAMACHO CORINA ESCOBAR</v>
      </c>
      <c r="C2251" s="1" t="str">
        <f>"2819 AZELDA ST ALMADA LOT 419"</f>
        <v>2819 AZELDA ST ALMADA LOT 419</v>
      </c>
      <c r="D2251" s="1">
        <v>916.12</v>
      </c>
    </row>
    <row r="2252" spans="1:4" x14ac:dyDescent="0.3">
      <c r="A2252" s="1" t="str">
        <f>"01002616300"</f>
        <v>01002616300</v>
      </c>
      <c r="B2252" s="1" t="str">
        <f>"CAMBERG JONAH"</f>
        <v>CAMBERG JONAH</v>
      </c>
      <c r="C2252" s="1" t="str">
        <f>"JOHN W LILLEY'S SUB PT LOTS 21- 22 0.083 ACRE"</f>
        <v>JOHN W LILLEY'S SUB PT LOTS 21- 22 0.083 ACRE</v>
      </c>
      <c r="D2252" s="1">
        <v>4921.66</v>
      </c>
    </row>
    <row r="2253" spans="1:4" x14ac:dyDescent="0.3">
      <c r="A2253" s="1" t="str">
        <f>"54525454500"</f>
        <v>54525454500</v>
      </c>
      <c r="B2253" s="1" t="str">
        <f>"CAMERON DONALD F, CAMERON TIRZA S"</f>
        <v>CAMERON DONALD F, CAMERON TIRZA S</v>
      </c>
      <c r="C2253" s="1" t="str">
        <f>"HERB GARDEN DRIVE ALBANY PARK SECTION 2 PART 2 LOT 118"</f>
        <v>HERB GARDEN DRIVE ALBANY PARK SECTION 2 PART 2 LOT 118</v>
      </c>
      <c r="D2253" s="1">
        <v>387.8</v>
      </c>
    </row>
    <row r="2254" spans="1:4" x14ac:dyDescent="0.3">
      <c r="A2254" s="1" t="str">
        <f>"18100130200"</f>
        <v>18100130200</v>
      </c>
      <c r="B2254" s="1" t="str">
        <f>"CAMILO HOMERO ESTRADA"</f>
        <v>CAMILO HOMERO ESTRADA</v>
      </c>
      <c r="C2254" s="1" t="str">
        <f>"WINCHESTER PIKE           SURVEYOR CERT R21 T11 S14-13  0.675 ACRE"</f>
        <v>WINCHESTER PIKE           SURVEYOR CERT R21 T11 S14-13  0.675 ACRE</v>
      </c>
      <c r="D2254" s="1">
        <v>6141.81</v>
      </c>
    </row>
    <row r="2255" spans="1:4" x14ac:dyDescent="0.3">
      <c r="A2255" s="1" t="str">
        <f>"24000171900"</f>
        <v>24000171900</v>
      </c>
      <c r="B2255" s="1" t="str">
        <f>"CAMP CHASE RAIL LLC"</f>
        <v>CAMP CHASE RAIL LLC</v>
      </c>
      <c r="C2255" s="1" t="str">
        <f>"GALLOWAY .184 ACR &amp; .2 ACRES LOT 69 RES B GALLOWAY STA"</f>
        <v>GALLOWAY .184 ACR &amp; .2 ACRES LOT 69 RES B GALLOWAY STA</v>
      </c>
      <c r="D2255" s="1">
        <v>166.7</v>
      </c>
    </row>
    <row r="2256" spans="1:4" x14ac:dyDescent="0.3">
      <c r="A2256" s="1" t="str">
        <f>"14199715600"</f>
        <v>14199715600</v>
      </c>
      <c r="B2256" s="1" t="str">
        <f>"CAMP CHASE RAILWAY COMPANY LLC"</f>
        <v>CAMP CHASE RAILWAY COMPANY LLC</v>
      </c>
      <c r="C2256" s="1" t="str">
        <f>"UTILITY - REAL RAILROAD "</f>
        <v xml:space="preserve">UTILITY - REAL RAILROAD </v>
      </c>
      <c r="D2256" s="1">
        <v>64.72</v>
      </c>
    </row>
    <row r="2257" spans="1:4" x14ac:dyDescent="0.3">
      <c r="A2257" s="1" t="str">
        <f>"14099715600"</f>
        <v>14099715600</v>
      </c>
      <c r="B2257" s="1" t="str">
        <f>"CAMP CHASE RAILWAY COMPANY LLC"</f>
        <v>CAMP CHASE RAILWAY COMPANY LLC</v>
      </c>
      <c r="C2257" s="1" t="str">
        <f>"UTILITY - REAL RAILROAD "</f>
        <v xml:space="preserve">UTILITY - REAL RAILROAD </v>
      </c>
      <c r="D2257" s="1">
        <v>20.84</v>
      </c>
    </row>
    <row r="2258" spans="1:4" x14ac:dyDescent="0.3">
      <c r="A2258" s="1" t="str">
        <f>"57099715600"</f>
        <v>57099715600</v>
      </c>
      <c r="B2258" s="1" t="str">
        <f>"CAMP CHASE RAILWAY COMPANY LLC"</f>
        <v>CAMP CHASE RAILWAY COMPANY LLC</v>
      </c>
      <c r="C2258" s="1" t="str">
        <f>"UTILITY - REAL RAILROAD "</f>
        <v xml:space="preserve">UTILITY - REAL RAILROAD </v>
      </c>
      <c r="D2258" s="1">
        <v>73.39</v>
      </c>
    </row>
    <row r="2259" spans="1:4" x14ac:dyDescent="0.3">
      <c r="A2259" s="1" t="str">
        <f>"18000504600"</f>
        <v>18000504600</v>
      </c>
      <c r="B2259" s="1" t="str">
        <f>"CAMPBELL HEATHER"</f>
        <v>CAMPBELL HEATHER</v>
      </c>
      <c r="C2259" s="1" t="str">
        <f>"PONTIUS PIKE R21 T10 S8 5.5 ACRES"</f>
        <v>PONTIUS PIKE R21 T10 S8 5.5 ACRES</v>
      </c>
      <c r="D2259" s="1">
        <v>10402.81</v>
      </c>
    </row>
    <row r="2260" spans="1:4" x14ac:dyDescent="0.3">
      <c r="A2260" s="1" t="str">
        <f>"06000762500"</f>
        <v>06000762500</v>
      </c>
      <c r="B2260" s="1" t="str">
        <f>"CAMPBELL JOHN"</f>
        <v>CAMPBELL JOHN</v>
      </c>
      <c r="C2260" s="1" t="str">
        <f>"REYNOLDSBURG PARK CONDOMINIUM UNIT A107"</f>
        <v>REYNOLDSBURG PARK CONDOMINIUM UNIT A107</v>
      </c>
      <c r="D2260" s="1">
        <v>71.819999999999993</v>
      </c>
    </row>
    <row r="2261" spans="1:4" x14ac:dyDescent="0.3">
      <c r="A2261" s="1" t="str">
        <f>"01015421500"</f>
        <v>01015421500</v>
      </c>
      <c r="B2261" s="1" t="str">
        <f>"CAMPBELL JORDAN M, HADEED MIRA"</f>
        <v>CAMPBELL JORDAN M, HADEED MIRA</v>
      </c>
      <c r="C2261" s="1" t="str">
        <f>"PARKVILLE ST GRANVILLE PARK LOT 34"</f>
        <v>PARKVILLE ST GRANVILLE PARK LOT 34</v>
      </c>
      <c r="D2261" s="1">
        <v>4085.88</v>
      </c>
    </row>
    <row r="2262" spans="1:4" x14ac:dyDescent="0.3">
      <c r="A2262" s="1" t="str">
        <f>"01013467100"</f>
        <v>01013467100</v>
      </c>
      <c r="B2262" s="1" t="str">
        <f>"CAMPBELL JULIE A"</f>
        <v>CAMPBELL JULIE A</v>
      </c>
      <c r="C2262" s="1" t="str">
        <f>"THE KNOLLS SEC 3 LOT 191 "</f>
        <v xml:space="preserve">THE KNOLLS SEC 3 LOT 191 </v>
      </c>
      <c r="D2262" s="1">
        <v>2368.87</v>
      </c>
    </row>
    <row r="2263" spans="1:4" x14ac:dyDescent="0.3">
      <c r="A2263" s="1" t="str">
        <f>"27300534100"</f>
        <v>27300534100</v>
      </c>
      <c r="B2263" s="1" t="str">
        <f>"CAMPBELL KAREN E TOD"</f>
        <v>CAMPBELL KAREN E TOD</v>
      </c>
      <c r="C2263" s="1" t="str">
        <f>"7846 JAYMES STREET TREETOPS AT BRANDON CONDO 3 AMD UNIT 48"</f>
        <v>7846 JAYMES STREET TREETOPS AT BRANDON CONDO 3 AMD UNIT 48</v>
      </c>
      <c r="D2263" s="1">
        <v>220</v>
      </c>
    </row>
    <row r="2264" spans="1:4" x14ac:dyDescent="0.3">
      <c r="A2264" s="1" t="str">
        <f>"57022017000"</f>
        <v>57022017000</v>
      </c>
      <c r="B2264" s="1" t="str">
        <f>"CAMPBELL LAUREN"</f>
        <v>CAMPBELL LAUREN</v>
      </c>
      <c r="C2264" s="1" t="str">
        <f>"BEAMAN DRIVE SCIOTO WOODS SEC 5 PART 1 LOT 261"</f>
        <v>BEAMAN DRIVE SCIOTO WOODS SEC 5 PART 1 LOT 261</v>
      </c>
      <c r="D2264" s="1">
        <v>4393.6400000000003</v>
      </c>
    </row>
    <row r="2265" spans="1:4" x14ac:dyDescent="0.3">
      <c r="A2265" s="1" t="str">
        <f>"01003753100"</f>
        <v>01003753100</v>
      </c>
      <c r="B2265" s="1" t="str">
        <f>"CAMPBELL LAWRENCE S"</f>
        <v>CAMPBELL LAWRENCE S</v>
      </c>
      <c r="C2265" s="1" t="str">
        <f>"2881 ELEVENTH AVE EAST COLUMBUS HTS LOT 51-2"</f>
        <v>2881 ELEVENTH AVE EAST COLUMBUS HTS LOT 51-2</v>
      </c>
      <c r="D2265" s="1">
        <v>2175.9899999999998</v>
      </c>
    </row>
    <row r="2266" spans="1:4" x14ac:dyDescent="0.3">
      <c r="A2266" s="1" t="str">
        <f>"01012617700"</f>
        <v>01012617700</v>
      </c>
      <c r="B2266" s="1" t="str">
        <f>"CAMPBELL MIRANDA MARIE"</f>
        <v>CAMPBELL MIRANDA MARIE</v>
      </c>
      <c r="C2266" s="1" t="str">
        <f>"BRENTWOOD LOT 79 "</f>
        <v xml:space="preserve">BRENTWOOD LOT 79 </v>
      </c>
      <c r="D2266" s="1">
        <v>76.84</v>
      </c>
    </row>
    <row r="2267" spans="1:4" x14ac:dyDescent="0.3">
      <c r="A2267" s="1" t="str">
        <f>"01013347600"</f>
        <v>01013347600</v>
      </c>
      <c r="B2267" s="1" t="str">
        <f>"CAMPBELL TAMMI"</f>
        <v>CAMPBELL TAMMI</v>
      </c>
      <c r="C2267" s="1" t="str">
        <f>"VENICE DR SOUTHFIELD 3 LOT 375"</f>
        <v>VENICE DR SOUTHFIELD 3 LOT 375</v>
      </c>
      <c r="D2267" s="1">
        <v>2739.87</v>
      </c>
    </row>
    <row r="2268" spans="1:4" x14ac:dyDescent="0.3">
      <c r="A2268" s="1" t="str">
        <f>"01005664100"</f>
        <v>01005664100</v>
      </c>
      <c r="B2268" s="1" t="str">
        <f>"CAMPBELL YVETTE"</f>
        <v>CAMPBELL YVETTE</v>
      </c>
      <c r="C2268" s="1" t="str">
        <f>"342 CLARENDON AVE WESTWOOD HTS LOT 209"</f>
        <v>342 CLARENDON AVE WESTWOOD HTS LOT 209</v>
      </c>
      <c r="D2268" s="1">
        <v>933.34</v>
      </c>
    </row>
    <row r="2269" spans="1:4" x14ac:dyDescent="0.3">
      <c r="A2269" s="1" t="str">
        <f>"22200388500"</f>
        <v>22200388500</v>
      </c>
      <c r="B2269" s="1" t="str">
        <f>"CAMPEN ANDREW J, CAMPEN LAUREN"</f>
        <v>CAMPEN ANDREW J, CAMPEN LAUREN</v>
      </c>
      <c r="C2269" s="1" t="str">
        <f>"8422 GALDINO DRIVE        UPPER CLARENTON SECTION 1 LOT 48                   "</f>
        <v xml:space="preserve">8422 GALDINO DRIVE        UPPER CLARENTON SECTION 1 LOT 48                   </v>
      </c>
      <c r="D2269" s="1">
        <v>7291.02</v>
      </c>
    </row>
    <row r="2270" spans="1:4" x14ac:dyDescent="0.3">
      <c r="A2270" s="1" t="str">
        <f>"01003045100"</f>
        <v>01003045100</v>
      </c>
      <c r="B2270" s="1" t="str">
        <f>"CAMPERO CESAR MONZALVO"</f>
        <v>CAMPERO CESAR MONZALVO</v>
      </c>
      <c r="C2270" s="1" t="str">
        <f>"3069 E ELVEENTH AVE 2ND E COLUMBUS HTS LOT 160"</f>
        <v>3069 E ELVEENTH AVE 2ND E COLUMBUS HTS LOT 160</v>
      </c>
      <c r="D2270" s="1">
        <v>1176.26</v>
      </c>
    </row>
    <row r="2271" spans="1:4" x14ac:dyDescent="0.3">
      <c r="A2271" s="1" t="str">
        <f>"01006635100"</f>
        <v>01006635100</v>
      </c>
      <c r="B2271" s="1" t="str">
        <f>"CAMPERO CESAR MONZALVO"</f>
        <v>CAMPERO CESAR MONZALVO</v>
      </c>
      <c r="C2271" s="1" t="str">
        <f>"ELEVENTH AVE 2ND E COLUMBUS HTS LOT 161"</f>
        <v>ELEVENTH AVE 2ND E COLUMBUS HTS LOT 161</v>
      </c>
      <c r="D2271" s="1">
        <v>235.38</v>
      </c>
    </row>
    <row r="2272" spans="1:4" x14ac:dyDescent="0.3">
      <c r="A2272" s="1" t="str">
        <f>"60030365900"</f>
        <v>60030365900</v>
      </c>
      <c r="B2272" s="1" t="str">
        <f>"CAMPOLO ALEXANDER JOHN"</f>
        <v>CAMPOLO ALEXANDER JOHN</v>
      </c>
      <c r="C2272" s="1" t="str">
        <f>"THE COVE SECTION 2 LOT 54"</f>
        <v>THE COVE SECTION 2 LOT 54</v>
      </c>
      <c r="D2272" s="1">
        <v>742.76</v>
      </c>
    </row>
    <row r="2273" spans="1:4" x14ac:dyDescent="0.3">
      <c r="A2273" s="1" t="str">
        <f>"02501234200"</f>
        <v>02501234200</v>
      </c>
      <c r="B2273" s="1" t="str">
        <f>"CAMPOS ANGELA KATHLEEN, FRAIZ THOMAS JUAN"</f>
        <v>CAMPOS ANGELA KATHLEEN, FRAIZ THOMAS JUAN</v>
      </c>
      <c r="C2273" s="1" t="str">
        <f>"THE VILLAGE AT STERLING PINES CONDOMINIUMS BLDG 18 UNIT 1387"</f>
        <v>THE VILLAGE AT STERLING PINES CONDOMINIUMS BLDG 18 UNIT 1387</v>
      </c>
      <c r="D2273" s="1">
        <v>3110.5</v>
      </c>
    </row>
    <row r="2274" spans="1:4" x14ac:dyDescent="0.3">
      <c r="A2274" s="1" t="str">
        <f>"14000389200"</f>
        <v>14000389200</v>
      </c>
      <c r="B2274" s="1" t="str">
        <f>"CAMPOVERDE LUIS E, CAMPOVERDE NUBE"</f>
        <v>CAMPOVERDE LUIS E, CAMPOVERDE NUBE</v>
      </c>
      <c r="C2274" s="1" t="str">
        <f>"WHITEHEAD RD REA AND SON LOT 14 "</f>
        <v xml:space="preserve">WHITEHEAD RD REA AND SON LOT 14 </v>
      </c>
      <c r="D2274" s="1">
        <v>370.88</v>
      </c>
    </row>
    <row r="2275" spans="1:4" x14ac:dyDescent="0.3">
      <c r="A2275" s="1" t="str">
        <f>"01004090400"</f>
        <v>01004090400</v>
      </c>
      <c r="B2275" s="1" t="str">
        <f>"CAMPUS HEARTHSTONE LLC"</f>
        <v>CAMPUS HEARTHSTONE LLC</v>
      </c>
      <c r="C2275" s="1" t="str">
        <f>"71-73 EUCLID AVE MARZETTI LOT 20"</f>
        <v>71-73 EUCLID AVE MARZETTI LOT 20</v>
      </c>
      <c r="D2275" s="1">
        <v>2630.3</v>
      </c>
    </row>
    <row r="2276" spans="1:4" x14ac:dyDescent="0.3">
      <c r="A2276" s="1" t="str">
        <f>"08000285800"</f>
        <v>08000285800</v>
      </c>
      <c r="B2276" s="1" t="str">
        <f>"CANADY RENTALS LLC"</f>
        <v>CANADY RENTALS LLC</v>
      </c>
      <c r="C2276" s="1" t="str">
        <f>"DALEVIEW DR BUTTLER-STEWARTS HILLS &amp; DALES 41"</f>
        <v>DALEVIEW DR BUTTLER-STEWARTS HILLS &amp; DALES 41</v>
      </c>
      <c r="D2276" s="1">
        <v>5465.94</v>
      </c>
    </row>
    <row r="2277" spans="1:4" x14ac:dyDescent="0.3">
      <c r="A2277" s="1" t="str">
        <f>"27300113800"</f>
        <v>27300113800</v>
      </c>
      <c r="B2277" s="1" t="str">
        <f>"CANALES EDWARD W S TR, CANALES ERIN M TR"</f>
        <v>CANALES EDWARD W S TR, CANALES ERIN M TR</v>
      </c>
      <c r="C2277" s="1" t="str">
        <f>"7104 MISSY PARK CT HEMINGWAY VILLAGE 1 LOT 65"</f>
        <v>7104 MISSY PARK CT HEMINGWAY VILLAGE 1 LOT 65</v>
      </c>
      <c r="D2277" s="1">
        <v>279.89999999999998</v>
      </c>
    </row>
    <row r="2278" spans="1:4" x14ac:dyDescent="0.3">
      <c r="A2278" s="1" t="str">
        <f>"01016564800"</f>
        <v>01016564800</v>
      </c>
      <c r="B2278" s="1" t="str">
        <f>"CANCEL RAUL GOMEZ"</f>
        <v>CANCEL RAUL GOMEZ</v>
      </c>
      <c r="C2278" s="1" t="str">
        <f>"PLANTATION LAKES CONDOMINIUM BLDG 40 UNIT D"</f>
        <v>PLANTATION LAKES CONDOMINIUM BLDG 40 UNIT D</v>
      </c>
      <c r="D2278" s="1">
        <v>778.19</v>
      </c>
    </row>
    <row r="2279" spans="1:4" x14ac:dyDescent="0.3">
      <c r="A2279" s="1" t="str">
        <f>"01002660100"</f>
        <v>01002660100</v>
      </c>
      <c r="B2279" s="1" t="str">
        <f>"CANDEM LLC"</f>
        <v>CANDEM LLC</v>
      </c>
      <c r="C2279" s="1" t="str">
        <f>"257 E 9TH AVE CHITTENDEN PT LOT 33"</f>
        <v>257 E 9TH AVE CHITTENDEN PT LOT 33</v>
      </c>
      <c r="D2279" s="1">
        <v>4524.22</v>
      </c>
    </row>
    <row r="2280" spans="1:4" x14ac:dyDescent="0.3">
      <c r="A2280" s="1" t="str">
        <f>"13000178900"</f>
        <v>13000178900</v>
      </c>
      <c r="B2280" s="1" t="str">
        <f>"CANDEM LLC"</f>
        <v>CANDEM LLC</v>
      </c>
      <c r="C2280" s="1" t="str">
        <f>"905 KINNEAR RD UNIV VIEW SUB 2 LOT 133"</f>
        <v>905 KINNEAR RD UNIV VIEW SUB 2 LOT 133</v>
      </c>
      <c r="D2280" s="1">
        <v>6503.02</v>
      </c>
    </row>
    <row r="2281" spans="1:4" x14ac:dyDescent="0.3">
      <c r="A2281" s="1" t="str">
        <f>"61016931500"</f>
        <v>61016931500</v>
      </c>
      <c r="B2281" s="1" t="str">
        <f>"CANNELL JOSEPH R, CANNELL ANNA R"</f>
        <v>CANNELL JOSEPH R, CANNELL ANNA R</v>
      </c>
      <c r="C2281" s="1" t="str">
        <f>"BLUFFWAY DR THE BLUFFS NO 4 LOT 97"</f>
        <v>BLUFFWAY DR THE BLUFFS NO 4 LOT 97</v>
      </c>
      <c r="D2281" s="1">
        <v>10643.68</v>
      </c>
    </row>
    <row r="2282" spans="1:4" x14ac:dyDescent="0.3">
      <c r="A2282" s="1" t="str">
        <f>"27300414400"</f>
        <v>27300414400</v>
      </c>
      <c r="B2282" s="1" t="str">
        <f>"CANNIZZARO JOHN F"</f>
        <v>CANNIZZARO JOHN F</v>
      </c>
      <c r="C2282" s="1" t="str">
        <f>"7219 SUNDOWN CT INDIAN RUN MEADOWS SEC 6 LOT 318"</f>
        <v>7219 SUNDOWN CT INDIAN RUN MEADOWS SEC 6 LOT 318</v>
      </c>
      <c r="D2282" s="1">
        <v>5514.95</v>
      </c>
    </row>
    <row r="2283" spans="1:4" x14ac:dyDescent="0.3">
      <c r="A2283" s="1" t="str">
        <f>"13000407400"</f>
        <v>13000407400</v>
      </c>
      <c r="B2283" s="1" t="str">
        <f>"CANNON DEBORAH"</f>
        <v>CANNON DEBORAH</v>
      </c>
      <c r="C2283" s="1" t="str">
        <f>"1861 LEHNER RD N LINDEN 2 LOT 486-487"</f>
        <v>1861 LEHNER RD N LINDEN 2 LOT 486-487</v>
      </c>
      <c r="D2283" s="1">
        <v>1180.06</v>
      </c>
    </row>
    <row r="2284" spans="1:4" x14ac:dyDescent="0.3">
      <c r="A2284" s="1" t="str">
        <f>"11300098000"</f>
        <v>11300098000</v>
      </c>
      <c r="B2284" s="1" t="str">
        <f>"CANNON JAMES A"</f>
        <v>CANNON JAMES A</v>
      </c>
      <c r="C2284" s="1" t="str">
        <f>" MINERVA PARK EAST LOT 457"</f>
        <v xml:space="preserve"> MINERVA PARK EAST LOT 457</v>
      </c>
      <c r="D2284" s="1">
        <v>7248.23</v>
      </c>
    </row>
    <row r="2285" spans="1:4" x14ac:dyDescent="0.3">
      <c r="A2285" s="1" t="str">
        <f>"11300105900"</f>
        <v>11300105900</v>
      </c>
      <c r="B2285" s="1" t="str">
        <f>"CANNON JAMES A"</f>
        <v>CANNON JAMES A</v>
      </c>
      <c r="C2285" s="1" t="str">
        <f>"2920 EAST SHORE DRIV MINERVA PARK EAST 458"</f>
        <v>2920 EAST SHORE DRIV MINERVA PARK EAST 458</v>
      </c>
      <c r="D2285" s="1">
        <v>5027.17</v>
      </c>
    </row>
    <row r="2286" spans="1:4" x14ac:dyDescent="0.3">
      <c r="A2286" s="1" t="str">
        <f>"03000185500"</f>
        <v>03000185500</v>
      </c>
      <c r="B2286" s="1" t="str">
        <f>"CANNON JAMES A"</f>
        <v>CANNON JAMES A</v>
      </c>
      <c r="C2286" s="1" t="str">
        <f>"907-9 PALMER RD PT LOTS 20-21 NORTHWEST BLVD 4"</f>
        <v>907-9 PALMER RD PT LOTS 20-21 NORTHWEST BLVD 4</v>
      </c>
      <c r="D2286" s="1">
        <v>10801.33</v>
      </c>
    </row>
    <row r="2287" spans="1:4" x14ac:dyDescent="0.3">
      <c r="A2287" s="1" t="str">
        <f>"03000073200"</f>
        <v>03000073200</v>
      </c>
      <c r="B2287" s="1" t="str">
        <f>"CANNON JAMES A"</f>
        <v>CANNON JAMES A</v>
      </c>
      <c r="C2287" s="1" t="str">
        <f>"901-03 PALMER RD ALL LT 22 &amp; 8FT SSL 21 NW BLVD 4"</f>
        <v>901-03 PALMER RD ALL LT 22 &amp; 8FT SSL 21 NW BLVD 4</v>
      </c>
      <c r="D2287" s="1">
        <v>10715.58</v>
      </c>
    </row>
    <row r="2288" spans="1:4" x14ac:dyDescent="0.3">
      <c r="A2288" s="1" t="str">
        <f>"23000116400"</f>
        <v>23000116400</v>
      </c>
      <c r="B2288" s="1" t="str">
        <f>"CANNON WILLIAM M, CANNON MARY A"</f>
        <v>CANNON WILLIAM M, CANNON MARY A</v>
      </c>
      <c r="C2288" s="1" t="str">
        <f>"JAMES GARDNER RD .025 ACRE OQ 600 ENTRY 2661"</f>
        <v>JAMES GARDNER RD .025 ACRE OQ 600 ENTRY 2661</v>
      </c>
      <c r="D2288" s="1">
        <v>32.43</v>
      </c>
    </row>
    <row r="2289" spans="1:4" x14ac:dyDescent="0.3">
      <c r="A2289" s="1" t="str">
        <f>"01007744100"</f>
        <v>01007744100</v>
      </c>
      <c r="B2289" s="1" t="str">
        <f>"CANO GUADALUPE OSARIO, LARA DUBON KIMBERLY O"</f>
        <v>CANO GUADALUPE OSARIO, LARA DUBON KIMBERLY O</v>
      </c>
      <c r="C2289" s="1" t="str">
        <f>"ELIZABETH ST ACRES .476 R21 T12 S18-29"</f>
        <v>ELIZABETH ST ACRES .476 R21 T12 S18-29</v>
      </c>
      <c r="D2289" s="1">
        <v>4946.12</v>
      </c>
    </row>
    <row r="2290" spans="1:4" x14ac:dyDescent="0.3">
      <c r="A2290" s="1" t="str">
        <f>"01002464600"</f>
        <v>01002464600</v>
      </c>
      <c r="B2290" s="1" t="str">
        <f>"CANO GUADALUPE OSORIO"</f>
        <v>CANO GUADALUPE OSORIO</v>
      </c>
      <c r="C2290" s="1" t="str">
        <f>"1049 WHITTIER ST DANEHYS LOT 13"</f>
        <v>1049 WHITTIER ST DANEHYS LOT 13</v>
      </c>
      <c r="D2290" s="1">
        <v>3570.82</v>
      </c>
    </row>
    <row r="2291" spans="1:4" x14ac:dyDescent="0.3">
      <c r="A2291" s="1" t="str">
        <f>"04001537900"</f>
        <v>04001537900</v>
      </c>
      <c r="B2291" s="1" t="str">
        <f>"CANTER MARILYN"</f>
        <v>CANTER MARILYN</v>
      </c>
      <c r="C2291" s="1" t="str">
        <f>"ENCLAVE AT CLAYBROOK CROSSING CONDOMINIUM 12TH AMD UNIT 3218 BLDG 5"</f>
        <v>ENCLAVE AT CLAYBROOK CROSSING CONDOMINIUM 12TH AMD UNIT 3218 BLDG 5</v>
      </c>
      <c r="D2291" s="1">
        <v>2406.44</v>
      </c>
    </row>
    <row r="2292" spans="1:4" x14ac:dyDescent="0.3">
      <c r="A2292" s="1" t="str">
        <f>"01006934700"</f>
        <v>01006934700</v>
      </c>
      <c r="B2292" s="1" t="str">
        <f>"CAP CITY MGT AND CONSULTING LLC"</f>
        <v>CAP CITY MGT AND CONSULTING LLC</v>
      </c>
      <c r="C2292" s="1" t="str">
        <f>"STUDER AVE RANFT TERRACE LOT 14"</f>
        <v>STUDER AVE RANFT TERRACE LOT 14</v>
      </c>
      <c r="D2292" s="1">
        <v>604.53</v>
      </c>
    </row>
    <row r="2293" spans="1:4" x14ac:dyDescent="0.3">
      <c r="A2293" s="1" t="str">
        <f>"01006934600"</f>
        <v>01006934600</v>
      </c>
      <c r="B2293" s="1" t="str">
        <f>"CAP CITY MGT AND CONSULTING LLC"</f>
        <v>CAP CITY MGT AND CONSULTING LLC</v>
      </c>
      <c r="C2293" s="1" t="str">
        <f>"STUDER AVE RANFT TERRACE LOT 13"</f>
        <v>STUDER AVE RANFT TERRACE LOT 13</v>
      </c>
      <c r="D2293" s="1">
        <v>604.53</v>
      </c>
    </row>
    <row r="2294" spans="1:4" x14ac:dyDescent="0.3">
      <c r="A2294" s="1" t="str">
        <f>"01001110000"</f>
        <v>01001110000</v>
      </c>
      <c r="B2294" s="1" t="str">
        <f>"CAP CITY MOTORS LLC"</f>
        <v>CAP CITY MOTORS LLC</v>
      </c>
      <c r="C2294" s="1" t="str">
        <f>"1269 ATCHESON ST HILDRETH LOT 146"</f>
        <v>1269 ATCHESON ST HILDRETH LOT 146</v>
      </c>
      <c r="D2294" s="1">
        <v>2254.69</v>
      </c>
    </row>
    <row r="2295" spans="1:4" x14ac:dyDescent="0.3">
      <c r="A2295" s="1" t="str">
        <f>"01002745800"</f>
        <v>01002745800</v>
      </c>
      <c r="B2295" s="1" t="str">
        <f>"CAP CITY MOTORS LLC"</f>
        <v>CAP CITY MOTORS LLC</v>
      </c>
      <c r="C2295" s="1" t="str">
        <f>"805 BERKELEY RD M C LILLEY LOT 137 "</f>
        <v xml:space="preserve">805 BERKELEY RD M C LILLEY LOT 137 </v>
      </c>
      <c r="D2295" s="1">
        <v>1630.72</v>
      </c>
    </row>
    <row r="2296" spans="1:4" x14ac:dyDescent="0.3">
      <c r="A2296" s="1" t="str">
        <f>"01007654500"</f>
        <v>01007654500</v>
      </c>
      <c r="B2296" s="1" t="str">
        <f>"CAP EAGLE LLC"</f>
        <v>CAP EAGLE LLC</v>
      </c>
      <c r="C2296" s="1" t="str">
        <f>"3152 CLEVELAND AVE WRIGHT PRTN PT LOT 1=0.174 ACRE"</f>
        <v>3152 CLEVELAND AVE WRIGHT PRTN PT LOT 1=0.174 ACRE</v>
      </c>
      <c r="D2296" s="1">
        <v>1442.8</v>
      </c>
    </row>
    <row r="2297" spans="1:4" x14ac:dyDescent="0.3">
      <c r="A2297" s="1" t="str">
        <f>"01007792000"</f>
        <v>01007792000</v>
      </c>
      <c r="B2297" s="1" t="str">
        <f>"CAP EAGLE LLC"</f>
        <v>CAP EAGLE LLC</v>
      </c>
      <c r="C2297" s="1" t="str">
        <f>"3142 CLEVELAND AVE WRIGHT PRTN PT LOT 1=0.158 ACRE"</f>
        <v>3142 CLEVELAND AVE WRIGHT PRTN PT LOT 1=0.158 ACRE</v>
      </c>
      <c r="D2297" s="1">
        <v>11818.77</v>
      </c>
    </row>
    <row r="2298" spans="1:4" x14ac:dyDescent="0.3">
      <c r="A2298" s="1" t="str">
        <f>"61020857900"</f>
        <v>61020857900</v>
      </c>
      <c r="B2298" s="1" t="str">
        <f>"CAPACE ROBERT H TTEE, CAPACE THERESA L TTEE"</f>
        <v>CAPACE ROBERT H TTEE, CAPACE THERESA L TTEE</v>
      </c>
      <c r="C2298" s="1" t="str">
        <f>"THE VILLAGE AT WORTHINGTON SEC 2 LOT 190"</f>
        <v>THE VILLAGE AT WORTHINGTON SEC 2 LOT 190</v>
      </c>
      <c r="D2298" s="1">
        <v>6589.17</v>
      </c>
    </row>
    <row r="2299" spans="1:4" x14ac:dyDescent="0.3">
      <c r="A2299" s="1" t="str">
        <f>"23000202300"</f>
        <v>23000202300</v>
      </c>
      <c r="B2299" s="1" t="str">
        <f>"CAPEHART DENNIS B, CAPEHART TRISHA"</f>
        <v>CAPEHART DENNIS B, CAPEHART TRISHA</v>
      </c>
      <c r="C2299" s="1" t="str">
        <f>"REDWING COURT TIMBERLAKE NO 4 LOT 124"</f>
        <v>REDWING COURT TIMBERLAKE NO 4 LOT 124</v>
      </c>
      <c r="D2299" s="1">
        <v>136.44999999999999</v>
      </c>
    </row>
    <row r="2300" spans="1:4" x14ac:dyDescent="0.3">
      <c r="A2300" s="1" t="str">
        <f>"59022618900"</f>
        <v>59022618900</v>
      </c>
      <c r="B2300" s="1" t="str">
        <f>"CAPETA FLORIN TR (THE CAPETA FAMILY TRUST DATED FEBRUARY 16 2017), CAPETA RICHARD C TR (CAPETA FAMILY TRUST DATED FEBRUARY 16 2017)"</f>
        <v>CAPETA FLORIN TR (THE CAPETA FAMILY TRUST DATED FEBRUARY 16 2017), CAPETA RICHARD C TR (CAPETA FAMILY TRUST DATED FEBRUARY 16 2017)</v>
      </c>
      <c r="C2300" s="1" t="str">
        <f>"BETHEL COMMONS CONDOMINIUM 2ND AMD UNIT 5A"</f>
        <v>BETHEL COMMONS CONDOMINIUM 2ND AMD UNIT 5A</v>
      </c>
      <c r="D2300" s="1">
        <v>207.31</v>
      </c>
    </row>
    <row r="2301" spans="1:4" x14ac:dyDescent="0.3">
      <c r="A2301" s="1" t="str">
        <f>"07000025500"</f>
        <v>07000025500</v>
      </c>
      <c r="B2301" s="1" t="str">
        <f>"CAPETANOPOULOS DEMETRI C"</f>
        <v>CAPETANOPOULOS DEMETRI C</v>
      </c>
      <c r="C2301" s="1" t="str">
        <f>"2690 CAMDEN RD GUILFORD PLACE LOT 203-204"</f>
        <v>2690 CAMDEN RD GUILFORD PLACE LOT 203-204</v>
      </c>
      <c r="D2301" s="1">
        <v>634.30999999999995</v>
      </c>
    </row>
    <row r="2302" spans="1:4" x14ac:dyDescent="0.3">
      <c r="A2302" s="1" t="str">
        <f>"09000161900"</f>
        <v>09000161900</v>
      </c>
      <c r="B2302" s="1" t="str">
        <f>"CAPGROW HOLDINGS JV SUB COMMERCIAL II LLC"</f>
        <v>CAPGROW HOLDINGS JV SUB COMMERCIAL II LLC</v>
      </c>
      <c r="C2302" s="1" t="str">
        <f>"ROSEMORE AVE ROSEMORE ALL LOT 6 &amp; PT LOT 7"</f>
        <v>ROSEMORE AVE ROSEMORE ALL LOT 6 &amp; PT LOT 7</v>
      </c>
      <c r="D2302" s="1">
        <v>6970.14</v>
      </c>
    </row>
    <row r="2303" spans="1:4" x14ac:dyDescent="0.3">
      <c r="A2303" s="1" t="str">
        <f>"01010114800"</f>
        <v>01010114800</v>
      </c>
      <c r="B2303" s="1" t="str">
        <f>"CAPGROW HOLDINGS JV SUB IX LLC"</f>
        <v>CAPGROW HOLDINGS JV SUB IX LLC</v>
      </c>
      <c r="C2303" s="1" t="str">
        <f>"1615 CUNARD RD BERWICK MANOR LOT 202"</f>
        <v>1615 CUNARD RD BERWICK MANOR LOT 202</v>
      </c>
      <c r="D2303" s="1">
        <v>1383.25</v>
      </c>
    </row>
    <row r="2304" spans="1:4" x14ac:dyDescent="0.3">
      <c r="A2304" s="1" t="str">
        <f>"01010732100"</f>
        <v>01010732100</v>
      </c>
      <c r="B2304" s="1" t="str">
        <f>"CAPGROW HOLDINGS JV SUB IX LLC"</f>
        <v>CAPGROW HOLDINGS JV SUB IX LLC</v>
      </c>
      <c r="C2304" s="1" t="str">
        <f>"ROSWELL DR LIV-MOOR HTS 3 LOT 68"</f>
        <v>ROSWELL DR LIV-MOOR HTS 3 LOT 68</v>
      </c>
      <c r="D2304" s="1">
        <v>1978.94</v>
      </c>
    </row>
    <row r="2305" spans="1:4" x14ac:dyDescent="0.3">
      <c r="A2305" s="1" t="str">
        <f>"01012434000"</f>
        <v>01012434000</v>
      </c>
      <c r="B2305" s="1" t="str">
        <f>"CAPGROW HOLDINGS JV SUB IX LLC"</f>
        <v>CAPGROW HOLDINGS JV SUB IX LLC</v>
      </c>
      <c r="C2305" s="1" t="str">
        <f>"LITTLEJOHN DR SHERWOOD FOREST 1 LOT 55"</f>
        <v>LITTLEJOHN DR SHERWOOD FOREST 1 LOT 55</v>
      </c>
      <c r="D2305" s="1">
        <v>1516.76</v>
      </c>
    </row>
    <row r="2306" spans="1:4" x14ac:dyDescent="0.3">
      <c r="A2306" s="1" t="str">
        <f>"09000636000"</f>
        <v>09000636000</v>
      </c>
      <c r="B2306" s="1" t="str">
        <f>"CAPGROW HOLDINGS JV SUB IX LLC"</f>
        <v>CAPGROW HOLDINGS JV SUB IX LLC</v>
      </c>
      <c r="C2306" s="1" t="str">
        <f>"4052 VIRGINIA CIRCLE OLPP LOT 110"</f>
        <v>4052 VIRGINIA CIRCLE OLPP LOT 110</v>
      </c>
      <c r="D2306" s="1">
        <v>1541.58</v>
      </c>
    </row>
    <row r="2307" spans="1:4" x14ac:dyDescent="0.3">
      <c r="A2307" s="1" t="str">
        <f>"09000782900"</f>
        <v>09000782900</v>
      </c>
      <c r="B2307" s="1" t="str">
        <f>"CAPGROW HOLDINGS JV SUB IX LLC"</f>
        <v>CAPGROW HOLDINGS JV SUB IX LLC</v>
      </c>
      <c r="C2307" s="1" t="str">
        <f>"97 RITA CT VALERIO HGTS LOT 10"</f>
        <v>97 RITA CT VALERIO HGTS LOT 10</v>
      </c>
      <c r="D2307" s="1">
        <v>2149.25</v>
      </c>
    </row>
    <row r="2308" spans="1:4" x14ac:dyDescent="0.3">
      <c r="A2308" s="1" t="str">
        <f>"09000014900"</f>
        <v>09000014900</v>
      </c>
      <c r="B2308" s="1" t="str">
        <f>"CAPGROW HOLDINGS JV SUB IX LLC"</f>
        <v>CAPGROW HOLDINGS JV SUB IX LLC</v>
      </c>
      <c r="C2308" s="1" t="str">
        <f>"603 COLLINGWOOD AVE LOWRIE BROS 155.6'X 50'SE END LOT 183"</f>
        <v>603 COLLINGWOOD AVE LOWRIE BROS 155.6'X 50'SE END LOT 183</v>
      </c>
      <c r="D2308" s="1">
        <v>1371.67</v>
      </c>
    </row>
    <row r="2309" spans="1:4" x14ac:dyDescent="0.3">
      <c r="A2309" s="1" t="str">
        <f>"09000072000"</f>
        <v>09000072000</v>
      </c>
      <c r="B2309" s="1" t="str">
        <f>"CAPGROW HOLDINGS JV SUB IX LLC"</f>
        <v>CAPGROW HOLDINGS JV SUB IX LLC</v>
      </c>
      <c r="C2309" s="1" t="str">
        <f>"965 ROSE PL JAEGER MANOR LOT 36 "</f>
        <v xml:space="preserve">965 ROSE PL JAEGER MANOR LOT 36 </v>
      </c>
      <c r="D2309" s="1">
        <v>1795.34</v>
      </c>
    </row>
    <row r="2310" spans="1:4" x14ac:dyDescent="0.3">
      <c r="A2310" s="1" t="str">
        <f>"06000834200"</f>
        <v>06000834200</v>
      </c>
      <c r="B2310" s="1" t="str">
        <f>"CAPGROW HOLDINGS JV SUB IX LLC"</f>
        <v>CAPGROW HOLDINGS JV SUB IX LLC</v>
      </c>
      <c r="C2310" s="1" t="str">
        <f>"TRURO AVE AYRES 1ST LOT 6 &amp; PT LOT 7"</f>
        <v>TRURO AVE AYRES 1ST LOT 6 &amp; PT LOT 7</v>
      </c>
      <c r="D2310" s="1">
        <v>8025.46</v>
      </c>
    </row>
    <row r="2311" spans="1:4" x14ac:dyDescent="0.3">
      <c r="A2311" s="1" t="str">
        <f>"09000773800"</f>
        <v>09000773800</v>
      </c>
      <c r="B2311" s="1" t="str">
        <f>"CAPGROW HOLDINGS JV SUB IX LLC"</f>
        <v>CAPGROW HOLDINGS JV SUB IX LLC</v>
      </c>
      <c r="C2311" s="1" t="str">
        <f>"4168 WRIGHT PK WRIGHT PARK 24"</f>
        <v>4168 WRIGHT PK WRIGHT PARK 24</v>
      </c>
      <c r="D2311" s="1">
        <v>1608.18</v>
      </c>
    </row>
    <row r="2312" spans="1:4" x14ac:dyDescent="0.3">
      <c r="A2312" s="1" t="str">
        <f>"09000183300"</f>
        <v>09000183300</v>
      </c>
      <c r="B2312" s="1" t="str">
        <f>"CAPGROW HOLDINGS JV SUB IX LLC"</f>
        <v>CAPGROW HOLDINGS JV SUB IX LLC</v>
      </c>
      <c r="C2312" s="1" t="str">
        <f>"319 ROBINWOOD LOWRIE BROS SE COR PT LOT 265 EX 0.044 ACRE R/W"</f>
        <v>319 ROBINWOOD LOWRIE BROS SE COR PT LOT 265 EX 0.044 ACRE R/W</v>
      </c>
      <c r="D2312" s="1">
        <v>1218.03</v>
      </c>
    </row>
    <row r="2313" spans="1:4" x14ac:dyDescent="0.3">
      <c r="A2313" s="1" t="str">
        <f>"09000411400"</f>
        <v>09000411400</v>
      </c>
      <c r="B2313" s="1" t="str">
        <f>"CAPGROW HOLDINGS JV SUB IX LLC"</f>
        <v>CAPGROW HOLDINGS JV SUB IX LLC</v>
      </c>
      <c r="C2313" s="1" t="str">
        <f>"484 ERICKSON AVE GLENCOE LOT 318"</f>
        <v>484 ERICKSON AVE GLENCOE LOT 318</v>
      </c>
      <c r="D2313" s="1">
        <v>1037.75</v>
      </c>
    </row>
    <row r="2314" spans="1:4" x14ac:dyDescent="0.3">
      <c r="A2314" s="1" t="str">
        <f>"09000432100"</f>
        <v>09000432100</v>
      </c>
      <c r="B2314" s="1" t="str">
        <f>"CAPGROW HOLDINGS JV SUB IX LLC"</f>
        <v>CAPGROW HOLDINGS JV SUB IX LLC</v>
      </c>
      <c r="C2314" s="1" t="str">
        <f>"664 S YEARLING RD GLENCOE 105'SL ES LOT 525"</f>
        <v>664 S YEARLING RD GLENCOE 105'SL ES LOT 525</v>
      </c>
      <c r="D2314" s="1">
        <v>1304.3499999999999</v>
      </c>
    </row>
    <row r="2315" spans="1:4" x14ac:dyDescent="0.3">
      <c r="A2315" s="1" t="str">
        <f>"09000629800"</f>
        <v>09000629800</v>
      </c>
      <c r="B2315" s="1" t="str">
        <f>"CAPGROW HOLDINGS JV SUB IX LLC"</f>
        <v>CAPGROW HOLDINGS JV SUB IX LLC</v>
      </c>
      <c r="C2315" s="1" t="str">
        <f>"4028 RICKENBACKER AV OLPP 48 "</f>
        <v xml:space="preserve">4028 RICKENBACKER AV OLPP 48 </v>
      </c>
      <c r="D2315" s="1">
        <v>1676.24</v>
      </c>
    </row>
    <row r="2316" spans="1:4" x14ac:dyDescent="0.3">
      <c r="A2316" s="1" t="str">
        <f>"01007903600"</f>
        <v>01007903600</v>
      </c>
      <c r="B2316" s="1" t="str">
        <f>"CAPGROW HOLDINGS JV SUB IX LLC"</f>
        <v>CAPGROW HOLDINGS JV SUB IX LLC</v>
      </c>
      <c r="C2316" s="1" t="str">
        <f>"SYLVAN AVE WESTGATE PARK LOT 522"</f>
        <v>SYLVAN AVE WESTGATE PARK LOT 522</v>
      </c>
      <c r="D2316" s="1">
        <v>1677.81</v>
      </c>
    </row>
    <row r="2317" spans="1:4" x14ac:dyDescent="0.3">
      <c r="A2317" s="1" t="str">
        <f>"01007724500"</f>
        <v>01007724500</v>
      </c>
      <c r="B2317" s="1" t="str">
        <f>"CAPGROW HOLDINGS JV SUB IX LLC"</f>
        <v>CAPGROW HOLDINGS JV SUB IX LLC</v>
      </c>
      <c r="C2317" s="1" t="str">
        <f>"176 N WESTMOOR AVE NORTHVIEW ON HILLTOP LOT 36"</f>
        <v>176 N WESTMOOR AVE NORTHVIEW ON HILLTOP LOT 36</v>
      </c>
      <c r="D2317" s="1">
        <v>1034.5899999999999</v>
      </c>
    </row>
    <row r="2318" spans="1:4" x14ac:dyDescent="0.3">
      <c r="A2318" s="1" t="str">
        <f>"01007726600"</f>
        <v>01007726600</v>
      </c>
      <c r="B2318" s="1" t="str">
        <f>"CAPGROW HOLDINGS JV SUB IX LLC"</f>
        <v>CAPGROW HOLDINGS JV SUB IX LLC</v>
      </c>
      <c r="C2318" s="1" t="str">
        <f>"115-117 N HURON AVE NORTHVIEW OF THE HILLTOP LOT 57"</f>
        <v>115-117 N HURON AVE NORTHVIEW OF THE HILLTOP LOT 57</v>
      </c>
      <c r="D2318" s="1">
        <v>1598.42</v>
      </c>
    </row>
    <row r="2319" spans="1:4" x14ac:dyDescent="0.3">
      <c r="A2319" s="1" t="str">
        <f>"01006559400"</f>
        <v>01006559400</v>
      </c>
      <c r="B2319" s="1" t="str">
        <f>"CAPGROW HOLDINGS JV SUB IX LLC"</f>
        <v>CAPGROW HOLDINGS JV SUB IX LLC</v>
      </c>
      <c r="C2319" s="1" t="str">
        <f>"HALDY AVE S 1/2 COLUMBIA PARK ANNEX LOT 51"</f>
        <v>HALDY AVE S 1/2 COLUMBIA PARK ANNEX LOT 51</v>
      </c>
      <c r="D2319" s="1">
        <v>89.5</v>
      </c>
    </row>
    <row r="2320" spans="1:4" x14ac:dyDescent="0.3">
      <c r="A2320" s="1" t="str">
        <f>"06000069900"</f>
        <v>06000069900</v>
      </c>
      <c r="B2320" s="1" t="str">
        <f>"CAPGROW HOLDINGS JV SUB IX LLC"</f>
        <v>CAPGROW HOLDINGS JV SUB IX LLC</v>
      </c>
      <c r="C2320" s="1" t="str">
        <f>"SABRE AVE BROOKSIDE PARK 2 275"</f>
        <v>SABRE AVE BROOKSIDE PARK 2 275</v>
      </c>
      <c r="D2320" s="1">
        <v>2075.08</v>
      </c>
    </row>
    <row r="2321" spans="1:4" x14ac:dyDescent="0.3">
      <c r="A2321" s="1" t="str">
        <f>"06000010600"</f>
        <v>06000010600</v>
      </c>
      <c r="B2321" s="1" t="str">
        <f>"CAPGROW HOLDINGS JV SUB IX LLC"</f>
        <v>CAPGROW HOLDINGS JV SUB IX LLC</v>
      </c>
      <c r="C2321" s="1" t="str">
        <f>"137 N JACKSON AVE 50 FT N E OF EACH HIGHLAND TERRACE54-6"</f>
        <v>137 N JACKSON AVE 50 FT N E OF EACH HIGHLAND TERRACE54-6</v>
      </c>
      <c r="D2321" s="1">
        <v>1637.3</v>
      </c>
    </row>
    <row r="2322" spans="1:4" x14ac:dyDescent="0.3">
      <c r="A2322" s="1" t="str">
        <f>"24000316100"</f>
        <v>24000316100</v>
      </c>
      <c r="B2322" s="1" t="str">
        <f>"CAPGROW HOLDINGS JV SUB IX LLC"</f>
        <v>CAPGROW HOLDINGS JV SUB IX LLC</v>
      </c>
      <c r="C2322" s="1" t="str">
        <f>"OLD VILLAGE RD LINCOLN VILLAGE 31 "</f>
        <v xml:space="preserve">OLD VILLAGE RD LINCOLN VILLAGE 31 </v>
      </c>
      <c r="D2322" s="1">
        <v>1987.89</v>
      </c>
    </row>
    <row r="2323" spans="1:4" x14ac:dyDescent="0.3">
      <c r="A2323" s="1" t="str">
        <f>"01013710900"</f>
        <v>01013710900</v>
      </c>
      <c r="B2323" s="1" t="str">
        <f>"CAPGROW HOLDINGS JV SUB IX LLC"</f>
        <v>CAPGROW HOLDINGS JV SUB IX LLC</v>
      </c>
      <c r="C2323" s="1" t="str">
        <f>"1231 WEDGEWOOD DR HOLLY HILL 7 AMD LOT 753 EX IRR SS"</f>
        <v>1231 WEDGEWOOD DR HOLLY HILL 7 AMD LOT 753 EX IRR SS</v>
      </c>
      <c r="D2323" s="1">
        <v>1856.57</v>
      </c>
    </row>
    <row r="2324" spans="1:4" x14ac:dyDescent="0.3">
      <c r="A2324" s="1" t="str">
        <f>"24000354800"</f>
        <v>24000354800</v>
      </c>
      <c r="B2324" s="1" t="str">
        <f>"CAPGROW HOLDINGS JV SUB IX LLC"</f>
        <v>CAPGROW HOLDINGS JV SUB IX LLC</v>
      </c>
      <c r="C2324" s="1" t="str">
        <f>"SMITH ROAD 54.987FT MID PT LITTLE FARMS LOT D URP 3"</f>
        <v>SMITH ROAD 54.987FT MID PT LITTLE FARMS LOT D URP 3</v>
      </c>
      <c r="D2324" s="1">
        <v>1587.07</v>
      </c>
    </row>
    <row r="2325" spans="1:4" x14ac:dyDescent="0.3">
      <c r="A2325" s="1" t="str">
        <f>"01003685400"</f>
        <v>01003685400</v>
      </c>
      <c r="B2325" s="1" t="str">
        <f>"CAPITAL CITY HOMEWORKS LLC"</f>
        <v>CAPITAL CITY HOMEWORKS LLC</v>
      </c>
      <c r="C2325" s="1" t="str">
        <f>"1639-1641 OAK ST THOMAS MILLERS HEIRS PT LOT 13"</f>
        <v>1639-1641 OAK ST THOMAS MILLERS HEIRS PT LOT 13</v>
      </c>
      <c r="D2325" s="1">
        <v>1636.04</v>
      </c>
    </row>
    <row r="2326" spans="1:4" x14ac:dyDescent="0.3">
      <c r="A2326" s="1" t="str">
        <f>"01004437100"</f>
        <v>01004437100</v>
      </c>
      <c r="B2326" s="1" t="str">
        <f>"CAPITAL CITY HOUSING 614 LLC"</f>
        <v>CAPITAL CITY HOUSING 614 LLC</v>
      </c>
      <c r="C2326" s="1" t="str">
        <f>"HOLTON AVE HAMILTON PLACE LOT 220"</f>
        <v>HOLTON AVE HAMILTON PLACE LOT 220</v>
      </c>
      <c r="D2326" s="1">
        <v>312.2</v>
      </c>
    </row>
    <row r="2327" spans="1:4" x14ac:dyDescent="0.3">
      <c r="A2327" s="1" t="str">
        <f>"01000262100"</f>
        <v>01000262100</v>
      </c>
      <c r="B2327" s="1" t="str">
        <f>"CAPITAL CITY HOUSING 614 LLC"</f>
        <v>CAPITAL CITY HOUSING 614 LLC</v>
      </c>
      <c r="C2327" s="1" t="str">
        <f>"452 HOLTON AVE HAMILTON PLACE LOT 221"</f>
        <v>452 HOLTON AVE HAMILTON PLACE LOT 221</v>
      </c>
      <c r="D2327" s="1">
        <v>1903.61</v>
      </c>
    </row>
    <row r="2328" spans="1:4" x14ac:dyDescent="0.3">
      <c r="A2328" s="1" t="str">
        <f>"57014581500"</f>
        <v>57014581500</v>
      </c>
      <c r="B2328" s="1" t="str">
        <f>"CAPITAL COMMERCIAL INVESTMENTS LLC"</f>
        <v>CAPITAL COMMERCIAL INVESTMENTS LLC</v>
      </c>
      <c r="C2328" s="1" t="str">
        <f>"3714-16 ARNELLE RD MCCARLEY LOT 25"</f>
        <v>3714-16 ARNELLE RD MCCARLEY LOT 25</v>
      </c>
      <c r="D2328" s="1">
        <v>3317.83</v>
      </c>
    </row>
    <row r="2329" spans="1:4" x14ac:dyDescent="0.3">
      <c r="A2329" s="1" t="str">
        <f>"01005014800"</f>
        <v>01005014800</v>
      </c>
      <c r="B2329" s="1" t="str">
        <f>"CAPITAL HOLDINGS EAST"</f>
        <v>CAPITAL HOLDINGS EAST</v>
      </c>
      <c r="C2329" s="1" t="str">
        <f>"1570 HAWTHORNE PK WOODLAND AMD LOT 17-18"</f>
        <v>1570 HAWTHORNE PK WOODLAND AMD LOT 17-18</v>
      </c>
      <c r="D2329" s="1">
        <v>7588.33</v>
      </c>
    </row>
    <row r="2330" spans="1:4" x14ac:dyDescent="0.3">
      <c r="A2330" s="1" t="str">
        <f>"01007555700"</f>
        <v>01007555700</v>
      </c>
      <c r="B2330" s="1" t="str">
        <f>"CAPITAL MANAGEMENT OF OHIO LLC"</f>
        <v>CAPITAL MANAGEMENT OF OHIO LLC</v>
      </c>
      <c r="C2330" s="1" t="str">
        <f>"HOMESTEAD HEIGHTS LOT 220 "</f>
        <v xml:space="preserve">HOMESTEAD HEIGHTS LOT 220 </v>
      </c>
      <c r="D2330" s="1">
        <v>1542.94</v>
      </c>
    </row>
    <row r="2331" spans="1:4" x14ac:dyDescent="0.3">
      <c r="A2331" s="1" t="str">
        <f>"01009693900"</f>
        <v>01009693900</v>
      </c>
      <c r="B2331" s="1" t="str">
        <f>"CAPITAL MANAGEMENT OF OHIO LLC"</f>
        <v>CAPITAL MANAGEMENT OF OHIO LLC</v>
      </c>
      <c r="C2331" s="1" t="str">
        <f>"EISENHOWER RD CERTIFIED HOMES LOT 2"</f>
        <v>EISENHOWER RD CERTIFIED HOMES LOT 2</v>
      </c>
      <c r="D2331" s="1">
        <v>1392.86</v>
      </c>
    </row>
    <row r="2332" spans="1:4" x14ac:dyDescent="0.3">
      <c r="A2332" s="1" t="str">
        <f>"01010125400"</f>
        <v>01010125400</v>
      </c>
      <c r="B2332" s="1" t="str">
        <f>"CAPIZZI KAREN R"</f>
        <v>CAPIZZI KAREN R</v>
      </c>
      <c r="C2332" s="1" t="str">
        <f>"CUNARD RD 308&amp;28.5 FT SES 309 BERWICK MANOR LOT 308-309"</f>
        <v>CUNARD RD 308&amp;28.5 FT SES 309 BERWICK MANOR LOT 308-309</v>
      </c>
      <c r="D2332" s="1">
        <v>1730.74</v>
      </c>
    </row>
    <row r="2333" spans="1:4" x14ac:dyDescent="0.3">
      <c r="A2333" s="1" t="str">
        <f>"01028283200"</f>
        <v>01028283200</v>
      </c>
      <c r="B2333" s="1" t="str">
        <f>"CAPLIN NATHAN R, FUKUZAWA AKISA"</f>
        <v>CAPLIN NATHAN R, FUKUZAWA AKISA</v>
      </c>
      <c r="C2333" s="1" t="str">
        <f>"THE YUKON                 CONDOMINIUM               UNIT 207                 "</f>
        <v xml:space="preserve">THE YUKON                 CONDOMINIUM               UNIT 207                 </v>
      </c>
      <c r="D2333" s="1">
        <v>73.87</v>
      </c>
    </row>
    <row r="2334" spans="1:4" x14ac:dyDescent="0.3">
      <c r="A2334" s="1" t="str">
        <f>"01028283500"</f>
        <v>01028283500</v>
      </c>
      <c r="B2334" s="1" t="str">
        <f>"CAPLIN NATHAN R, FUKUZAWA AKISA"</f>
        <v>CAPLIN NATHAN R, FUKUZAWA AKISA</v>
      </c>
      <c r="C2334" s="1" t="str">
        <f>"THE YUKON                 CONDOMINIUM               UNIT 210                 "</f>
        <v xml:space="preserve">THE YUKON                 CONDOMINIUM               UNIT 210                 </v>
      </c>
      <c r="D2334" s="1">
        <v>59.08</v>
      </c>
    </row>
    <row r="2335" spans="1:4" x14ac:dyDescent="0.3">
      <c r="A2335" s="1" t="str">
        <f>"01028283700"</f>
        <v>01028283700</v>
      </c>
      <c r="B2335" s="1" t="str">
        <f>"CAPLIN NATHAN R, FUKUZAWA AKISA"</f>
        <v>CAPLIN NATHAN R, FUKUZAWA AKISA</v>
      </c>
      <c r="C2335" s="1" t="str">
        <f>"THE YUKON                 CONDOMINIUM               UNIT 212                 "</f>
        <v xml:space="preserve">THE YUKON                 CONDOMINIUM               UNIT 212                 </v>
      </c>
      <c r="D2335" s="1">
        <v>62.8</v>
      </c>
    </row>
    <row r="2336" spans="1:4" x14ac:dyDescent="0.3">
      <c r="A2336" s="1" t="str">
        <f>"07001296100"</f>
        <v>07001296100</v>
      </c>
      <c r="B2336" s="1" t="str">
        <f>"CAPOCCIA DANNY"</f>
        <v>CAPOCCIA DANNY</v>
      </c>
      <c r="C2336" s="1" t="str">
        <f>"WESTMINSTER VG CON 4 UNIT 4572 "</f>
        <v xml:space="preserve">WESTMINSTER VG CON 4 UNIT 4572 </v>
      </c>
      <c r="D2336" s="1">
        <v>3525.23</v>
      </c>
    </row>
    <row r="2337" spans="1:4" x14ac:dyDescent="0.3">
      <c r="A2337" s="1" t="str">
        <f>"01028061300"</f>
        <v>01028061300</v>
      </c>
      <c r="B2337" s="1" t="str">
        <f>"CAPOCCIA DANNY D"</f>
        <v>CAPOCCIA DANNY D</v>
      </c>
      <c r="C2337" s="1" t="str">
        <f>"BURNHAM SQUARE            CONDOMINIUM 1ST AMD       UNIT 250-202             "</f>
        <v xml:space="preserve">BURNHAM SQUARE            CONDOMINIUM 1ST AMD       UNIT 250-202             </v>
      </c>
      <c r="D2337" s="1">
        <v>3247.28</v>
      </c>
    </row>
    <row r="2338" spans="1:4" x14ac:dyDescent="0.3">
      <c r="A2338" s="1" t="str">
        <f>"01018555700"</f>
        <v>01018555700</v>
      </c>
      <c r="B2338" s="1" t="str">
        <f>"CAPTAINS COURT LLC"</f>
        <v>CAPTAINS COURT LLC</v>
      </c>
      <c r="C2338" s="1" t="str">
        <f>"CAPTAINS CT THE CUNARD VIL CONDO UNIT A  5236"</f>
        <v>CAPTAINS CT THE CUNARD VIL CONDO UNIT A  5236</v>
      </c>
      <c r="D2338" s="1">
        <v>3165</v>
      </c>
    </row>
    <row r="2339" spans="1:4" x14ac:dyDescent="0.3">
      <c r="A2339" s="1" t="str">
        <f>"01018556400"</f>
        <v>01018556400</v>
      </c>
      <c r="B2339" s="1" t="str">
        <f>"CAPTAINS COURT LLC"</f>
        <v>CAPTAINS COURT LLC</v>
      </c>
      <c r="C2339" s="1" t="str">
        <f>"CAPTAINS CT THE CUNARD VIL CONDO UNIT D 5232"</f>
        <v>CAPTAINS CT THE CUNARD VIL CONDO UNIT D 5232</v>
      </c>
      <c r="D2339" s="1">
        <v>3165</v>
      </c>
    </row>
    <row r="2340" spans="1:4" x14ac:dyDescent="0.3">
      <c r="A2340" s="1" t="str">
        <f>"01014893400"</f>
        <v>01014893400</v>
      </c>
      <c r="B2340" s="1" t="str">
        <f>"CAPUANO GUY T J"</f>
        <v>CAPUANO GUY T J</v>
      </c>
      <c r="C2340" s="1" t="str">
        <f>"LARWELL DR KNOLLS WEST SEC 4 LOT 218"</f>
        <v>LARWELL DR KNOLLS WEST SEC 4 LOT 218</v>
      </c>
      <c r="D2340" s="1">
        <v>205.1</v>
      </c>
    </row>
    <row r="2341" spans="1:4" x14ac:dyDescent="0.3">
      <c r="A2341" s="1" t="str">
        <f>"01002521800"</f>
        <v>01002521800</v>
      </c>
      <c r="B2341" s="1" t="str">
        <f>"CAP-VIEW COMMONS LLC"</f>
        <v>CAP-VIEW COMMONS LLC</v>
      </c>
      <c r="C2341" s="1" t="str">
        <f>"E LONG ST EAST PARK PLACE LOT 105 &amp; PT LOT 104  EX REC SECT NW COR"</f>
        <v>E LONG ST EAST PARK PLACE LOT 105 &amp; PT LOT 104  EX REC SECT NW COR</v>
      </c>
      <c r="D2341" s="1">
        <v>11555.5</v>
      </c>
    </row>
    <row r="2342" spans="1:4" x14ac:dyDescent="0.3">
      <c r="A2342" s="1" t="str">
        <f>"09000410300"</f>
        <v>09000410300</v>
      </c>
      <c r="B2342" s="1" t="str">
        <f>"CARACHURE OFELIA"</f>
        <v>CARACHURE OFELIA</v>
      </c>
      <c r="C2342" s="1" t="str">
        <f>"554 ERICKSON AVE GLENCOE LOTS 306 &amp; 307"</f>
        <v>554 ERICKSON AVE GLENCOE LOTS 306 &amp; 307</v>
      </c>
      <c r="D2342" s="1">
        <v>2642.96</v>
      </c>
    </row>
    <row r="2343" spans="1:4" x14ac:dyDescent="0.3">
      <c r="A2343" s="1" t="str">
        <f>"01009463800"</f>
        <v>01009463800</v>
      </c>
      <c r="B2343" s="1" t="str">
        <f>"CARBALLO BELEN ELOISA GARCIA"</f>
        <v>CARBALLO BELEN ELOISA GARCIA</v>
      </c>
      <c r="C2343" s="1" t="str">
        <f>"PONTIAC ST PONTIAC PARK LOT 88"</f>
        <v>PONTIAC ST PONTIAC PARK LOT 88</v>
      </c>
      <c r="D2343" s="1">
        <v>1955.48</v>
      </c>
    </row>
    <row r="2344" spans="1:4" x14ac:dyDescent="0.3">
      <c r="A2344" s="1" t="str">
        <f>"01012766200"</f>
        <v>01012766200</v>
      </c>
      <c r="B2344" s="1" t="str">
        <f>"CARDAMONE RALPH J"</f>
        <v>CARDAMONE RALPH J</v>
      </c>
      <c r="C2344" s="1" t="str">
        <f>"ALSACR RD PINE HILLS LOT 304"</f>
        <v>ALSACR RD PINE HILLS LOT 304</v>
      </c>
      <c r="D2344" s="1">
        <v>1520.58</v>
      </c>
    </row>
    <row r="2345" spans="1:4" x14ac:dyDescent="0.3">
      <c r="A2345" s="1" t="str">
        <f>"01002703700"</f>
        <v>01002703700</v>
      </c>
      <c r="B2345" s="1" t="str">
        <f>"CARDIGAN HOMES LLC"</f>
        <v>CARDIGAN HOMES LLC</v>
      </c>
      <c r="C2345" s="1" t="str">
        <f>"1178 WAGER ST DOTTERS PARSONS AVE LOT 27"</f>
        <v>1178 WAGER ST DOTTERS PARSONS AVE LOT 27</v>
      </c>
      <c r="D2345" s="1">
        <v>645.51</v>
      </c>
    </row>
    <row r="2346" spans="1:4" x14ac:dyDescent="0.3">
      <c r="A2346" s="1" t="str">
        <f>"01005894800"</f>
        <v>01005894800</v>
      </c>
      <c r="B2346" s="1" t="str">
        <f>"CAREY ANNE E, LYONS WILLIAM B"</f>
        <v>CAREY ANNE E, LYONS WILLIAM B</v>
      </c>
      <c r="C2346" s="1" t="str">
        <f>"166 W DUNEDIN RD NORTHMOOR LOT 262"</f>
        <v>166 W DUNEDIN RD NORTHMOOR LOT 262</v>
      </c>
      <c r="D2346" s="1">
        <v>5327.91</v>
      </c>
    </row>
    <row r="2347" spans="1:4" x14ac:dyDescent="0.3">
      <c r="A2347" s="1" t="str">
        <f>"01014413400"</f>
        <v>01014413400</v>
      </c>
      <c r="B2347" s="1" t="str">
        <f>"CAREY DARWIN L, CAREY MARIA K"</f>
        <v>CAREY DARWIN L, CAREY MARIA K</v>
      </c>
      <c r="C2347" s="1" t="str">
        <f>"MCNAUGHTEN RD YORKSHIRE EAST SEC 1 LOT 8"</f>
        <v>MCNAUGHTEN RD YORKSHIRE EAST SEC 1 LOT 8</v>
      </c>
      <c r="D2347" s="1">
        <v>1462.09</v>
      </c>
    </row>
    <row r="2348" spans="1:4" x14ac:dyDescent="0.3">
      <c r="A2348" s="1" t="str">
        <f>"15000257200"</f>
        <v>15000257200</v>
      </c>
      <c r="B2348" s="1" t="str">
        <f>"CARICO JOSH, ROLLINS JOHANNA"</f>
        <v>CARICO JOSH, ROLLINS JOHANNA</v>
      </c>
      <c r="C2348" s="1" t="str">
        <f>"114 BUCKEYE CR STEEPLECHASE GARDENS BLDG 18 UNIT B 114"</f>
        <v>114 BUCKEYE CR STEEPLECHASE GARDENS BLDG 18 UNIT B 114</v>
      </c>
      <c r="D2348" s="1">
        <v>1303.9100000000001</v>
      </c>
    </row>
    <row r="2349" spans="1:4" x14ac:dyDescent="0.3">
      <c r="A2349" s="1" t="str">
        <f>"01003895500"</f>
        <v>01003895500</v>
      </c>
      <c r="B2349" s="1" t="str">
        <f>"CARIFA LISA S"</f>
        <v>CARIFA LISA S</v>
      </c>
      <c r="C2349" s="1" t="str">
        <f>"35 CRESTVIEW RD CREST VIEW LOT 694-5"</f>
        <v>35 CRESTVIEW RD CREST VIEW LOT 694-5</v>
      </c>
      <c r="D2349" s="1">
        <v>2323.5100000000002</v>
      </c>
    </row>
    <row r="2350" spans="1:4" x14ac:dyDescent="0.3">
      <c r="A2350" s="1" t="str">
        <f>"01012007800"</f>
        <v>01012007800</v>
      </c>
      <c r="B2350" s="1" t="str">
        <f>"CARIFA MELISSA"</f>
        <v>CARIFA MELISSA</v>
      </c>
      <c r="C2350" s="1" t="str">
        <f>"WETMORE RD MAIZE MEADOWS LOT 148"</f>
        <v>WETMORE RD MAIZE MEADOWS LOT 148</v>
      </c>
      <c r="D2350" s="1">
        <v>136.69999999999999</v>
      </c>
    </row>
    <row r="2351" spans="1:4" x14ac:dyDescent="0.3">
      <c r="A2351" s="1" t="str">
        <f>"01014412200"</f>
        <v>01014412200</v>
      </c>
      <c r="B2351" s="1" t="str">
        <f>"CARIFA SAMUEL G"</f>
        <v>CARIFA SAMUEL G</v>
      </c>
      <c r="C2351" s="1" t="str">
        <f>"CHESTERTON LANE DEVONSHIRE 7 LOT 1006"</f>
        <v>CHESTERTON LANE DEVONSHIRE 7 LOT 1006</v>
      </c>
      <c r="D2351" s="1">
        <v>93.24</v>
      </c>
    </row>
    <row r="2352" spans="1:4" x14ac:dyDescent="0.3">
      <c r="A2352" s="1" t="str">
        <f>"25000677300"</f>
        <v>25000677300</v>
      </c>
      <c r="B2352" s="1" t="str">
        <f>"CARLE LOUISE K TR"</f>
        <v>CARLE LOUISE K TR</v>
      </c>
      <c r="C2352" s="1" t="str">
        <f>"LOOKOUT POINT DR WORTHINGTON HILLS 1 172"</f>
        <v>LOOKOUT POINT DR WORTHINGTON HILLS 1 172</v>
      </c>
      <c r="D2352" s="1">
        <v>525.76</v>
      </c>
    </row>
    <row r="2353" spans="1:4" x14ac:dyDescent="0.3">
      <c r="A2353" s="1" t="str">
        <f>"01012357600"</f>
        <v>01012357600</v>
      </c>
      <c r="B2353" s="1" t="str">
        <f>"CARLEY CRYSTAL"</f>
        <v>CARLEY CRYSTAL</v>
      </c>
      <c r="C2353" s="1" t="str">
        <f>"ROSE VIEW DR SOUTH BERWICK 2 LOT 203"</f>
        <v>ROSE VIEW DR SOUTH BERWICK 2 LOT 203</v>
      </c>
      <c r="D2353" s="1">
        <v>215.48</v>
      </c>
    </row>
    <row r="2354" spans="1:4" x14ac:dyDescent="0.3">
      <c r="A2354" s="1" t="str">
        <f>"02000456600"</f>
        <v>02000456600</v>
      </c>
      <c r="B2354" s="1" t="str">
        <f>"CARLIN PHILIP E"</f>
        <v>CARLIN PHILIP E</v>
      </c>
      <c r="C2354" s="1" t="str">
        <f>"93 BISHOP SQ UNIT 93 "</f>
        <v xml:space="preserve">93 BISHOP SQ UNIT 93 </v>
      </c>
      <c r="D2354" s="1">
        <v>212.65</v>
      </c>
    </row>
    <row r="2355" spans="1:4" x14ac:dyDescent="0.3">
      <c r="A2355" s="1" t="str">
        <f>"02000457000"</f>
        <v>02000457000</v>
      </c>
      <c r="B2355" s="1" t="str">
        <f>"CARLIN PHILIP E"</f>
        <v>CARLIN PHILIP E</v>
      </c>
      <c r="C2355" s="1" t="str">
        <f>"00000 BISHOP SQ UNIT A1 GARAGE"</f>
        <v>00000 BISHOP SQ UNIT A1 GARAGE</v>
      </c>
      <c r="D2355" s="1">
        <v>7.13</v>
      </c>
    </row>
    <row r="2356" spans="1:4" x14ac:dyDescent="0.3">
      <c r="A2356" s="1" t="str">
        <f>"02000460100"</f>
        <v>02000460100</v>
      </c>
      <c r="B2356" s="1" t="str">
        <f>"CARLIN PHILIP E"</f>
        <v>CARLIN PHILIP E</v>
      </c>
      <c r="C2356" s="1" t="str">
        <f>"00000 BISHOP SQ BISHOP SQ CONDO GARAGE UNIT J-1"</f>
        <v>00000 BISHOP SQ BISHOP SQ CONDO GARAGE UNIT J-1</v>
      </c>
      <c r="D2356" s="1">
        <v>7.4</v>
      </c>
    </row>
    <row r="2357" spans="1:4" x14ac:dyDescent="0.3">
      <c r="A2357" s="1" t="str">
        <f>"01009943400"</f>
        <v>01009943400</v>
      </c>
      <c r="B2357" s="1" t="str">
        <f>"CARLOS CRISTOBAL"</f>
        <v>CARLOS CRISTOBAL</v>
      </c>
      <c r="C2357" s="1" t="str">
        <f>"25TH AVE HOMESTEAD HTS NO 3 LOT 21"</f>
        <v>25TH AVE HOMESTEAD HTS NO 3 LOT 21</v>
      </c>
      <c r="D2357" s="1">
        <v>1112.54</v>
      </c>
    </row>
    <row r="2358" spans="1:4" x14ac:dyDescent="0.3">
      <c r="A2358" s="1" t="str">
        <f>"05000999700"</f>
        <v>05000999700</v>
      </c>
      <c r="B2358" s="1" t="str">
        <f>"CARLSON STACY"</f>
        <v>CARLSON STACY</v>
      </c>
      <c r="C2358" s="1" t="str">
        <f>"THE VININGS CONDO COMMUNITY UNIT 5006"</f>
        <v>THE VININGS CONDO COMMUNITY UNIT 5006</v>
      </c>
      <c r="D2358" s="1">
        <v>5494.02</v>
      </c>
    </row>
    <row r="2359" spans="1:4" x14ac:dyDescent="0.3">
      <c r="A2359" s="1" t="str">
        <f>"01013138700"</f>
        <v>01013138700</v>
      </c>
      <c r="B2359" s="1" t="str">
        <f>"CARLSTON MELISSA G TTEE"</f>
        <v>CARLSTON MELISSA G TTEE</v>
      </c>
      <c r="C2359" s="1" t="str">
        <f>"KENDALE RD KENDALE SEC 2 LOT 182"</f>
        <v>KENDALE RD KENDALE SEC 2 LOT 182</v>
      </c>
      <c r="D2359" s="1">
        <v>6084.12</v>
      </c>
    </row>
    <row r="2360" spans="1:4" x14ac:dyDescent="0.3">
      <c r="A2360" s="1" t="str">
        <f>"08000088000"</f>
        <v>08000088000</v>
      </c>
      <c r="B2360" s="1" t="str">
        <f>"CARMA HOLDINGS LLC"</f>
        <v>CARMA HOLDINGS LLC</v>
      </c>
      <c r="C2360" s="1" t="str">
        <f>"55-57 W LINCOLN ST R17 T2 1/4T2 0.232 ACRE"</f>
        <v>55-57 W LINCOLN ST R17 T2 1/4T2 0.232 ACRE</v>
      </c>
      <c r="D2360" s="1">
        <v>718.02</v>
      </c>
    </row>
    <row r="2361" spans="1:4" x14ac:dyDescent="0.3">
      <c r="A2361" s="1" t="str">
        <f>"01012936700"</f>
        <v>01012936700</v>
      </c>
      <c r="B2361" s="1" t="str">
        <f>"CARMEAN CECELIA ROSE, HAUSSER KRISTINE"</f>
        <v>CARMEAN CECELIA ROSE, HAUSSER KRISTINE</v>
      </c>
      <c r="C2361" s="1" t="str">
        <f>"JULIE PLC KAR-MEL VILL 2 LOT 201"</f>
        <v>JULIE PLC KAR-MEL VILL 2 LOT 201</v>
      </c>
      <c r="D2361" s="1">
        <v>1934.44</v>
      </c>
    </row>
    <row r="2362" spans="1:4" x14ac:dyDescent="0.3">
      <c r="A2362" s="1" t="str">
        <f>"01010186000"</f>
        <v>01010186000</v>
      </c>
      <c r="B2362" s="1" t="str">
        <f>"CARMEAN DOROTHY S"</f>
        <v>CARMEAN DOROTHY S</v>
      </c>
      <c r="C2362" s="1" t="str">
        <f>"VANDERBERG PLACE MIRIAM 2 LOT 22 BLK 9"</f>
        <v>VANDERBERG PLACE MIRIAM 2 LOT 22 BLK 9</v>
      </c>
      <c r="D2362" s="1">
        <v>394.52</v>
      </c>
    </row>
    <row r="2363" spans="1:4" x14ac:dyDescent="0.3">
      <c r="A2363" s="1" t="str">
        <f>"60016904000"</f>
        <v>60016904000</v>
      </c>
      <c r="B2363" s="1" t="str">
        <f>"CARMICHAEL KAREN"</f>
        <v>CARMICHAEL KAREN</v>
      </c>
      <c r="C2363" s="1" t="str">
        <f>"CHIPPEWILL CONDM STAGE II BLDG 45 UNIT 8"</f>
        <v>CHIPPEWILL CONDM STAGE II BLDG 45 UNIT 8</v>
      </c>
      <c r="D2363" s="1">
        <v>3582.62</v>
      </c>
    </row>
    <row r="2364" spans="1:4" x14ac:dyDescent="0.3">
      <c r="A2364" s="1" t="str">
        <f>"01013355300"</f>
        <v>01013355300</v>
      </c>
      <c r="B2364" s="1" t="str">
        <f>"CARMICHAEL PRESTON C, CARMICHAEL KATE E"</f>
        <v>CARMICHAEL PRESTON C, CARMICHAEL KATE E</v>
      </c>
      <c r="C2364" s="1" t="str">
        <f>"SOUTHFIELD DR E SOUTHFIELD 3 LOT 452"</f>
        <v>SOUTHFIELD DR E SOUTHFIELD 3 LOT 452</v>
      </c>
      <c r="D2364" s="1">
        <v>734.14</v>
      </c>
    </row>
    <row r="2365" spans="1:4" x14ac:dyDescent="0.3">
      <c r="A2365" s="1" t="str">
        <f>"01008068200"</f>
        <v>01008068200</v>
      </c>
      <c r="B2365" s="1" t="str">
        <f>"CARMON MARCUS"</f>
        <v>CARMON MARCUS</v>
      </c>
      <c r="C2365" s="1" t="str">
        <f>"KELTON AVE DRIVING PARK LOT 183"</f>
        <v>KELTON AVE DRIVING PARK LOT 183</v>
      </c>
      <c r="D2365" s="1">
        <v>3456.2</v>
      </c>
    </row>
    <row r="2366" spans="1:4" x14ac:dyDescent="0.3">
      <c r="A2366" s="1" t="str">
        <f>"01001537800"</f>
        <v>01001537800</v>
      </c>
      <c r="B2366" s="1" t="str">
        <f>"CARNES JACK"</f>
        <v>CARNES JACK</v>
      </c>
      <c r="C2366" s="1" t="str">
        <f>"436 E 5TH AVE DOYLES 1ST 167.46'WL NE LOT 124"</f>
        <v>436 E 5TH AVE DOYLES 1ST 167.46'WL NE LOT 124</v>
      </c>
      <c r="D2366" s="1">
        <v>803.67</v>
      </c>
    </row>
    <row r="2367" spans="1:4" x14ac:dyDescent="0.3">
      <c r="A2367" s="1" t="str">
        <f>"16000051400"</f>
        <v>16000051400</v>
      </c>
      <c r="B2367" s="1" t="str">
        <f>"CARNEY SUSAN C"</f>
        <v>CARNEY SUSAN C</v>
      </c>
      <c r="C2367" s="1" t="str">
        <f>"NEDRA ST EMERSONIA LOT 25"</f>
        <v>NEDRA ST EMERSONIA LOT 25</v>
      </c>
      <c r="D2367" s="1">
        <v>321.55</v>
      </c>
    </row>
    <row r="2368" spans="1:4" x14ac:dyDescent="0.3">
      <c r="A2368" s="1" t="str">
        <f>"01013582900"</f>
        <v>01013582900</v>
      </c>
      <c r="B2368" s="1" t="str">
        <f>"CARPENTER BRIAN A, CARPENTER KIMBERLEE I"</f>
        <v>CARPENTER BRIAN A, CARPENTER KIMBERLEE I</v>
      </c>
      <c r="C2368" s="1" t="str">
        <f>"CHERRYWOOD RD FOREST PARK 4 LOT 690"</f>
        <v>CHERRYWOOD RD FOREST PARK 4 LOT 690</v>
      </c>
      <c r="D2368" s="1">
        <v>4875.7</v>
      </c>
    </row>
    <row r="2369" spans="1:4" x14ac:dyDescent="0.3">
      <c r="A2369" s="1" t="str">
        <f>"08000246400"</f>
        <v>08000246400</v>
      </c>
      <c r="B2369" s="1" t="str">
        <f>"CARPENTER CHASE ALLEN, DONNER ANNA"</f>
        <v>CARPENTER CHASE ALLEN, DONNER ANNA</v>
      </c>
      <c r="C2369" s="1" t="str">
        <f>"BISHOP DR BURKS J B C NO 1 32"</f>
        <v>BISHOP DR BURKS J B C NO 1 32</v>
      </c>
      <c r="D2369" s="1">
        <v>943.79</v>
      </c>
    </row>
    <row r="2370" spans="1:4" x14ac:dyDescent="0.3">
      <c r="A2370" s="1" t="str">
        <f>"08000311800"</f>
        <v>08000311800</v>
      </c>
      <c r="B2370" s="1" t="str">
        <f>"CARPENTER DANNY, CARPENTER BARBARA"</f>
        <v>CARPENTER DANNY, CARPENTER BARBARA</v>
      </c>
      <c r="C2370" s="1" t="str">
        <f>"ELECTRIC AVE LEHY ACRES 1 LOT 5"</f>
        <v>ELECTRIC AVE LEHY ACRES 1 LOT 5</v>
      </c>
      <c r="D2370" s="1">
        <v>2408.1</v>
      </c>
    </row>
    <row r="2371" spans="1:4" x14ac:dyDescent="0.3">
      <c r="A2371" s="1" t="str">
        <f>"01028592900"</f>
        <v>01028592900</v>
      </c>
      <c r="B2371" s="1" t="str">
        <f>"CARPENTER DAVID E"</f>
        <v>CARPENTER DAVID E</v>
      </c>
      <c r="C2371" s="1" t="str">
        <f>"4650-4658 NORTH HIGH STREET CONDOMINIUM UNIT 4652"</f>
        <v>4650-4658 NORTH HIGH STREET CONDOMINIUM UNIT 4652</v>
      </c>
      <c r="D2371" s="1">
        <v>177.35</v>
      </c>
    </row>
    <row r="2372" spans="1:4" x14ac:dyDescent="0.3">
      <c r="A2372" s="1" t="str">
        <f>"01014800600"</f>
        <v>01014800600</v>
      </c>
      <c r="B2372" s="1" t="str">
        <f>"CARPENTER LENA"</f>
        <v>CARPENTER LENA</v>
      </c>
      <c r="C2372" s="1" t="str">
        <f>"1691 ST ALBANS COURT RITTENHOUSE SQ CONDO PHASE 5A UNIT 22-91"</f>
        <v>1691 ST ALBANS COURT RITTENHOUSE SQ CONDO PHASE 5A UNIT 22-91</v>
      </c>
      <c r="D2372" s="1">
        <v>3556.04</v>
      </c>
    </row>
    <row r="2373" spans="1:4" x14ac:dyDescent="0.3">
      <c r="A2373" s="1" t="str">
        <f>"01018328100"</f>
        <v>01018328100</v>
      </c>
      <c r="B2373" s="1" t="str">
        <f>"CARPENTER NIA N"</f>
        <v>CARPENTER NIA N</v>
      </c>
      <c r="C2373" s="1" t="str">
        <f>"SCOTLAND YARD CONDO UNIT 5868-B BLDG 3 "</f>
        <v xml:space="preserve">SCOTLAND YARD CONDO UNIT 5868-B BLDG 3 </v>
      </c>
      <c r="D2373" s="1">
        <v>512.29</v>
      </c>
    </row>
    <row r="2374" spans="1:4" x14ac:dyDescent="0.3">
      <c r="A2374" s="1" t="str">
        <f>"17000296900"</f>
        <v>17000296900</v>
      </c>
      <c r="B2374" s="1" t="str">
        <f>"CARPER DEBORAH LYNN, CARPER JOHN R JR"</f>
        <v>CARPER DEBORAH LYNN, CARPER JOHN R JR</v>
      </c>
      <c r="C2374" s="1" t="str">
        <f>"CHATEAUGAY WAY STEPPING STONE SECTION 1 LOT 25"</f>
        <v>CHATEAUGAY WAY STEPPING STONE SECTION 1 LOT 25</v>
      </c>
      <c r="D2374" s="1">
        <v>880.84</v>
      </c>
    </row>
    <row r="2375" spans="1:4" x14ac:dyDescent="0.3">
      <c r="A2375" s="1" t="str">
        <f>"01010057300"</f>
        <v>01010057300</v>
      </c>
      <c r="B2375" s="1" t="str">
        <f>"CARPIO GERARDO, CARPIO MELINDA MICHELLE"</f>
        <v>CARPIO GERARDO, CARPIO MELINDA MICHELLE</v>
      </c>
      <c r="C2375" s="1" t="str">
        <f>"ELDERWOOD AVE LIVINGSTON GARDENS LOT 6"</f>
        <v>ELDERWOOD AVE LIVINGSTON GARDENS LOT 6</v>
      </c>
      <c r="D2375" s="1">
        <v>136.68</v>
      </c>
    </row>
    <row r="2376" spans="1:4" x14ac:dyDescent="0.3">
      <c r="A2376" s="1" t="str">
        <f>"18000447600"</f>
        <v>18000447600</v>
      </c>
      <c r="B2376" s="1" t="str">
        <f>"CARR CAROLYN A"</f>
        <v>CARR CAROLYN A</v>
      </c>
      <c r="C2376" s="1" t="str">
        <f>"FONTAINE RD RESUB PART BLACKLICK ESTATES 6 LOT 1030"</f>
        <v>FONTAINE RD RESUB PART BLACKLICK ESTATES 6 LOT 1030</v>
      </c>
      <c r="D2376" s="1">
        <v>2591.2800000000002</v>
      </c>
    </row>
    <row r="2377" spans="1:4" x14ac:dyDescent="0.3">
      <c r="A2377" s="1" t="str">
        <f>"22200025300"</f>
        <v>22200025300</v>
      </c>
      <c r="B2377" s="1" t="str">
        <f>"CARR TERRY G, CARR CAROL J"</f>
        <v>CARR TERRY G, CARR CAROL J</v>
      </c>
      <c r="C2377" s="1" t="str">
        <f>"RT 62 R16 T2 1/4T3 .696 ACRE"</f>
        <v>RT 62 R16 T2 1/4T3 .696 ACRE</v>
      </c>
      <c r="D2377" s="1">
        <v>4282.5</v>
      </c>
    </row>
    <row r="2378" spans="1:4" x14ac:dyDescent="0.3">
      <c r="A2378" s="1" t="str">
        <f>"01012094700"</f>
        <v>01012094700</v>
      </c>
      <c r="B2378" s="1" t="str">
        <f>"CARR THOMAS J, CARR REGINA L"</f>
        <v>CARR THOMAS J, CARR REGINA L</v>
      </c>
      <c r="C2378" s="1" t="str">
        <f>"LEE ELLEN PLACE HILLGATE 2 LOT 50"</f>
        <v>LEE ELLEN PLACE HILLGATE 2 LOT 50</v>
      </c>
      <c r="D2378" s="1">
        <v>1510.62</v>
      </c>
    </row>
    <row r="2379" spans="1:4" x14ac:dyDescent="0.3">
      <c r="A2379" s="1" t="str">
        <f>"01001433000"</f>
        <v>01001433000</v>
      </c>
      <c r="B2379" s="1" t="str">
        <f>"CARRENO AZMITIA SANTOS N"</f>
        <v>CARRENO AZMITIA SANTOS N</v>
      </c>
      <c r="C2379" s="1" t="str">
        <f>"SAFFORD AVE PORTERS PARCELS LOT 81"</f>
        <v>SAFFORD AVE PORTERS PARCELS LOT 81</v>
      </c>
      <c r="D2379" s="1">
        <v>215.55</v>
      </c>
    </row>
    <row r="2380" spans="1:4" x14ac:dyDescent="0.3">
      <c r="A2380" s="1" t="str">
        <f>"01001517100"</f>
        <v>01001517100</v>
      </c>
      <c r="B2380" s="1" t="str">
        <f>"CARRENO AZMITIA SANTOS N"</f>
        <v>CARRENO AZMITIA SANTOS N</v>
      </c>
      <c r="C2380" s="1" t="str">
        <f>"1538 SAFFORD AVE PORTERS PARCELS LOT 86"</f>
        <v>1538 SAFFORD AVE PORTERS PARCELS LOT 86</v>
      </c>
      <c r="D2380" s="1">
        <v>1829.39</v>
      </c>
    </row>
    <row r="2381" spans="1:4" x14ac:dyDescent="0.3">
      <c r="A2381" s="1" t="str">
        <f>"01004615800"</f>
        <v>01004615800</v>
      </c>
      <c r="B2381" s="1" t="str">
        <f>"CARRERA CRYSTAL TR"</f>
        <v>CARRERA CRYSTAL TR</v>
      </c>
      <c r="C2381" s="1" t="str">
        <f>" NORFOLK LOT 44"</f>
        <v xml:space="preserve"> NORFOLK LOT 44</v>
      </c>
      <c r="D2381" s="1">
        <v>578.22</v>
      </c>
    </row>
    <row r="2382" spans="1:4" x14ac:dyDescent="0.3">
      <c r="A2382" s="1" t="str">
        <f>"01002329900"</f>
        <v>01002329900</v>
      </c>
      <c r="B2382" s="1" t="str">
        <f>"CARRERA CRYSTAL TR"</f>
        <v>CARRERA CRYSTAL TR</v>
      </c>
      <c r="C2382" s="1" t="str">
        <f>"SUPERIOR ST NORFOLK LOT 49"</f>
        <v>SUPERIOR ST NORFOLK LOT 49</v>
      </c>
      <c r="D2382" s="1">
        <v>695.01</v>
      </c>
    </row>
    <row r="2383" spans="1:4" x14ac:dyDescent="0.3">
      <c r="A2383" s="1" t="str">
        <f>"01002329200"</f>
        <v>01002329200</v>
      </c>
      <c r="B2383" s="1" t="str">
        <f>"CARRERA CRYSTAL TR"</f>
        <v>CARRERA CRYSTAL TR</v>
      </c>
      <c r="C2383" s="1" t="str">
        <f>"SUPERIOR ST NORFOLK LOT 39"</f>
        <v>SUPERIOR ST NORFOLK LOT 39</v>
      </c>
      <c r="D2383" s="1">
        <v>578.22</v>
      </c>
    </row>
    <row r="2384" spans="1:4" x14ac:dyDescent="0.3">
      <c r="A2384" s="1" t="str">
        <f>"01002329300"</f>
        <v>01002329300</v>
      </c>
      <c r="B2384" s="1" t="str">
        <f>"CARRERA CRYSTAL TR"</f>
        <v>CARRERA CRYSTAL TR</v>
      </c>
      <c r="C2384" s="1" t="str">
        <f>"SUPERIOR ST NORFOLK LOT 41"</f>
        <v>SUPERIOR ST NORFOLK LOT 41</v>
      </c>
      <c r="D2384" s="1">
        <v>578.22</v>
      </c>
    </row>
    <row r="2385" spans="1:4" x14ac:dyDescent="0.3">
      <c r="A2385" s="1" t="str">
        <f>"01002329700"</f>
        <v>01002329700</v>
      </c>
      <c r="B2385" s="1" t="str">
        <f>"CARRERA CRYSTAL TR"</f>
        <v>CARRERA CRYSTAL TR</v>
      </c>
      <c r="C2385" s="1" t="str">
        <f>"SUPERIOR ST NORFOLK LOT 46"</f>
        <v>SUPERIOR ST NORFOLK LOT 46</v>
      </c>
      <c r="D2385" s="1">
        <v>578.22</v>
      </c>
    </row>
    <row r="2386" spans="1:4" x14ac:dyDescent="0.3">
      <c r="A2386" s="1" t="str">
        <f>"01002329400"</f>
        <v>01002329400</v>
      </c>
      <c r="B2386" s="1" t="str">
        <f>"CARRERA CRYSTAL TR"</f>
        <v>CARRERA CRYSTAL TR</v>
      </c>
      <c r="C2386" s="1" t="str">
        <f>"SUPERIOR ST NORFOLK LOT 42"</f>
        <v>SUPERIOR ST NORFOLK LOT 42</v>
      </c>
      <c r="D2386" s="1">
        <v>578.22</v>
      </c>
    </row>
    <row r="2387" spans="1:4" x14ac:dyDescent="0.3">
      <c r="A2387" s="1" t="str">
        <f>"01002329500"</f>
        <v>01002329500</v>
      </c>
      <c r="B2387" s="1" t="str">
        <f>"CARRERA CRYSTAL TR"</f>
        <v>CARRERA CRYSTAL TR</v>
      </c>
      <c r="C2387" s="1" t="str">
        <f>"SUPERIOR ST NORFOLK LOT 43"</f>
        <v>SUPERIOR ST NORFOLK LOT 43</v>
      </c>
      <c r="D2387" s="1">
        <v>578.22</v>
      </c>
    </row>
    <row r="2388" spans="1:4" x14ac:dyDescent="0.3">
      <c r="A2388" s="1" t="str">
        <f>"01002329600"</f>
        <v>01002329600</v>
      </c>
      <c r="B2388" s="1" t="str">
        <f>"CARRERA CRYSTAL TR"</f>
        <v>CARRERA CRYSTAL TR</v>
      </c>
      <c r="C2388" s="1" t="str">
        <f>"SUPERIOR ST NORFOLK LOT 45"</f>
        <v>SUPERIOR ST NORFOLK LOT 45</v>
      </c>
      <c r="D2388" s="1">
        <v>578.22</v>
      </c>
    </row>
    <row r="2389" spans="1:4" x14ac:dyDescent="0.3">
      <c r="A2389" s="1" t="str">
        <f>"01002329800"</f>
        <v>01002329800</v>
      </c>
      <c r="B2389" s="1" t="str">
        <f>"CARRERA CRYSTAL TR"</f>
        <v>CARRERA CRYSTAL TR</v>
      </c>
      <c r="C2389" s="1" t="str">
        <f>"SUPERIOR ST NORFOLK LOT 48"</f>
        <v>SUPERIOR ST NORFOLK LOT 48</v>
      </c>
      <c r="D2389" s="1">
        <v>578.22</v>
      </c>
    </row>
    <row r="2390" spans="1:4" x14ac:dyDescent="0.3">
      <c r="A2390" s="1" t="str">
        <f>"01002328500"</f>
        <v>01002328500</v>
      </c>
      <c r="B2390" s="1" t="str">
        <f>"CARRERA CRYSTAL TR"</f>
        <v>CARRERA CRYSTAL TR</v>
      </c>
      <c r="C2390" s="1" t="str">
        <f>"MARYLAND AVE NORFOLK LOT 19"</f>
        <v>MARYLAND AVE NORFOLK LOT 19</v>
      </c>
      <c r="D2390" s="1">
        <v>275.33999999999997</v>
      </c>
    </row>
    <row r="2391" spans="1:4" x14ac:dyDescent="0.3">
      <c r="A2391" s="1" t="str">
        <f>"01002329100"</f>
        <v>01002329100</v>
      </c>
      <c r="B2391" s="1" t="str">
        <f>"CARRERA CRYSTAL TR"</f>
        <v>CARRERA CRYSTAL TR</v>
      </c>
      <c r="C2391" s="1" t="str">
        <f>"SUPERIOR ST NORFOLK LOT 38"</f>
        <v>SUPERIOR ST NORFOLK LOT 38</v>
      </c>
      <c r="D2391" s="1">
        <v>275.33999999999997</v>
      </c>
    </row>
    <row r="2392" spans="1:4" x14ac:dyDescent="0.3">
      <c r="A2392" s="1" t="str">
        <f>"01000689400"</f>
        <v>01000689400</v>
      </c>
      <c r="B2392" s="1" t="str">
        <f>"CARRERA CRYSTAL TR"</f>
        <v>CARRERA CRYSTAL TR</v>
      </c>
      <c r="C2392" s="1" t="str">
        <f>"423 ELDRIDGE AVE MARYLAND TERR LOT 7-8"</f>
        <v>423 ELDRIDGE AVE MARYLAND TERR LOT 7-8</v>
      </c>
      <c r="D2392" s="1">
        <v>2141.5</v>
      </c>
    </row>
    <row r="2393" spans="1:4" x14ac:dyDescent="0.3">
      <c r="A2393" s="1" t="str">
        <f>"01002328600"</f>
        <v>01002328600</v>
      </c>
      <c r="B2393" s="1" t="str">
        <f>"CARRERA CRYSTAL TR"</f>
        <v>CARRERA CRYSTAL TR</v>
      </c>
      <c r="C2393" s="1" t="str">
        <f>"MARYLAND AVE NORFOLK LOT 20"</f>
        <v>MARYLAND AVE NORFOLK LOT 20</v>
      </c>
      <c r="D2393" s="1">
        <v>275.33999999999997</v>
      </c>
    </row>
    <row r="2394" spans="1:4" x14ac:dyDescent="0.3">
      <c r="A2394" s="1" t="str">
        <f>"14000068600"</f>
        <v>14000068600</v>
      </c>
      <c r="B2394" s="1" t="str">
        <f>"CARRERAS JOSE CARRERAS, SAUCEDA ODILIA BARRALAGA"</f>
        <v>CARRERAS JOSE CARRERAS, SAUCEDA ODILIA BARRALAGA</v>
      </c>
      <c r="C2394" s="1" t="str">
        <f>"1638 ROSEMONT AVE GIBSON PK PL LOT 7 "</f>
        <v xml:space="preserve">1638 ROSEMONT AVE GIBSON PK PL LOT 7 </v>
      </c>
      <c r="D2394" s="1">
        <v>2534.21</v>
      </c>
    </row>
    <row r="2395" spans="1:4" x14ac:dyDescent="0.3">
      <c r="A2395" s="1" t="str">
        <f>"01006989100"</f>
        <v>01006989100</v>
      </c>
      <c r="B2395" s="1" t="str">
        <f>"CARRGIRLS LLC"</f>
        <v>CARRGIRLS LLC</v>
      </c>
      <c r="C2395" s="1" t="str">
        <f>"1290 PRIMROSE PL BOULEVARD HTS  S GARAGE &amp; WS LOTS 93-4=0.0422 ACRE"</f>
        <v>1290 PRIMROSE PL BOULEVARD HTS  S GARAGE &amp; WS LOTS 93-4=0.0422 ACRE</v>
      </c>
      <c r="D2395" s="1">
        <v>378.58</v>
      </c>
    </row>
    <row r="2396" spans="1:4" x14ac:dyDescent="0.3">
      <c r="A2396" s="1" t="str">
        <f>"04001179900"</f>
        <v>04001179900</v>
      </c>
      <c r="B2396" s="1" t="str">
        <f>"CARRICO SUSAN RAYE"</f>
        <v>CARRICO SUSAN RAYE</v>
      </c>
      <c r="C2396" s="1" t="str">
        <f>"ORDERS RD ENTRY 1383 0.749 ACRE"</f>
        <v>ORDERS RD ENTRY 1383 0.749 ACRE</v>
      </c>
      <c r="D2396" s="1">
        <v>1178.22</v>
      </c>
    </row>
    <row r="2397" spans="1:4" x14ac:dyDescent="0.3">
      <c r="A2397" s="1" t="str">
        <f>"01007853500"</f>
        <v>01007853500</v>
      </c>
      <c r="B2397" s="1" t="str">
        <f>"CARRIER THOMAS R, CARRIER ALICE M"</f>
        <v>CARRIER THOMAS R, CARRIER ALICE M</v>
      </c>
      <c r="C2397" s="1" t="str">
        <f>"103 ALGONQUIN AVE WESTGATE PARK LOT 21"</f>
        <v>103 ALGONQUIN AVE WESTGATE PARK LOT 21</v>
      </c>
      <c r="D2397" s="1">
        <v>189.11</v>
      </c>
    </row>
    <row r="2398" spans="1:4" x14ac:dyDescent="0.3">
      <c r="A2398" s="1" t="str">
        <f>"53022494300"</f>
        <v>53022494300</v>
      </c>
      <c r="B2398" s="1" t="str">
        <f>"CARRINGTON SAMUEL W"</f>
        <v>CARRINGTON SAMUEL W</v>
      </c>
      <c r="C2398" s="1" t="str">
        <f>"INDEPENDENCE SQUARE SECTION 5 PART 4 LOT 335"</f>
        <v>INDEPENDENCE SQUARE SECTION 5 PART 4 LOT 335</v>
      </c>
      <c r="D2398" s="1">
        <v>478.11</v>
      </c>
    </row>
    <row r="2399" spans="1:4" x14ac:dyDescent="0.3">
      <c r="A2399" s="1" t="str">
        <f>"01001229600"</f>
        <v>01001229600</v>
      </c>
      <c r="B2399" s="1" t="str">
        <f>"CARROLL DAILENE M"</f>
        <v>CARROLL DAILENE M</v>
      </c>
      <c r="C2399" s="1" t="str">
        <f>"252 NASHOBA AVE BUCKINGHAM HTS LOT 95"</f>
        <v>252 NASHOBA AVE BUCKINGHAM HTS LOT 95</v>
      </c>
      <c r="D2399" s="1">
        <v>786.25</v>
      </c>
    </row>
    <row r="2400" spans="1:4" x14ac:dyDescent="0.3">
      <c r="A2400" s="1" t="str">
        <f>"01014313400"</f>
        <v>01014313400</v>
      </c>
      <c r="B2400" s="1" t="str">
        <f>"CARROLL OH HOLDINGS I LLC"</f>
        <v>CARROLL OH HOLDINGS I LLC</v>
      </c>
      <c r="C2400" s="1" t="str">
        <f>"N HIGH ST R18 T1 1/4T3 0.615 ACRE"</f>
        <v>N HIGH ST R18 T1 1/4T3 0.615 ACRE</v>
      </c>
      <c r="D2400" s="1">
        <v>4830</v>
      </c>
    </row>
    <row r="2401" spans="1:4" x14ac:dyDescent="0.3">
      <c r="A2401" s="1" t="str">
        <f>"01006052900"</f>
        <v>01006052900</v>
      </c>
      <c r="B2401" s="1" t="str">
        <f>"CARSON FAYNELLA"</f>
        <v>CARSON FAYNELLA</v>
      </c>
      <c r="C2401" s="1" t="str">
        <f>"21ST AVE WALDEMERE LOT 289"</f>
        <v>21ST AVE WALDEMERE LOT 289</v>
      </c>
      <c r="D2401" s="1">
        <v>531.34</v>
      </c>
    </row>
    <row r="2402" spans="1:4" x14ac:dyDescent="0.3">
      <c r="A2402" s="1" t="str">
        <f>"01010858900"</f>
        <v>01010858900</v>
      </c>
      <c r="B2402" s="1" t="str">
        <f>"CARSON LAFONDA R II"</f>
        <v>CARSON LAFONDA R II</v>
      </c>
      <c r="C2402" s="1" t="str">
        <f>"CHAUNCEY RD LINDALE LOT 150"</f>
        <v>CHAUNCEY RD LINDALE LOT 150</v>
      </c>
      <c r="D2402" s="1">
        <v>1829.68</v>
      </c>
    </row>
    <row r="2403" spans="1:4" x14ac:dyDescent="0.3">
      <c r="A2403" s="1" t="str">
        <f>"01015315000"</f>
        <v>01015315000</v>
      </c>
      <c r="B2403" s="1" t="str">
        <f>"CARSON LAFONDA R II"</f>
        <v>CARSON LAFONDA R II</v>
      </c>
      <c r="C2403" s="1" t="str">
        <f>"DUNNING RD BRITTANY HILLS SEC 2 LOT 197"</f>
        <v>DUNNING RD BRITTANY HILLS SEC 2 LOT 197</v>
      </c>
      <c r="D2403" s="1">
        <v>1208.04</v>
      </c>
    </row>
    <row r="2404" spans="1:4" x14ac:dyDescent="0.3">
      <c r="A2404" s="1" t="str">
        <f>"01010858700"</f>
        <v>01010858700</v>
      </c>
      <c r="B2404" s="1" t="str">
        <f>"CARSON LAFONDA R II"</f>
        <v>CARSON LAFONDA R II</v>
      </c>
      <c r="C2404" s="1" t="str">
        <f>"CHAUNCY RD LINDALE LOT 148"</f>
        <v>CHAUNCY RD LINDALE LOT 148</v>
      </c>
      <c r="D2404" s="1">
        <v>1208.54</v>
      </c>
    </row>
    <row r="2405" spans="1:4" x14ac:dyDescent="0.3">
      <c r="A2405" s="1" t="str">
        <f>"22200263600"</f>
        <v>22200263600</v>
      </c>
      <c r="B2405" s="1" t="str">
        <f>"CARSON LISA M"</f>
        <v>CARSON LISA M</v>
      </c>
      <c r="C2405" s="1" t="str">
        <f>"FERNRIDGE DRIVE HAMPSTED VILLAGE SECTION 11 LOT 468"</f>
        <v>FERNRIDGE DRIVE HAMPSTED VILLAGE SECTION 11 LOT 468</v>
      </c>
      <c r="D2405" s="1">
        <v>1178.95</v>
      </c>
    </row>
    <row r="2406" spans="1:4" x14ac:dyDescent="0.3">
      <c r="A2406" s="1" t="str">
        <f>"13000204800"</f>
        <v>13000204800</v>
      </c>
      <c r="B2406" s="1" t="str">
        <f>"CARSON MICHAEL A"</f>
        <v>CARSON MICHAEL A</v>
      </c>
      <c r="C2406" s="1" t="str">
        <f>"WARD RD N LINDEN 1 415 "</f>
        <v xml:space="preserve">WARD RD N LINDEN 1 415 </v>
      </c>
      <c r="D2406" s="1">
        <v>114.65</v>
      </c>
    </row>
    <row r="2407" spans="1:4" x14ac:dyDescent="0.3">
      <c r="A2407" s="1" t="str">
        <f>"01006371400"</f>
        <v>01006371400</v>
      </c>
      <c r="B2407" s="1" t="str">
        <f>"CARSON MICHAEL ANTHONY"</f>
        <v>CARSON MICHAEL ANTHONY</v>
      </c>
      <c r="C2407" s="1" t="str">
        <f>"1664 ARLINGTON AVE WALDON LOT 4 "</f>
        <v xml:space="preserve">1664 ARLINGTON AVE WALDON LOT 4 </v>
      </c>
      <c r="D2407" s="1">
        <v>72.8</v>
      </c>
    </row>
    <row r="2408" spans="1:4" x14ac:dyDescent="0.3">
      <c r="A2408" s="1" t="str">
        <f>"01016272600"</f>
        <v>01016272600</v>
      </c>
      <c r="B2408" s="1" t="str">
        <f>"CARSON NINA"</f>
        <v>CARSON NINA</v>
      </c>
      <c r="C2408" s="1" t="str">
        <f>"MELLOWBROOK ST WALNUT BLUFF NO 4 LOT 1071"</f>
        <v>MELLOWBROOK ST WALNUT BLUFF NO 4 LOT 1071</v>
      </c>
      <c r="D2408" s="1">
        <v>2909.8</v>
      </c>
    </row>
    <row r="2409" spans="1:4" x14ac:dyDescent="0.3">
      <c r="A2409" s="1" t="str">
        <f>"02500402700"</f>
        <v>02500402700</v>
      </c>
      <c r="B2409" s="1" t="str">
        <f>"CARSTENS RONALD W, CARSTENS NOREEN K"</f>
        <v>CARSTENS RONALD W, CARSTENS NOREEN K</v>
      </c>
      <c r="C2409" s="1" t="str">
        <f>"664 JONSOL CT CLARMAN HEIGHTS 2 LOT 38"</f>
        <v>664 JONSOL CT CLARMAN HEIGHTS 2 LOT 38</v>
      </c>
      <c r="D2409" s="1">
        <v>285.44</v>
      </c>
    </row>
    <row r="2410" spans="1:4" x14ac:dyDescent="0.3">
      <c r="A2410" s="1" t="str">
        <f>"57016514800"</f>
        <v>57016514800</v>
      </c>
      <c r="B2410" s="1" t="str">
        <f>"CARTE DOROTHY L TTEE"</f>
        <v>CARTE DOROTHY L TTEE</v>
      </c>
      <c r="C2410" s="1" t="str">
        <f>"CANDLEBERRY COURT WILLOW CREEK SEC 1 LOT 69"</f>
        <v>CANDLEBERRY COURT WILLOW CREEK SEC 1 LOT 69</v>
      </c>
      <c r="D2410" s="1">
        <v>3367.31</v>
      </c>
    </row>
    <row r="2411" spans="1:4" x14ac:dyDescent="0.3">
      <c r="A2411" s="1" t="str">
        <f>"61018168700"</f>
        <v>61018168700</v>
      </c>
      <c r="B2411" s="1" t="str">
        <f>"CARTER BRIAN ANTHONY JR"</f>
        <v>CARTER BRIAN ANTHONY JR</v>
      </c>
      <c r="C2411" s="1" t="str">
        <f>"TILLICUM DR WESTWORTH VIL SEC 2 LOT 125"</f>
        <v>TILLICUM DR WESTWORTH VIL SEC 2 LOT 125</v>
      </c>
      <c r="D2411" s="1">
        <v>392.74</v>
      </c>
    </row>
    <row r="2412" spans="1:4" x14ac:dyDescent="0.3">
      <c r="A2412" s="1" t="str">
        <f>"01007399300"</f>
        <v>01007399300</v>
      </c>
      <c r="B2412" s="1" t="str">
        <f>"CARTER CATHERINE M"</f>
        <v>CARTER CATHERINE M</v>
      </c>
      <c r="C2412" s="1" t="str">
        <f>"BEULAH RD HOMECROFT LOT 236"</f>
        <v>BEULAH RD HOMECROFT LOT 236</v>
      </c>
      <c r="D2412" s="1">
        <v>909.8</v>
      </c>
    </row>
    <row r="2413" spans="1:4" x14ac:dyDescent="0.3">
      <c r="A2413" s="1" t="str">
        <f>"57021476000"</f>
        <v>57021476000</v>
      </c>
      <c r="B2413" s="1" t="str">
        <f>"CARTER CHARLES W, CARTER DELLA I"</f>
        <v>CARTER CHARLES W, CARTER DELLA I</v>
      </c>
      <c r="C2413" s="1" t="str">
        <f>"CHERRY CREEK PKWY S WESLIEGH SECTION 2 LOT 76"</f>
        <v>CHERRY CREEK PKWY S WESLIEGH SECTION 2 LOT 76</v>
      </c>
      <c r="D2413" s="1">
        <v>1437.55</v>
      </c>
    </row>
    <row r="2414" spans="1:4" x14ac:dyDescent="0.3">
      <c r="A2414" s="1" t="str">
        <f>"01000014200"</f>
        <v>01000014200</v>
      </c>
      <c r="B2414" s="1" t="str">
        <f>"CARTER COLLEEN BYRNE FINLEY, CARTER BRIAN MICHAEL"</f>
        <v>CARTER COLLEEN BYRNE FINLEY, CARTER BRIAN MICHAEL</v>
      </c>
      <c r="C2414" s="1" t="str">
        <f>"1376 N 6TH ST NEW INDIANOLA LOT 315"</f>
        <v>1376 N 6TH ST NEW INDIANOLA LOT 315</v>
      </c>
      <c r="D2414" s="1">
        <v>1710.93</v>
      </c>
    </row>
    <row r="2415" spans="1:4" x14ac:dyDescent="0.3">
      <c r="A2415" s="1" t="str">
        <f>"10000001600"</f>
        <v>10000001600</v>
      </c>
      <c r="B2415" s="1" t="str">
        <f>"CARTER ERIC J"</f>
        <v>CARTER ERIC J</v>
      </c>
      <c r="C2415" s="1" t="str">
        <f>"117 NORTH ST PT LOT 1 CITY OF WORTHINGTON"</f>
        <v>117 NORTH ST PT LOT 1 CITY OF WORTHINGTON</v>
      </c>
      <c r="D2415" s="1">
        <v>21409.33</v>
      </c>
    </row>
    <row r="2416" spans="1:4" x14ac:dyDescent="0.3">
      <c r="A2416" s="1" t="str">
        <f>"16000121900"</f>
        <v>16000121900</v>
      </c>
      <c r="B2416" s="1" t="str">
        <f>"CARTER F JAMES II"</f>
        <v>CARTER F JAMES II</v>
      </c>
      <c r="C2416" s="1" t="str">
        <f>"HYDE RD ENTRY 6835-5745 0.191 ACRE"</f>
        <v>HYDE RD ENTRY 6835-5745 0.191 ACRE</v>
      </c>
      <c r="D2416" s="1">
        <v>2765.28</v>
      </c>
    </row>
    <row r="2417" spans="1:4" x14ac:dyDescent="0.3">
      <c r="A2417" s="1" t="str">
        <f>"01003757300"</f>
        <v>01003757300</v>
      </c>
      <c r="B2417" s="1" t="str">
        <f>"CARTER JAMES L, CARTER PATRICIA"</f>
        <v>CARTER JAMES L, CARTER PATRICIA</v>
      </c>
      <c r="C2417" s="1" t="str">
        <f>"876-78 E CHITTENDEN DOW HRS PT LOTS 57-58"</f>
        <v>876-78 E CHITTENDEN DOW HRS PT LOTS 57-58</v>
      </c>
      <c r="D2417" s="1">
        <v>2137.14</v>
      </c>
    </row>
    <row r="2418" spans="1:4" x14ac:dyDescent="0.3">
      <c r="A2418" s="1" t="str">
        <f>"01003678700"</f>
        <v>01003678700</v>
      </c>
      <c r="B2418" s="1" t="str">
        <f>"CARTER JAMES L, CARTER PATRICIA I"</f>
        <v>CARTER JAMES L, CARTER PATRICIA I</v>
      </c>
      <c r="C2418" s="1" t="str">
        <f>"1846 STRATFORD WAY EAST GATE NO 2 LOT 2 BLK 17"</f>
        <v>1846 STRATFORD WAY EAST GATE NO 2 LOT 2 BLK 17</v>
      </c>
      <c r="D2418" s="1">
        <v>1357.72</v>
      </c>
    </row>
    <row r="2419" spans="1:4" x14ac:dyDescent="0.3">
      <c r="A2419" s="1" t="str">
        <f>"01001004400"</f>
        <v>01001004400</v>
      </c>
      <c r="B2419" s="1" t="str">
        <f>"CARTER JEREMIAH JR"</f>
        <v>CARTER JEREMIAH JR</v>
      </c>
      <c r="C2419" s="1" t="str">
        <f>"150 WHITETHORN AVE D LIVINGSTON LOT 12"</f>
        <v>150 WHITETHORN AVE D LIVINGSTON LOT 12</v>
      </c>
      <c r="D2419" s="1">
        <v>330.77</v>
      </c>
    </row>
    <row r="2420" spans="1:4" x14ac:dyDescent="0.3">
      <c r="A2420" s="1" t="str">
        <f>"01004789500"</f>
        <v>01004789500</v>
      </c>
      <c r="B2420" s="1" t="str">
        <f>"CARTER JOSEPH L, CARTER BETTY J"</f>
        <v>CARTER JOSEPH L, CARTER BETTY J</v>
      </c>
      <c r="C2420" s="1" t="str">
        <f>"981 WILSON AUBURNDALE LOT 218"</f>
        <v>981 WILSON AUBURNDALE LOT 218</v>
      </c>
      <c r="D2420" s="1">
        <v>523.13</v>
      </c>
    </row>
    <row r="2421" spans="1:4" x14ac:dyDescent="0.3">
      <c r="A2421" s="1" t="str">
        <f>"01010853000"</f>
        <v>01010853000</v>
      </c>
      <c r="B2421" s="1" t="str">
        <f>"CARTER LESLIE"</f>
        <v>CARTER LESLIE</v>
      </c>
      <c r="C2421" s="1" t="str">
        <f>"DELBERT RD LINDALE LOT 91"</f>
        <v>DELBERT RD LINDALE LOT 91</v>
      </c>
      <c r="D2421" s="1">
        <v>289.91000000000003</v>
      </c>
    </row>
    <row r="2422" spans="1:4" x14ac:dyDescent="0.3">
      <c r="A2422" s="1" t="str">
        <f>"61020672300"</f>
        <v>61020672300</v>
      </c>
      <c r="B2422" s="1" t="str">
        <f>"CARTER ROBERT T, SEEGER DEANNA"</f>
        <v>CARTER ROBERT T, SEEGER DEANNA</v>
      </c>
      <c r="C2422" s="1" t="str">
        <f>"SNOHOMISH AVENUE WORTHINGTON TRACE LOT 29"</f>
        <v>SNOHOMISH AVENUE WORTHINGTON TRACE LOT 29</v>
      </c>
      <c r="D2422" s="1">
        <v>3205.61</v>
      </c>
    </row>
    <row r="2423" spans="1:4" x14ac:dyDescent="0.3">
      <c r="A2423" s="1" t="str">
        <f>"01001004500"</f>
        <v>01001004500</v>
      </c>
      <c r="B2423" s="1" t="str">
        <f>"CARTER SAMUEL JR, ROJAS ROMIE, CARTER CATHERINE, BEASLEY BETTY, CARTER RICHARD, CURRY ANNIE M, CALLOWAY WILLA M, CARTER NATHANIEL, CARTER JEREMIAH, BURTON RUBY"</f>
        <v>CARTER SAMUEL JR, ROJAS ROMIE, CARTER CATHERINE, BEASLEY BETTY, CARTER RICHARD, CURRY ANNIE M, CALLOWAY WILLA M, CARTER NATHANIEL, CARTER JEREMIAH, BURTON RUBY</v>
      </c>
      <c r="C2423" s="1" t="str">
        <f>"154 WHITETHORN AVE D LIVINGSTON LOT 13"</f>
        <v>154 WHITETHORN AVE D LIVINGSTON LOT 13</v>
      </c>
      <c r="D2423" s="1">
        <v>2021.86</v>
      </c>
    </row>
    <row r="2424" spans="1:4" x14ac:dyDescent="0.3">
      <c r="A2424" s="1" t="str">
        <f>"01013599000"</f>
        <v>01013599000</v>
      </c>
      <c r="B2424" s="1" t="str">
        <f>"CARTER TASHIA L"</f>
        <v>CARTER TASHIA L</v>
      </c>
      <c r="C2424" s="1" t="str">
        <f>"BOTSFORD DR WALNUT BLUFF 2 LOT 491"</f>
        <v>BOTSFORD DR WALNUT BLUFF 2 LOT 491</v>
      </c>
      <c r="D2424" s="1">
        <v>1496.08</v>
      </c>
    </row>
    <row r="2425" spans="1:4" x14ac:dyDescent="0.3">
      <c r="A2425" s="1" t="str">
        <f>"01004289000"</f>
        <v>01004289000</v>
      </c>
      <c r="B2425" s="1" t="str">
        <f>"CARTER VICTORIA S, CARTER JAMIE A"</f>
        <v>CARTER VICTORIA S, CARTER JAMIE A</v>
      </c>
      <c r="C2425" s="1" t="str">
        <f>"478 OAKWOOD AVE EVANS HRS OAKWOOD AV LOT 6"</f>
        <v>478 OAKWOOD AVE EVANS HRS OAKWOOD AV LOT 6</v>
      </c>
      <c r="D2425" s="1">
        <v>3408.89</v>
      </c>
    </row>
    <row r="2426" spans="1:4" x14ac:dyDescent="0.3">
      <c r="A2426" s="1" t="str">
        <f>"03000197400"</f>
        <v>03000197400</v>
      </c>
      <c r="B2426" s="1" t="str">
        <f>"CARTWRIGHT JONNA ADAMS, CARTWRIGHT ROBERT SULANKE"</f>
        <v>CARTWRIGHT JONNA ADAMS, CARTWRIGHT ROBERT SULANKE</v>
      </c>
      <c r="C2426" s="1" t="str">
        <f>"1318 ASHLAND AVE LOT 116 URLIN GRANDVIEW HTS"</f>
        <v>1318 ASHLAND AVE LOT 116 URLIN GRANDVIEW HTS</v>
      </c>
      <c r="D2426" s="1">
        <v>441.38</v>
      </c>
    </row>
    <row r="2427" spans="1:4" x14ac:dyDescent="0.3">
      <c r="A2427" s="1" t="str">
        <f>"27300689400"</f>
        <v>27300689400</v>
      </c>
      <c r="B2427" s="1" t="str">
        <f>"CARUSILLO JOHN, CARUSILLO NATALIE"</f>
        <v>CARUSILLO JOHN, CARUSILLO NATALIE</v>
      </c>
      <c r="C2427" s="1" t="str">
        <f>"HOLYWELL DR DUBLINSHIRE SEC5 PH1 LOT 419"</f>
        <v>HOLYWELL DR DUBLINSHIRE SEC5 PH1 LOT 419</v>
      </c>
      <c r="D2427" s="1">
        <v>531.6</v>
      </c>
    </row>
    <row r="2428" spans="1:4" x14ac:dyDescent="0.3">
      <c r="A2428" s="1" t="str">
        <f>"10000138500"</f>
        <v>10000138500</v>
      </c>
      <c r="B2428" s="1" t="str">
        <f>"CARUSO JONATHAN E AFDT"</f>
        <v>CARUSO JONATHAN E AFDT</v>
      </c>
      <c r="C2428" s="1" t="str">
        <f>"273 COLONIAL AVE COLONIAL HILLS 2 RES B LOTS 133 134"</f>
        <v>273 COLONIAL AVE COLONIAL HILLS 2 RES B LOTS 133 134</v>
      </c>
      <c r="D2428" s="1">
        <v>3859.67</v>
      </c>
    </row>
    <row r="2429" spans="1:4" x14ac:dyDescent="0.3">
      <c r="A2429" s="1" t="str">
        <f>"01028464000"</f>
        <v>01028464000</v>
      </c>
      <c r="B2429" s="1" t="str">
        <f>"CARUTHERS MACKENZIE S"</f>
        <v>CARUTHERS MACKENZIE S</v>
      </c>
      <c r="C2429" s="1" t="str">
        <f>"THE FALLS AT HAYDEN RUN   CONDOMINIUM 8TH AMD       BLDG 50 UNIT 50-5300     "</f>
        <v xml:space="preserve">THE FALLS AT HAYDEN RUN   CONDOMINIUM 8TH AMD       BLDG 50 UNIT 50-5300     </v>
      </c>
      <c r="D2429" s="1">
        <v>190.36</v>
      </c>
    </row>
    <row r="2430" spans="1:4" x14ac:dyDescent="0.3">
      <c r="A2430" s="1" t="str">
        <f>"01009887800"</f>
        <v>01009887800</v>
      </c>
      <c r="B2430" s="1" t="str">
        <f>"CARVER ALICE B"</f>
        <v>CARVER ALICE B</v>
      </c>
      <c r="C2430" s="1" t="str">
        <f>"CORDELL AVE DUXBERRY PARK LOT 230"</f>
        <v>CORDELL AVE DUXBERRY PARK LOT 230</v>
      </c>
      <c r="D2430" s="1">
        <v>1621.76</v>
      </c>
    </row>
    <row r="2431" spans="1:4" x14ac:dyDescent="0.3">
      <c r="A2431" s="1" t="str">
        <f>"01009888000"</f>
        <v>01009888000</v>
      </c>
      <c r="B2431" s="1" t="str">
        <f>"CARVER ALICE B"</f>
        <v>CARVER ALICE B</v>
      </c>
      <c r="C2431" s="1" t="str">
        <f>"CORDELL AVENUE DUXBERRY PARK ADD LOT 232 (40' X 120')"</f>
        <v>CORDELL AVENUE DUXBERRY PARK ADD LOT 232 (40' X 120')</v>
      </c>
      <c r="D2431" s="1">
        <v>200.72</v>
      </c>
    </row>
    <row r="2432" spans="1:4" x14ac:dyDescent="0.3">
      <c r="A2432" s="1" t="str">
        <f>"01009887900"</f>
        <v>01009887900</v>
      </c>
      <c r="B2432" s="1" t="str">
        <f>"CARVER ALICE B, MARCUM FLEM S"</f>
        <v>CARVER ALICE B, MARCUM FLEM S</v>
      </c>
      <c r="C2432" s="1" t="str">
        <f>"CORDELL AVE DUXBERRY PARK LOT 231"</f>
        <v>CORDELL AVE DUXBERRY PARK LOT 231</v>
      </c>
      <c r="D2432" s="1">
        <v>200.72</v>
      </c>
    </row>
    <row r="2433" spans="1:4" x14ac:dyDescent="0.3">
      <c r="A2433" s="1" t="str">
        <f>"01027650200"</f>
        <v>01027650200</v>
      </c>
      <c r="B2433" s="1" t="str">
        <f>"CARY KEVIN E"</f>
        <v>CARY KEVIN E</v>
      </c>
      <c r="C2433" s="1" t="str">
        <f>"SIXTY SPRING              CONDOMINIUMS              UNIT 317                 "</f>
        <v xml:space="preserve">SIXTY SPRING              CONDOMINIUMS              UNIT 317                 </v>
      </c>
      <c r="D2433" s="1">
        <v>3041.28</v>
      </c>
    </row>
    <row r="2434" spans="1:4" x14ac:dyDescent="0.3">
      <c r="A2434" s="1" t="str">
        <f>"11000054700"</f>
        <v>11000054700</v>
      </c>
      <c r="B2434" s="1" t="str">
        <f>"CASA-SKANI PROPERTIES LLC"</f>
        <v>CASA-SKANI PROPERTIES LLC</v>
      </c>
      <c r="C2434" s="1" t="str">
        <f>"ABINGTON RD CLEVELAND HGTS 38 "</f>
        <v xml:space="preserve">ABINGTON RD CLEVELAND HGTS 38 </v>
      </c>
      <c r="D2434" s="1">
        <v>4.1500000000000004</v>
      </c>
    </row>
    <row r="2435" spans="1:4" x14ac:dyDescent="0.3">
      <c r="A2435" s="1" t="str">
        <f>"11000015300"</f>
        <v>11000015300</v>
      </c>
      <c r="B2435" s="1" t="str">
        <f>"CASA-SKANI PROPERTIES LLC"</f>
        <v>CASA-SKANI PROPERTIES LLC</v>
      </c>
      <c r="C2435" s="1" t="str">
        <f>"ABINGTON RD CLEVELAND HGTS LOT 37"</f>
        <v>ABINGTON RD CLEVELAND HGTS LOT 37</v>
      </c>
      <c r="D2435" s="1">
        <v>4.1500000000000004</v>
      </c>
    </row>
    <row r="2436" spans="1:4" x14ac:dyDescent="0.3">
      <c r="A2436" s="1" t="str">
        <f>"11000252000"</f>
        <v>11000252000</v>
      </c>
      <c r="B2436" s="1" t="str">
        <f>"CASA-SKANI PROPERTIES LLC"</f>
        <v>CASA-SKANI PROPERTIES LLC</v>
      </c>
      <c r="C2436" s="1" t="str">
        <f>"CLARIDON RD CLEVELAND HTS 2 LOT 292 &amp; E 1/2 293"</f>
        <v>CLARIDON RD CLEVELAND HTS 2 LOT 292 &amp; E 1/2 293</v>
      </c>
      <c r="D2436" s="1">
        <v>46.95</v>
      </c>
    </row>
    <row r="2437" spans="1:4" x14ac:dyDescent="0.3">
      <c r="A2437" s="1" t="str">
        <f>"11000252200"</f>
        <v>11000252200</v>
      </c>
      <c r="B2437" s="1" t="str">
        <f>"CASA-SKANI PROPERTIES LLC"</f>
        <v>CASA-SKANI PROPERTIES LLC</v>
      </c>
      <c r="C2437" s="1" t="str">
        <f>"CLARIDON RD CLEVELAND HTS 2 LOT 294 &amp; W 1/2 293"</f>
        <v>CLARIDON RD CLEVELAND HTS 2 LOT 294 &amp; W 1/2 293</v>
      </c>
      <c r="D2437" s="1">
        <v>46.95</v>
      </c>
    </row>
    <row r="2438" spans="1:4" x14ac:dyDescent="0.3">
      <c r="A2438" s="1" t="str">
        <f>"07000216100"</f>
        <v>07000216100</v>
      </c>
      <c r="B2438" s="1" t="str">
        <f>"CASE ALAN L TR, CASE LINDA M TR"</f>
        <v>CASE ALAN L TR, CASE LINDA M TR</v>
      </c>
      <c r="C2438" s="1" t="str">
        <f>"2608 WESTMONT BLVD &amp; ALLEY VAC COLLEGE HILL LOT 26"</f>
        <v>2608 WESTMONT BLVD &amp; ALLEY VAC COLLEGE HILL LOT 26</v>
      </c>
      <c r="D2438" s="1">
        <v>55</v>
      </c>
    </row>
    <row r="2439" spans="1:4" x14ac:dyDescent="0.3">
      <c r="A2439" s="1" t="str">
        <f>"01009123000"</f>
        <v>01009123000</v>
      </c>
      <c r="B2439" s="1" t="str">
        <f>"CASE ICONICHE LLC"</f>
        <v>CASE ICONICHE LLC</v>
      </c>
      <c r="C2439" s="1" t="str">
        <f>"JAMES RD EASTHAMPTON LOT 6"</f>
        <v>JAMES RD EASTHAMPTON LOT 6</v>
      </c>
      <c r="D2439" s="1">
        <v>1683.65</v>
      </c>
    </row>
    <row r="2440" spans="1:4" x14ac:dyDescent="0.3">
      <c r="A2440" s="1" t="str">
        <f>"01008451200"</f>
        <v>01008451200</v>
      </c>
      <c r="B2440" s="1" t="str">
        <f>"CASELL LARRY J"</f>
        <v>CASELL LARRY J</v>
      </c>
      <c r="C2440" s="1" t="str">
        <f>"BEAUMONT RD HIGHLAND GARDENS LOT 62"</f>
        <v>BEAUMONT RD HIGHLAND GARDENS LOT 62</v>
      </c>
      <c r="D2440" s="1">
        <v>3086.22</v>
      </c>
    </row>
    <row r="2441" spans="1:4" x14ac:dyDescent="0.3">
      <c r="A2441" s="1" t="str">
        <f>"01005114600"</f>
        <v>01005114600</v>
      </c>
      <c r="B2441" s="1" t="str">
        <f>"CASLER JULIETA M"</f>
        <v>CASLER JULIETA M</v>
      </c>
      <c r="C2441" s="1" t="str">
        <f>"389 S RICHARDSON AVE THORPE BROS BRONX LOT 126"</f>
        <v>389 S RICHARDSON AVE THORPE BROS BRONX LOT 126</v>
      </c>
      <c r="D2441" s="1">
        <v>776.72</v>
      </c>
    </row>
    <row r="2442" spans="1:4" x14ac:dyDescent="0.3">
      <c r="A2442" s="1" t="str">
        <f>"01014316100"</f>
        <v>01014316100</v>
      </c>
      <c r="B2442" s="1" t="str">
        <f>"CASON SHIRLEY P"</f>
        <v>CASON SHIRLEY P</v>
      </c>
      <c r="C2442" s="1" t="str">
        <f>"3661 MONTCLAIR DR BRUNSWICK ESTATES 3 L 42"</f>
        <v>3661 MONTCLAIR DR BRUNSWICK ESTATES 3 L 42</v>
      </c>
      <c r="D2442" s="1">
        <v>4770.83</v>
      </c>
    </row>
    <row r="2443" spans="1:4" x14ac:dyDescent="0.3">
      <c r="A2443" s="1" t="str">
        <f>"01026307500"</f>
        <v>01026307500</v>
      </c>
      <c r="B2443" s="1" t="str">
        <f>"CASSADY RETAIL VENTURES LTD"</f>
        <v>CASSADY RETAIL VENTURES LTD</v>
      </c>
      <c r="C2443" s="1" t="str">
        <f>"CASSADY AVE R17 T1 1/4T3 LOT 3 5.043 ACRES"</f>
        <v>CASSADY AVE R17 T1 1/4T3 LOT 3 5.043 ACRES</v>
      </c>
      <c r="D2443" s="1">
        <v>42622.63</v>
      </c>
    </row>
    <row r="2444" spans="1:4" x14ac:dyDescent="0.3">
      <c r="A2444" s="1" t="str">
        <f>"01013322900"</f>
        <v>01013322900</v>
      </c>
      <c r="B2444" s="1" t="str">
        <f>"CASSEL NANCY A"</f>
        <v>CASSEL NANCY A</v>
      </c>
      <c r="C2444" s="1" t="str">
        <f>"DOWNING DR WALNUT BLUFF 1 LOT 374"</f>
        <v>DOWNING DR WALNUT BLUFF 1 LOT 374</v>
      </c>
      <c r="D2444" s="1">
        <v>3480.1</v>
      </c>
    </row>
    <row r="2445" spans="1:4" x14ac:dyDescent="0.3">
      <c r="A2445" s="1" t="str">
        <f>"01010803200"</f>
        <v>01010803200</v>
      </c>
      <c r="B2445" s="1" t="str">
        <f>"CASSELL INVESTMENT GROUP LLC"</f>
        <v>CASSELL INVESTMENT GROUP LLC</v>
      </c>
      <c r="C2445" s="1" t="str">
        <f>"1565 BETHEL RD GABLES SOUTH 0.727 ACRES RES B"</f>
        <v>1565 BETHEL RD GABLES SOUTH 0.727 ACRES RES B</v>
      </c>
      <c r="D2445" s="1">
        <v>988.12</v>
      </c>
    </row>
    <row r="2446" spans="1:4" x14ac:dyDescent="0.3">
      <c r="A2446" s="1" t="str">
        <f>"01005898700"</f>
        <v>01005898700</v>
      </c>
      <c r="B2446" s="1" t="str">
        <f>"CASSELL LARRY J, CASSELL BARBARA A"</f>
        <v>CASSELL LARRY J, CASSELL BARBARA A</v>
      </c>
      <c r="C2446" s="1" t="str">
        <f>"OLENTANGY BLVD 150 FT E E NORTHMOOR LOT 301"</f>
        <v>OLENTANGY BLVD 150 FT E E NORTHMOOR LOT 301</v>
      </c>
      <c r="D2446" s="1">
        <v>3697.95</v>
      </c>
    </row>
    <row r="2447" spans="1:4" x14ac:dyDescent="0.3">
      <c r="A2447" s="1" t="str">
        <f>"01009381900"</f>
        <v>01009381900</v>
      </c>
      <c r="B2447" s="1" t="str">
        <f>"CASSIDY VIELKA E"</f>
        <v>CASSIDY VIELKA E</v>
      </c>
      <c r="C2447" s="1" t="str">
        <f>"HOMECROFT DR OAK PARK 5 LOT 47"</f>
        <v>HOMECROFT DR OAK PARK 5 LOT 47</v>
      </c>
      <c r="D2447" s="1">
        <v>1490.58</v>
      </c>
    </row>
    <row r="2448" spans="1:4" x14ac:dyDescent="0.3">
      <c r="A2448" s="1" t="str">
        <f>"01012328100"</f>
        <v>01012328100</v>
      </c>
      <c r="B2448" s="1" t="str">
        <f>"CASTANEDA HUGO, CASTANEDA LIDIA"</f>
        <v>CASTANEDA HUGO, CASTANEDA LIDIA</v>
      </c>
      <c r="C2448" s="1" t="str">
        <f>"SIDWAY AVE PINECREST 4 LOT 608"</f>
        <v>SIDWAY AVE PINECREST 4 LOT 608</v>
      </c>
      <c r="D2448" s="1">
        <v>160.35</v>
      </c>
    </row>
    <row r="2449" spans="1:4" x14ac:dyDescent="0.3">
      <c r="A2449" s="1" t="str">
        <f>"01016268600"</f>
        <v>01016268600</v>
      </c>
      <c r="B2449" s="1" t="str">
        <f>"CASTANEDA JULIO"</f>
        <v>CASTANEDA JULIO</v>
      </c>
      <c r="C2449" s="1" t="str">
        <f>"MELLOWBROOK STREET WALNUT BLUFF NO 4 LOT 1031"</f>
        <v>MELLOWBROOK STREET WALNUT BLUFF NO 4 LOT 1031</v>
      </c>
      <c r="D2449" s="1">
        <v>1322.7</v>
      </c>
    </row>
    <row r="2450" spans="1:4" x14ac:dyDescent="0.3">
      <c r="A2450" s="1" t="str">
        <f>"09000595500"</f>
        <v>09000595500</v>
      </c>
      <c r="B2450" s="1" t="str">
        <f>"CASTANEDA MANUEL"</f>
        <v>CASTANEDA MANUEL</v>
      </c>
      <c r="C2450" s="1" t="str">
        <f>"4356 BROADHURST DR WHITEHALL PARK 55 "</f>
        <v xml:space="preserve">4356 BROADHURST DR WHITEHALL PARK 55 </v>
      </c>
      <c r="D2450" s="1">
        <v>1432.98</v>
      </c>
    </row>
    <row r="2451" spans="1:4" x14ac:dyDescent="0.3">
      <c r="A2451" s="1" t="str">
        <f>"01010065000"</f>
        <v>01010065000</v>
      </c>
      <c r="B2451" s="1" t="str">
        <f>"CASTANEDA PEREZ HUGO A"</f>
        <v>CASTANEDA PEREZ HUGO A</v>
      </c>
      <c r="C2451" s="1" t="str">
        <f>"ASTOR AVE LIVINGSTON GARDENS LOT 83"</f>
        <v>ASTOR AVE LIVINGSTON GARDENS LOT 83</v>
      </c>
      <c r="D2451" s="1">
        <v>1604.97</v>
      </c>
    </row>
    <row r="2452" spans="1:4" x14ac:dyDescent="0.3">
      <c r="A2452" s="1" t="str">
        <f>"56021317700"</f>
        <v>56021317700</v>
      </c>
      <c r="B2452" s="1" t="str">
        <f>"CASTEEL DAWN H"</f>
        <v>CASTEEL DAWN H</v>
      </c>
      <c r="C2452" s="1" t="str">
        <f>"HIDDEN VIEW DRIVE OAK RUN SECTION 1 LOT 60"</f>
        <v>HIDDEN VIEW DRIVE OAK RUN SECTION 1 LOT 60</v>
      </c>
      <c r="D2452" s="1">
        <v>3269.15</v>
      </c>
    </row>
    <row r="2453" spans="1:4" x14ac:dyDescent="0.3">
      <c r="A2453" s="1" t="str">
        <f>"24000167800"</f>
        <v>24000167800</v>
      </c>
      <c r="B2453" s="1" t="str">
        <f>"CASTILLA HERNANDEZ ALEXIS M, A GARCIA MARTINEZ RUDY"</f>
        <v>CASTILLA HERNANDEZ ALEXIS M, A GARCIA MARTINEZ RUDY</v>
      </c>
      <c r="C2453" s="1" t="str">
        <f>"6524 W BROAD ST 108FT S E 33 "</f>
        <v xml:space="preserve">6524 W BROAD ST 108FT S E 33 </v>
      </c>
      <c r="D2453" s="1">
        <v>2848.37</v>
      </c>
    </row>
    <row r="2454" spans="1:4" x14ac:dyDescent="0.3">
      <c r="A2454" s="1" t="str">
        <f>"01004382800"</f>
        <v>01004382800</v>
      </c>
      <c r="B2454" s="1" t="str">
        <f>"CASTILLO PABLO"</f>
        <v>CASTILLO PABLO</v>
      </c>
      <c r="C2454" s="1" t="str">
        <f>"200 N BURGESS AVE HILL CREST LOT 285"</f>
        <v>200 N BURGESS AVE HILL CREST LOT 285</v>
      </c>
      <c r="D2454" s="1">
        <v>609.59</v>
      </c>
    </row>
    <row r="2455" spans="1:4" x14ac:dyDescent="0.3">
      <c r="A2455" s="1" t="str">
        <f>"01007568600"</f>
        <v>01007568600</v>
      </c>
      <c r="B2455" s="1" t="str">
        <f>"CASTILLO RAMIREZ DIANA"</f>
        <v>CASTILLO RAMIREZ DIANA</v>
      </c>
      <c r="C2455" s="1" t="str">
        <f>"2956 MEDINA AVE LINDEN GARDENS N 1/2 LOT 54"</f>
        <v>2956 MEDINA AVE LINDEN GARDENS N 1/2 LOT 54</v>
      </c>
      <c r="D2455" s="1">
        <v>3092.95</v>
      </c>
    </row>
    <row r="2456" spans="1:4" x14ac:dyDescent="0.3">
      <c r="A2456" s="1" t="str">
        <f>"56017559100"</f>
        <v>56017559100</v>
      </c>
      <c r="B2456" s="1" t="str">
        <f>"CASTILLO RENE F, REYES-GOMEZ BRENDA ISABEL"</f>
        <v>CASTILLO RENE F, REYES-GOMEZ BRENDA ISABEL</v>
      </c>
      <c r="C2456" s="1" t="str">
        <f>"CYPRESS CREEK DR GOLFVIEW WOODS SEC 1 LOT 51"</f>
        <v>CYPRESS CREEK DR GOLFVIEW WOODS SEC 1 LOT 51</v>
      </c>
      <c r="D2456" s="1">
        <v>7238.89</v>
      </c>
    </row>
    <row r="2457" spans="1:4" x14ac:dyDescent="0.3">
      <c r="A2457" s="1" t="str">
        <f>"01012219800"</f>
        <v>01012219800</v>
      </c>
      <c r="B2457" s="1" t="str">
        <f>"CASTLE AMANDA"</f>
        <v>CASTLE AMANDA</v>
      </c>
      <c r="C2457" s="1" t="str">
        <f>"SEXTON DR GEORGIAN HTS LOT 72"</f>
        <v>SEXTON DR GEORGIAN HTS LOT 72</v>
      </c>
      <c r="D2457" s="1">
        <v>825.96</v>
      </c>
    </row>
    <row r="2458" spans="1:4" x14ac:dyDescent="0.3">
      <c r="A2458" s="1" t="str">
        <f>"26000018400"</f>
        <v>26000018400</v>
      </c>
      <c r="B2458" s="1" t="str">
        <f>"CASTLE JOHN C, CASTLE LISA A"</f>
        <v>CASTLE JOHN C, CASTLE LISA A</v>
      </c>
      <c r="C2458" s="1" t="str">
        <f>"FLEET RD QUALSTAN EAST 327 "</f>
        <v xml:space="preserve">FLEET RD QUALSTAN EAST 327 </v>
      </c>
      <c r="D2458" s="1">
        <v>1577.51</v>
      </c>
    </row>
    <row r="2459" spans="1:4" x14ac:dyDescent="0.3">
      <c r="A2459" s="1" t="str">
        <f>"23000126100"</f>
        <v>23000126100</v>
      </c>
      <c r="B2459" s="1" t="str">
        <f>"CASTLEBERRY DANIEL J II"</f>
        <v>CASTLEBERRY DANIEL J II</v>
      </c>
      <c r="C2459" s="1" t="str">
        <f>"OHIO ST J L MOORE LOT 99-100"</f>
        <v>OHIO ST J L MOORE LOT 99-100</v>
      </c>
      <c r="D2459" s="1">
        <v>881.87</v>
      </c>
    </row>
    <row r="2460" spans="1:4" x14ac:dyDescent="0.3">
      <c r="A2460" s="1" t="str">
        <f>"23000126200"</f>
        <v>23000126200</v>
      </c>
      <c r="B2460" s="1" t="str">
        <f>"CASTLEBERRY DANIEL J II"</f>
        <v>CASTLEBERRY DANIEL J II</v>
      </c>
      <c r="C2460" s="1" t="str">
        <f>"OHIO ST J L MOORE LOT 61"</f>
        <v>OHIO ST J L MOORE LOT 61</v>
      </c>
      <c r="D2460" s="1">
        <v>440.01</v>
      </c>
    </row>
    <row r="2461" spans="1:4" x14ac:dyDescent="0.3">
      <c r="A2461" s="1" t="str">
        <f>"01007089200"</f>
        <v>01007089200</v>
      </c>
      <c r="B2461" s="1" t="str">
        <f>"CASTRO DANIEL"</f>
        <v>CASTRO DANIEL</v>
      </c>
      <c r="C2461" s="1" t="str">
        <f>"MUL-BUR HTS AMD LOT 124-125 "</f>
        <v xml:space="preserve">MUL-BUR HTS AMD LOT 124-125 </v>
      </c>
      <c r="D2461" s="1">
        <v>929.25</v>
      </c>
    </row>
    <row r="2462" spans="1:4" x14ac:dyDescent="0.3">
      <c r="A2462" s="1" t="str">
        <f>"01004388200"</f>
        <v>01004388200</v>
      </c>
      <c r="B2462" s="1" t="str">
        <f>"CASTRO DANIEL"</f>
        <v>CASTRO DANIEL</v>
      </c>
      <c r="C2462" s="1" t="str">
        <f>"27 N POWEL AVE HILLTOP 158"</f>
        <v>27 N POWEL AVE HILLTOP 158</v>
      </c>
      <c r="D2462" s="1">
        <v>1823.26</v>
      </c>
    </row>
    <row r="2463" spans="1:4" x14ac:dyDescent="0.3">
      <c r="A2463" s="1" t="str">
        <f>"09000444500"</f>
        <v>09000444500</v>
      </c>
      <c r="B2463" s="1" t="str">
        <f>"CASTRO DANIEL A, MORILLO AUSTRIA E"</f>
        <v>CASTRO DANIEL A, MORILLO AUSTRIA E</v>
      </c>
      <c r="C2463" s="1" t="str">
        <f>"1013 WESTPHAL BERNHARDS 2ND LT208 210,10'NS L212&amp;PT AL"</f>
        <v>1013 WESTPHAL BERNHARDS 2ND LT208 210,10'NS L212&amp;PT AL</v>
      </c>
      <c r="D2463" s="1">
        <v>2066.65</v>
      </c>
    </row>
    <row r="2464" spans="1:4" x14ac:dyDescent="0.3">
      <c r="A2464" s="1" t="str">
        <f>"01005937400"</f>
        <v>01005937400</v>
      </c>
      <c r="B2464" s="1" t="str">
        <f>"CASTRO NELSON"</f>
        <v>CASTRO NELSON</v>
      </c>
      <c r="C2464" s="1" t="str">
        <f>"1521 MANCHESTER AVE LINDEN LOT 260"</f>
        <v>1521 MANCHESTER AVE LINDEN LOT 260</v>
      </c>
      <c r="D2464" s="1">
        <v>2752.62</v>
      </c>
    </row>
    <row r="2465" spans="1:4" x14ac:dyDescent="0.3">
      <c r="A2465" s="1" t="str">
        <f>"01004089800"</f>
        <v>01004089800</v>
      </c>
      <c r="B2465" s="1" t="str">
        <f>"CASTRO NELSON"</f>
        <v>CASTRO NELSON</v>
      </c>
      <c r="C2465" s="1" t="str">
        <f>"334 S WARREN WICKLOW LOT 324"</f>
        <v>334 S WARREN WICKLOW LOT 324</v>
      </c>
      <c r="D2465" s="1">
        <v>1495.96</v>
      </c>
    </row>
    <row r="2466" spans="1:4" x14ac:dyDescent="0.3">
      <c r="A2466" s="1" t="str">
        <f>"01002134100"</f>
        <v>01002134100</v>
      </c>
      <c r="B2466" s="1" t="str">
        <f>"CASTRO NELSON"</f>
        <v>CASTRO NELSON</v>
      </c>
      <c r="C2466" s="1" t="str">
        <f>"867 TAYLOR AVE LEONARDS 1ST LOT 1"</f>
        <v>867 TAYLOR AVE LEONARDS 1ST LOT 1</v>
      </c>
      <c r="D2466" s="1">
        <v>3415.61</v>
      </c>
    </row>
    <row r="2467" spans="1:4" x14ac:dyDescent="0.3">
      <c r="A2467" s="1" t="str">
        <f>"07001313200"</f>
        <v>07001313200</v>
      </c>
      <c r="B2467" s="1" t="str">
        <f>"CASTRO ZUNIGA SEBASTIAN, ARAYA RODRIGUEZ ANA LUCIA"</f>
        <v>CASTRO ZUNIGA SEBASTIAN, ARAYA RODRIGUEZ ANA LUCIA</v>
      </c>
      <c r="C2467" s="1" t="str">
        <f>"ARLINGATE COND BL 3 UNIT 1717 "</f>
        <v xml:space="preserve">ARLINGATE COND BL 3 UNIT 1717 </v>
      </c>
      <c r="D2467" s="1">
        <v>198.86</v>
      </c>
    </row>
    <row r="2468" spans="1:4" x14ac:dyDescent="0.3">
      <c r="A2468" s="1" t="str">
        <f>"53017217400"</f>
        <v>53017217400</v>
      </c>
      <c r="B2468" s="1" t="str">
        <f>"CASTRUITA JESUS J, CASTRUITA CAROLE M"</f>
        <v>CASTRUITA JESUS J, CASTRUITA CAROLE M</v>
      </c>
      <c r="C2468" s="1" t="str">
        <f>"STONEY GLENN CT COUNTRYVIEW VLLG 1 LOT 34"</f>
        <v>STONEY GLENN CT COUNTRYVIEW VLLG 1 LOT 34</v>
      </c>
      <c r="D2468" s="1">
        <v>4670.8</v>
      </c>
    </row>
    <row r="2469" spans="1:4" x14ac:dyDescent="0.3">
      <c r="A2469" s="1" t="str">
        <f>"27400076400"</f>
        <v>27400076400</v>
      </c>
      <c r="B2469" s="1" t="str">
        <f>"CATAPANO ANDREW F"</f>
        <v>CATAPANO ANDREW F</v>
      </c>
      <c r="C2469" s="1" t="str">
        <f>"CRAMERS CROSSING VILLAGE CONDOMINIUM BLDG 4 UNIT 4-D"</f>
        <v>CRAMERS CROSSING VILLAGE CONDOMINIUM BLDG 4 UNIT 4-D</v>
      </c>
      <c r="D2469" s="1">
        <v>3475.31</v>
      </c>
    </row>
    <row r="2470" spans="1:4" x14ac:dyDescent="0.3">
      <c r="A2470" s="1" t="str">
        <f>"59019966700"</f>
        <v>59019966700</v>
      </c>
      <c r="B2470" s="1" t="str">
        <f>"CATLETT DEBORAH C TR, COLIN BETSY C TR"</f>
        <v>CATLETT DEBORAH C TR, COLIN BETSY C TR</v>
      </c>
      <c r="C2470" s="1" t="str">
        <f>"5249 BRANDY OAKS DR BRANDY OAKS CONDO UNIT 5249 BLDG 10"</f>
        <v>5249 BRANDY OAKS DR BRANDY OAKS CONDO UNIT 5249 BLDG 10</v>
      </c>
      <c r="D2470" s="1">
        <v>1406.86</v>
      </c>
    </row>
    <row r="2471" spans="1:4" x14ac:dyDescent="0.3">
      <c r="A2471" s="1" t="str">
        <f>"01001222600"</f>
        <v>01001222600</v>
      </c>
      <c r="B2471" s="1" t="str">
        <f>"CATLING WILLIAM II, CATLING EPIPHANY K"</f>
        <v>CATLING WILLIAM II, CATLING EPIPHANY K</v>
      </c>
      <c r="C2471" s="1" t="str">
        <f>"324 COLUMBIAN AVE BUCKINGHAM HTS LOT 25"</f>
        <v>324 COLUMBIAN AVE BUCKINGHAM HTS LOT 25</v>
      </c>
      <c r="D2471" s="1">
        <v>910.5</v>
      </c>
    </row>
    <row r="2472" spans="1:4" x14ac:dyDescent="0.3">
      <c r="A2472" s="1" t="str">
        <f>"01011539700"</f>
        <v>01011539700</v>
      </c>
      <c r="B2472" s="1" t="str">
        <f>"CAUDILL HELEN L"</f>
        <v>CAUDILL HELEN L</v>
      </c>
      <c r="C2472" s="1" t="str">
        <f>" R22 T5 S27-40 0.083 AC &amp; PT VAC AL"</f>
        <v xml:space="preserve"> R22 T5 S27-40 0.083 AC &amp; PT VAC AL</v>
      </c>
      <c r="D2472" s="1">
        <v>80.16</v>
      </c>
    </row>
    <row r="2473" spans="1:4" x14ac:dyDescent="0.3">
      <c r="A2473" s="1" t="str">
        <f>"15000042200"</f>
        <v>15000042200</v>
      </c>
      <c r="B2473" s="1" t="str">
        <f>"CAUDILL PAUL J, CAUDILL SARAH J"</f>
        <v>CAUDILL PAUL J, CAUDILL SARAH J</v>
      </c>
      <c r="C2473" s="1" t="str">
        <f>"4845 RIDGE ST WALNUT HTS 111-12 "</f>
        <v xml:space="preserve">4845 RIDGE ST WALNUT HTS 111-12 </v>
      </c>
      <c r="D2473" s="1">
        <v>1040.1099999999999</v>
      </c>
    </row>
    <row r="2474" spans="1:4" x14ac:dyDescent="0.3">
      <c r="A2474" s="1" t="str">
        <f>"01011022900"</f>
        <v>01011022900</v>
      </c>
      <c r="B2474" s="1" t="str">
        <f>"CAUDILL WILLIE H"</f>
        <v>CAUDILL WILLIE H</v>
      </c>
      <c r="C2474" s="1" t="str">
        <f>"5424 BYERS CIRCLE W CHASELAND COURT LOTS 35 &amp; 36"</f>
        <v>5424 BYERS CIRCLE W CHASELAND COURT LOTS 35 &amp; 36</v>
      </c>
      <c r="D2474" s="1">
        <v>225.84</v>
      </c>
    </row>
    <row r="2475" spans="1:4" x14ac:dyDescent="0.3">
      <c r="A2475" s="1" t="str">
        <f>"60017561300"</f>
        <v>60017561300</v>
      </c>
      <c r="B2475" s="1" t="str">
        <f>"CAUDY PATRICK I"</f>
        <v>CAUDY PATRICK I</v>
      </c>
      <c r="C2475" s="1" t="str">
        <f>"SUNBURY RD R17 T2 1/4T3-4 5.609 ACRES"</f>
        <v>SUNBURY RD R17 T2 1/4T3-4 5.609 ACRES</v>
      </c>
      <c r="D2475" s="1">
        <v>7196.1</v>
      </c>
    </row>
    <row r="2476" spans="1:4" x14ac:dyDescent="0.3">
      <c r="A2476" s="1" t="str">
        <f>"01014927200"</f>
        <v>01014927200</v>
      </c>
      <c r="B2476" s="1" t="str">
        <f>"CAVANAGH JOHN M, CAVANAGH KELLY M"</f>
        <v>CAVANAGH JOHN M, CAVANAGH KELLY M</v>
      </c>
      <c r="C2476" s="1" t="str">
        <f>"LYNNHURST RD SHARON WOODS SEC 1 LOT 54"</f>
        <v>LYNNHURST RD SHARON WOODS SEC 1 LOT 54</v>
      </c>
      <c r="D2476" s="1">
        <v>5374.38</v>
      </c>
    </row>
    <row r="2477" spans="1:4" x14ac:dyDescent="0.3">
      <c r="A2477" s="1" t="str">
        <f>"27301214400"</f>
        <v>27301214400</v>
      </c>
      <c r="B2477" s="1" t="str">
        <f>"CAVANAUGH JAMES, CAVANAUGH LYNETTE F"</f>
        <v>CAVANAUGH JAMES, CAVANAUGH LYNETTE F</v>
      </c>
      <c r="C2477" s="1" t="str">
        <f>"GREYSTONE MEWS CONDOMINIIUM UNIT 37"</f>
        <v>GREYSTONE MEWS CONDOMINIIUM UNIT 37</v>
      </c>
      <c r="D2477" s="1">
        <v>711.01</v>
      </c>
    </row>
    <row r="2478" spans="1:4" x14ac:dyDescent="0.3">
      <c r="A2478" s="1" t="str">
        <f>"01012971100"</f>
        <v>01012971100</v>
      </c>
      <c r="B2478" s="1" t="str">
        <f>"CAVEDA DANIEL"</f>
        <v>CAVEDA DANIEL</v>
      </c>
      <c r="C2478" s="1" t="str">
        <f>"2150 BIXBY RD S22 T12 R21 1 QR  SEC 37-38"</f>
        <v>2150 BIXBY RD S22 T12 R21 1 QR  SEC 37-38</v>
      </c>
      <c r="D2478" s="1">
        <v>88.06</v>
      </c>
    </row>
    <row r="2479" spans="1:4" x14ac:dyDescent="0.3">
      <c r="A2479" s="1" t="str">
        <f>"01012968000"</f>
        <v>01012968000</v>
      </c>
      <c r="B2479" s="1" t="str">
        <f>"CAVEDA DANIEL"</f>
        <v>CAVEDA DANIEL</v>
      </c>
      <c r="C2479" s="1" t="str">
        <f>"BIXBY RD R21 T12 S22-27 3.398 ACRES"</f>
        <v>BIXBY RD R21 T12 S22-27 3.398 ACRES</v>
      </c>
      <c r="D2479" s="1">
        <v>511.29</v>
      </c>
    </row>
    <row r="2480" spans="1:4" x14ac:dyDescent="0.3">
      <c r="A2480" s="1" t="str">
        <f>"01012970700"</f>
        <v>01012970700</v>
      </c>
      <c r="B2480" s="1" t="str">
        <f>"CAVEDA DANIEL"</f>
        <v>CAVEDA DANIEL</v>
      </c>
      <c r="C2480" s="1" t="str">
        <f>"NOE-BIXBY RD R21 T12 S22-27 10. ACRES"</f>
        <v>NOE-BIXBY RD R21 T12 S22-27 10. ACRES</v>
      </c>
      <c r="D2480" s="1">
        <v>2172.62</v>
      </c>
    </row>
    <row r="2481" spans="1:4" x14ac:dyDescent="0.3">
      <c r="A2481" s="1" t="str">
        <f>"01010414500"</f>
        <v>01010414500</v>
      </c>
      <c r="B2481" s="1" t="str">
        <f>"CAVELL MARK E"</f>
        <v>CAVELL MARK E</v>
      </c>
      <c r="C2481" s="1" t="str">
        <f>"MILLER AVE LOCKBOURNE AVE LOT 46-48"</f>
        <v>MILLER AVE LOCKBOURNE AVE LOT 46-48</v>
      </c>
      <c r="D2481" s="1">
        <v>625.79</v>
      </c>
    </row>
    <row r="2482" spans="1:4" x14ac:dyDescent="0.3">
      <c r="A2482" s="1" t="str">
        <f>"06000037200"</f>
        <v>06000037200</v>
      </c>
      <c r="B2482" s="1" t="str">
        <f>"CAVENDER TED M"</f>
        <v>CAVENDER TED M</v>
      </c>
      <c r="C2482" s="1" t="str">
        <f>"DALGLEN DR MARABAR HTS 2 47 "</f>
        <v xml:space="preserve">DALGLEN DR MARABAR HTS 2 47 </v>
      </c>
      <c r="D2482" s="1">
        <v>4846.84</v>
      </c>
    </row>
    <row r="2483" spans="1:4" x14ac:dyDescent="0.3">
      <c r="A2483" s="1" t="str">
        <f>"25000397600"</f>
        <v>25000397600</v>
      </c>
      <c r="B2483" s="1" t="str">
        <f>"CAWOOD CARL E"</f>
        <v>CAWOOD CARL E</v>
      </c>
      <c r="C2483" s="1" t="str">
        <f>"MULBERRY DRIVE MOUNT AIR ALLOTMENT LOTS 853-6 &amp; VAC DR"</f>
        <v>MULBERRY DRIVE MOUNT AIR ALLOTMENT LOTS 853-6 &amp; VAC DR</v>
      </c>
      <c r="D2483" s="1">
        <v>378.91</v>
      </c>
    </row>
    <row r="2484" spans="1:4" x14ac:dyDescent="0.3">
      <c r="A2484" s="1" t="str">
        <f>"01015778800"</f>
        <v>01015778800</v>
      </c>
      <c r="B2484" s="1" t="str">
        <f>"CAZARES JORGE A"</f>
        <v>CAZARES JORGE A</v>
      </c>
      <c r="C2484" s="1" t="str">
        <f>"STONEBRIDGE ST SHARON WOODS SECT 7 LOT 717"</f>
        <v>STONEBRIDGE ST SHARON WOODS SECT 7 LOT 717</v>
      </c>
      <c r="D2484" s="1">
        <v>3567.15</v>
      </c>
    </row>
    <row r="2485" spans="1:4" x14ac:dyDescent="0.3">
      <c r="A2485" s="1" t="str">
        <f>"27300072600"</f>
        <v>27300072600</v>
      </c>
      <c r="B2485" s="1" t="str">
        <f>"CAZARES RICHARD RONALD II"</f>
        <v>CAZARES RICHARD RONALD II</v>
      </c>
      <c r="C2485" s="1" t="str">
        <f>"8432 KILBIRNIE CT MUIRFIELD VILLAGE 1 LOT 110"</f>
        <v>8432 KILBIRNIE CT MUIRFIELD VILLAGE 1 LOT 110</v>
      </c>
      <c r="D2485" s="1">
        <v>600.64</v>
      </c>
    </row>
    <row r="2486" spans="1:4" x14ac:dyDescent="0.3">
      <c r="A2486" s="1" t="str">
        <f>"01000416800"</f>
        <v>01000416800</v>
      </c>
      <c r="B2486" s="1" t="str">
        <f>"CB REDEVELOPMENT"</f>
        <v>CB REDEVELOPMENT</v>
      </c>
      <c r="C2486" s="1" t="str">
        <f>"131EMAYNARD KNICKERBOCKER LOT 48"</f>
        <v>131EMAYNARD KNICKERBOCKER LOT 48</v>
      </c>
      <c r="D2486" s="1">
        <v>1991.32</v>
      </c>
    </row>
    <row r="2487" spans="1:4" x14ac:dyDescent="0.3">
      <c r="A2487" s="1" t="str">
        <f>"01004733000"</f>
        <v>01004733000</v>
      </c>
      <c r="B2487" s="1" t="str">
        <f>"CB REDEVELOPMENT"</f>
        <v>CB REDEVELOPMENT</v>
      </c>
      <c r="C2487" s="1" t="str">
        <f>"2434-2436 INDIANOLA DOYLES SUMMIT LOT 52"</f>
        <v>2434-2436 INDIANOLA DOYLES SUMMIT LOT 52</v>
      </c>
      <c r="D2487" s="1">
        <v>3724</v>
      </c>
    </row>
    <row r="2488" spans="1:4" x14ac:dyDescent="0.3">
      <c r="A2488" s="1" t="str">
        <f>"01003061100"</f>
        <v>01003061100</v>
      </c>
      <c r="B2488" s="1" t="str">
        <f>"CB REDEVELOPMENT LLC"</f>
        <v>CB REDEVELOPMENT LLC</v>
      </c>
      <c r="C2488" s="1" t="str">
        <f>"340 19TH AVE INDIANOLA SUMMIT LOT 21 BLK 12"</f>
        <v>340 19TH AVE INDIANOLA SUMMIT LOT 21 BLK 12</v>
      </c>
      <c r="D2488" s="1">
        <v>24213.08</v>
      </c>
    </row>
    <row r="2489" spans="1:4" x14ac:dyDescent="0.3">
      <c r="A2489" s="1" t="str">
        <f>"01005516400"</f>
        <v>01005516400</v>
      </c>
      <c r="B2489" s="1" t="str">
        <f>"CB REDEVELOPMENT LLC"</f>
        <v>CB REDEVELOPMENT LLC</v>
      </c>
      <c r="C2489" s="1" t="str">
        <f>"338 19TH AVE INDIANOLA SUMMIT LOT 19 BLK 12"</f>
        <v>338 19TH AVE INDIANOLA SUMMIT LOT 19 BLK 12</v>
      </c>
      <c r="D2489" s="1">
        <v>983.16</v>
      </c>
    </row>
    <row r="2490" spans="1:4" x14ac:dyDescent="0.3">
      <c r="A2490" s="1" t="str">
        <f>"01000424700"</f>
        <v>01000424700</v>
      </c>
      <c r="B2490" s="1" t="str">
        <f>"CB REDEVELOPMENT LLC"</f>
        <v>CB REDEVELOPMENT LLC</v>
      </c>
      <c r="C2490" s="1" t="str">
        <f>"253 E MAYNARD AVE CORNELLS PT LOT 105 ALL LT106"</f>
        <v>253 E MAYNARD AVE CORNELLS PT LOT 105 ALL LT106</v>
      </c>
      <c r="D2490" s="1">
        <v>3029.96</v>
      </c>
    </row>
    <row r="2491" spans="1:4" x14ac:dyDescent="0.3">
      <c r="A2491" s="1" t="str">
        <f>"01005484900"</f>
        <v>01005484900</v>
      </c>
      <c r="B2491" s="1" t="str">
        <f>"CB REDEVELOPMENT LLC"</f>
        <v>CB REDEVELOPMENT LLC</v>
      </c>
      <c r="C2491" s="1" t="str">
        <f>"342-19TH AVE INDIANOLA SUMMIT LOT 20 BLK 12"</f>
        <v>342-19TH AVE INDIANOLA SUMMIT LOT 20 BLK 12</v>
      </c>
      <c r="D2491" s="1">
        <v>965.83</v>
      </c>
    </row>
    <row r="2492" spans="1:4" x14ac:dyDescent="0.3">
      <c r="A2492" s="1" t="str">
        <f>"57018471900"</f>
        <v>57018471900</v>
      </c>
      <c r="B2492" s="1" t="str">
        <f>"CC OH REALTY LLC"</f>
        <v>CC OH REALTY LLC</v>
      </c>
      <c r="C2492" s="1" t="str">
        <f>"630 N HAGUE AVE .489 ACRE ENTRY 530"</f>
        <v>630 N HAGUE AVE .489 ACRE ENTRY 530</v>
      </c>
      <c r="D2492" s="1">
        <v>5487.16</v>
      </c>
    </row>
    <row r="2493" spans="1:4" x14ac:dyDescent="0.3">
      <c r="A2493" s="1" t="str">
        <f>"01018782700"</f>
        <v>01018782700</v>
      </c>
      <c r="B2493" s="1" t="str">
        <f>"CC&amp;C INVESTMENT SERVICES LLC"</f>
        <v>CC&amp;C INVESTMENT SERVICES LLC</v>
      </c>
      <c r="C2493" s="1" t="str">
        <f>"BEECHCROFT RD BEECHCROFT CONDO BLDG 8 UNIT 5738-D"</f>
        <v>BEECHCROFT RD BEECHCROFT CONDO BLDG 8 UNIT 5738-D</v>
      </c>
      <c r="D2493" s="1">
        <v>46.61</v>
      </c>
    </row>
    <row r="2494" spans="1:4" x14ac:dyDescent="0.3">
      <c r="A2494" s="1" t="str">
        <f>"01030778100"</f>
        <v>01030778100</v>
      </c>
      <c r="B2494" s="1" t="str">
        <f>"CCAWP NORTH TWENTY FIRST LTD"</f>
        <v>CCAWP NORTH TWENTY FIRST LTD</v>
      </c>
      <c r="C2494" s="1" t="str">
        <f>"N 21ST J&amp;S VAC AL PT LOTS 25-26 (0.133 ACRE)"</f>
        <v>N 21ST J&amp;S VAC AL PT LOTS 25-26 (0.133 ACRE)</v>
      </c>
      <c r="D2494" s="1">
        <v>19763.810000000001</v>
      </c>
    </row>
    <row r="2495" spans="1:4" x14ac:dyDescent="0.3">
      <c r="A2495" s="1" t="str">
        <f>"01011274700"</f>
        <v>01011274700</v>
      </c>
      <c r="B2495" s="1" t="str">
        <f>"CCITY PROPERTIES LLC"</f>
        <v>CCITY PROPERTIES LLC</v>
      </c>
      <c r="C2495" s="1" t="str">
        <f>"FORNOFF RD JOSEPH BERGER'S ADD   LOT 4 37.5' X 92' X 41.43' X 76'"</f>
        <v>FORNOFF RD JOSEPH BERGER'S ADD   LOT 4 37.5' X 92' X 41.43' X 76'</v>
      </c>
      <c r="D2495" s="1">
        <v>172.68</v>
      </c>
    </row>
    <row r="2496" spans="1:4" x14ac:dyDescent="0.3">
      <c r="A2496" s="1" t="str">
        <f>"01000407200"</f>
        <v>01000407200</v>
      </c>
      <c r="B2496" s="1" t="str">
        <f>"CDL EAST MAIN LLC"</f>
        <v>CDL EAST MAIN LLC</v>
      </c>
      <c r="C2496" s="1" t="str">
        <f>"E MAIN ST HOFFMAN &amp; MCGREW LOTS 15-16"</f>
        <v>E MAIN ST HOFFMAN &amp; MCGREW LOTS 15-16</v>
      </c>
      <c r="D2496" s="1">
        <v>7251.08</v>
      </c>
    </row>
    <row r="2497" spans="1:4" x14ac:dyDescent="0.3">
      <c r="A2497" s="1" t="str">
        <f>"01005382000"</f>
        <v>01005382000</v>
      </c>
      <c r="B2497" s="1" t="str">
        <f>"CE INVESTMENT GROUP LLC"</f>
        <v>CE INVESTMENT GROUP LLC</v>
      </c>
      <c r="C2497" s="1" t="str">
        <f>"263S21ST ST 5FT SS 22&amp;ALL23 PARSONS 3RD"</f>
        <v>263S21ST ST 5FT SS 22&amp;ALL23 PARSONS 3RD</v>
      </c>
      <c r="D2497" s="1">
        <v>146.77000000000001</v>
      </c>
    </row>
    <row r="2498" spans="1:4" x14ac:dyDescent="0.3">
      <c r="A2498" s="1" t="str">
        <f>"01002238300"</f>
        <v>01002238300</v>
      </c>
      <c r="B2498" s="1" t="str">
        <f>"CE INVESTMENT GROUP LLC"</f>
        <v>CE INVESTMENT GROUP LLC</v>
      </c>
      <c r="C2498" s="1" t="str">
        <f>"1083 FOREST ST AUBURNDALE 79.46'NS LT159 &amp; ALL LOTS 157-158 &amp; 160"</f>
        <v>1083 FOREST ST AUBURNDALE 79.46'NS LT159 &amp; ALL LOTS 157-158 &amp; 160</v>
      </c>
      <c r="D2498" s="1">
        <v>182</v>
      </c>
    </row>
    <row r="2499" spans="1:4" x14ac:dyDescent="0.3">
      <c r="A2499" s="1" t="str">
        <f>"01012916500"</f>
        <v>01012916500</v>
      </c>
      <c r="B2499" s="1" t="str">
        <f>"CE INVESTMENT GROUP LLC"</f>
        <v>CE INVESTMENT GROUP LLC</v>
      </c>
      <c r="C2499" s="1" t="str">
        <f>"DE ROBERTS HTS LOT 4 EX SW COR &amp; NE TRI OUT OF L 3 &amp; .026 AC"</f>
        <v>DE ROBERTS HTS LOT 4 EX SW COR &amp; NE TRI OUT OF L 3 &amp; .026 AC</v>
      </c>
      <c r="D2499" s="1">
        <v>373.47</v>
      </c>
    </row>
    <row r="2500" spans="1:4" x14ac:dyDescent="0.3">
      <c r="A2500" s="1" t="str">
        <f>"01002180200"</f>
        <v>01002180200</v>
      </c>
      <c r="B2500" s="1" t="str">
        <f>"CE INVESTMENT GROUP LLC"</f>
        <v>CE INVESTMENT GROUP LLC</v>
      </c>
      <c r="C2500" s="1" t="str">
        <f>"711 OAKWOOD AVE ALL 54&amp;S1/2 55 OAKWOODS LOT 54-5"</f>
        <v>711 OAKWOOD AVE ALL 54&amp;S1/2 55 OAKWOODS LOT 54-5</v>
      </c>
      <c r="D2500" s="1">
        <v>278.82</v>
      </c>
    </row>
    <row r="2501" spans="1:4" x14ac:dyDescent="0.3">
      <c r="A2501" s="1" t="str">
        <f>"01026012800"</f>
        <v>01026012800</v>
      </c>
      <c r="B2501" s="1" t="str">
        <f>"CE INVESTMENT GROUP LLC"</f>
        <v>CE INVESTMENT GROUP LLC</v>
      </c>
      <c r="C2501" s="1" t="str">
        <f>"TWENTY FIRST ST PARSONS 4TH TOWN ST PT VACL AL=0.024 ACRE"</f>
        <v>TWENTY FIRST ST PARSONS 4TH TOWN ST PT VACL AL=0.024 ACRE</v>
      </c>
      <c r="D2501" s="1">
        <v>8.6199999999999992</v>
      </c>
    </row>
    <row r="2502" spans="1:4" x14ac:dyDescent="0.3">
      <c r="A2502" s="1" t="str">
        <f>"01000662700"</f>
        <v>01000662700</v>
      </c>
      <c r="B2502" s="1" t="str">
        <f>"CE REALTY LLC"</f>
        <v>CE REALTY LLC</v>
      </c>
      <c r="C2502" s="1" t="str">
        <f>"1339 E BROAD ST PUGH SUB 1"</f>
        <v>1339 E BROAD ST PUGH SUB 1</v>
      </c>
      <c r="D2502" s="1">
        <v>784.57</v>
      </c>
    </row>
    <row r="2503" spans="1:4" x14ac:dyDescent="0.3">
      <c r="A2503" s="1" t="str">
        <f>"59022599800"</f>
        <v>59022599800</v>
      </c>
      <c r="B2503" s="1" t="str">
        <f>"CECO REAL PROPERTY LLC"</f>
        <v>CECO REAL PROPERTY LLC</v>
      </c>
      <c r="C2503" s="1" t="str">
        <f>"BETHEL COMMONS CONDOMINIUM 1ST AMD UNIT 20B"</f>
        <v>BETHEL COMMONS CONDOMINIUM 1ST AMD UNIT 20B</v>
      </c>
      <c r="D2503" s="1">
        <v>194.96</v>
      </c>
    </row>
    <row r="2504" spans="1:4" x14ac:dyDescent="0.3">
      <c r="A2504" s="1" t="str">
        <f>"59018120000"</f>
        <v>59018120000</v>
      </c>
      <c r="B2504" s="1" t="str">
        <f>"CEDAR STONE PROPERTIES LLC"</f>
        <v>CEDAR STONE PROPERTIES LLC</v>
      </c>
      <c r="C2504" s="1" t="str">
        <f>"CHERYLBROOK LANE TRAFALGAR COMMONS LOT 42"</f>
        <v>CHERYLBROOK LANE TRAFALGAR COMMONS LOT 42</v>
      </c>
      <c r="D2504" s="1">
        <v>27.93</v>
      </c>
    </row>
    <row r="2505" spans="1:4" x14ac:dyDescent="0.3">
      <c r="A2505" s="1" t="str">
        <f>"59018119900"</f>
        <v>59018119900</v>
      </c>
      <c r="B2505" s="1" t="str">
        <f>"CEDAR STONE PROPERTIES LLC"</f>
        <v>CEDAR STONE PROPERTIES LLC</v>
      </c>
      <c r="C2505" s="1" t="str">
        <f>"CHERYLBROOK LANE TRAFALGAR COMMONS LOT 41"</f>
        <v>CHERYLBROOK LANE TRAFALGAR COMMONS LOT 41</v>
      </c>
      <c r="D2505" s="1">
        <v>468.62</v>
      </c>
    </row>
    <row r="2506" spans="1:4" x14ac:dyDescent="0.3">
      <c r="A2506" s="1" t="str">
        <f>"57025712900"</f>
        <v>57025712900</v>
      </c>
      <c r="B2506" s="1" t="str">
        <f>"CENDEJAS-MORALES JOSE L"</f>
        <v>CENDEJAS-MORALES JOSE L</v>
      </c>
      <c r="C2506" s="1" t="str">
        <f>"PINE WILD DRIVE WESTMEADOW SECITON 3 LOT 87"</f>
        <v>PINE WILD DRIVE WESTMEADOW SECITON 3 LOT 87</v>
      </c>
      <c r="D2506" s="1">
        <v>2231.5300000000002</v>
      </c>
    </row>
    <row r="2507" spans="1:4" x14ac:dyDescent="0.3">
      <c r="A2507" s="1" t="str">
        <f>"01020843100"</f>
        <v>01020843100</v>
      </c>
      <c r="B2507" s="1" t="str">
        <f>"CENTER FOR SPECIAL NEEDS TRUST ADMINISTRATION INC TR"</f>
        <v>CENTER FOR SPECIAL NEEDS TRUST ADMINISTRATION INC TR</v>
      </c>
      <c r="C2507" s="1" t="str">
        <f>"NORTHLAND SENIOR VILLAGE CONDO 3 UNIT 116"</f>
        <v>NORTHLAND SENIOR VILLAGE CONDO 3 UNIT 116</v>
      </c>
      <c r="D2507" s="1">
        <v>1763.83</v>
      </c>
    </row>
    <row r="2508" spans="1:4" x14ac:dyDescent="0.3">
      <c r="A2508" s="1" t="str">
        <f>"19000008900"</f>
        <v>19000008900</v>
      </c>
      <c r="B2508" s="1" t="str">
        <f>"CENTRAL OHIO INVESTMENT PROPERTIES LLC"</f>
        <v>CENTRAL OHIO INVESTMENT PROPERTIES LLC</v>
      </c>
      <c r="C2508" s="1" t="str">
        <f>"WESTERVILLE PIKE 2AC NS R17 T1 1-4TWP 2 9 "</f>
        <v xml:space="preserve">WESTERVILLE PIKE 2AC NS R17 T1 1-4TWP 2 9 </v>
      </c>
      <c r="D2508" s="1">
        <v>3292.19</v>
      </c>
    </row>
    <row r="2509" spans="1:4" x14ac:dyDescent="0.3">
      <c r="A2509" s="1" t="str">
        <f>"01010901300"</f>
        <v>01010901300</v>
      </c>
      <c r="B2509" s="1" t="str">
        <f>"CENTURY LAND LLC"</f>
        <v>CENTURY LAND LLC</v>
      </c>
      <c r="C2509" s="1" t="str">
        <f>"CENTRY DR ARLINGTON PK TRCT 1 RES E"</f>
        <v>CENTRY DR ARLINGTON PK TRCT 1 RES E</v>
      </c>
      <c r="D2509" s="1">
        <v>3537.74</v>
      </c>
    </row>
    <row r="2510" spans="1:4" x14ac:dyDescent="0.3">
      <c r="A2510" s="1" t="str">
        <f>"01000254100"</f>
        <v>01000254100</v>
      </c>
      <c r="B2510" s="1" t="str">
        <f>"CEPA CONSULTING INC"</f>
        <v>CEPA CONSULTING INC</v>
      </c>
      <c r="C2510" s="1" t="str">
        <f>"62 N WARREN AVE WICKLOW 3RD LOT 927"</f>
        <v>62 N WARREN AVE WICKLOW 3RD LOT 927</v>
      </c>
      <c r="D2510" s="1">
        <v>1715.2</v>
      </c>
    </row>
    <row r="2511" spans="1:4" x14ac:dyDescent="0.3">
      <c r="A2511" s="1" t="str">
        <f>"27300949200"</f>
        <v>27300949200</v>
      </c>
      <c r="B2511" s="1" t="str">
        <f>"CERMELJ VIRGINIA M"</f>
        <v>CERMELJ VIRGINIA M</v>
      </c>
      <c r="C2511" s="1" t="str">
        <f>"DUNLAVIN WAY BRAELINN GREEN CONDO 1ST AMD UNIT 3056"</f>
        <v>DUNLAVIN WAY BRAELINN GREEN CONDO 1ST AMD UNIT 3056</v>
      </c>
      <c r="D2511" s="1">
        <v>255.04</v>
      </c>
    </row>
    <row r="2512" spans="1:4" x14ac:dyDescent="0.3">
      <c r="A2512" s="1" t="str">
        <f>"01000302800"</f>
        <v>01000302800</v>
      </c>
      <c r="B2512" s="1" t="str">
        <f>"CERVANTES DANIEL"</f>
        <v>CERVANTES DANIEL</v>
      </c>
      <c r="C2512" s="1" t="str">
        <f>"833 LEONA AVE S A SHOEMAKERS HRS LOT 91"</f>
        <v>833 LEONA AVE S A SHOEMAKERS HRS LOT 91</v>
      </c>
      <c r="D2512" s="1">
        <v>1025.32</v>
      </c>
    </row>
    <row r="2513" spans="1:4" x14ac:dyDescent="0.3">
      <c r="A2513" s="1" t="str">
        <f>"01005539600"</f>
        <v>01005539600</v>
      </c>
      <c r="B2513" s="1" t="str">
        <f>"CGSG ENTERPRISE LLC"</f>
        <v>CGSG ENTERPRISE LLC</v>
      </c>
      <c r="C2513" s="1" t="str">
        <f>"73-75 WARREN AVE WICKLOW LOT 477"</f>
        <v>73-75 WARREN AVE WICKLOW LOT 477</v>
      </c>
      <c r="D2513" s="1">
        <v>1806.31</v>
      </c>
    </row>
    <row r="2514" spans="1:4" x14ac:dyDescent="0.3">
      <c r="A2514" s="1" t="str">
        <f>"01009284300"</f>
        <v>01009284300</v>
      </c>
      <c r="B2514" s="1" t="str">
        <f>"CHABANE YOUNESS"</f>
        <v>CHABANE YOUNESS</v>
      </c>
      <c r="C2514" s="1" t="str">
        <f>"COLUMBIA AVE BEXLEY HTS AMD LOT 31"</f>
        <v>COLUMBIA AVE BEXLEY HTS AMD LOT 31</v>
      </c>
      <c r="D2514" s="1">
        <v>2014.3</v>
      </c>
    </row>
    <row r="2515" spans="1:4" x14ac:dyDescent="0.3">
      <c r="A2515" s="1" t="str">
        <f>"14000534200"</f>
        <v>14000534200</v>
      </c>
      <c r="B2515" s="1" t="str">
        <f>"CHAFFIN ALICIA"</f>
        <v>CHAFFIN ALICIA</v>
      </c>
      <c r="C2515" s="1" t="str">
        <f>"865 GENEVA AVE SUSAN LOVINGS NO LOT 22"</f>
        <v>865 GENEVA AVE SUSAN LOVINGS NO LOT 22</v>
      </c>
      <c r="D2515" s="1">
        <v>1454.3</v>
      </c>
    </row>
    <row r="2516" spans="1:4" x14ac:dyDescent="0.3">
      <c r="A2516" s="1" t="str">
        <f>"04000799200"</f>
        <v>04000799200</v>
      </c>
      <c r="B2516" s="1" t="str">
        <f>"CHAFFIN ERIN P TR"</f>
        <v>CHAFFIN ERIN P TR</v>
      </c>
      <c r="C2516" s="1" t="str">
        <f>"0000 CLAYBURN CT HOOVER CROSSING SEC2 LOT 95"</f>
        <v>0000 CLAYBURN CT HOOVER CROSSING SEC2 LOT 95</v>
      </c>
      <c r="D2516" s="1">
        <v>3106.99</v>
      </c>
    </row>
    <row r="2517" spans="1:4" x14ac:dyDescent="0.3">
      <c r="A2517" s="1" t="str">
        <f>"01011480000"</f>
        <v>01011480000</v>
      </c>
      <c r="B2517" s="1" t="str">
        <f>"CHAFFIN JAMES W"</f>
        <v>CHAFFIN JAMES W</v>
      </c>
      <c r="C2517" s="1" t="str">
        <f>"913 BELLEVUE AVE R22 T4 S3 LOT 4 .213 ACRE"</f>
        <v>913 BELLEVUE AVE R22 T4 S3 LOT 4 .213 ACRE</v>
      </c>
      <c r="D2517" s="1">
        <v>5843.62</v>
      </c>
    </row>
    <row r="2518" spans="1:4" x14ac:dyDescent="0.3">
      <c r="A2518" s="1" t="str">
        <f>"14000262300"</f>
        <v>14000262300</v>
      </c>
      <c r="B2518" s="1" t="str">
        <f>"CHAFFINS STEVEN"</f>
        <v>CHAFFINS STEVEN</v>
      </c>
      <c r="C2518" s="1" t="str">
        <f>"1324 HART RD ENGARDS 6 "</f>
        <v xml:space="preserve">1324 HART RD ENGARDS 6 </v>
      </c>
      <c r="D2518" s="1">
        <v>153.05000000000001</v>
      </c>
    </row>
    <row r="2519" spans="1:4" x14ac:dyDescent="0.3">
      <c r="A2519" s="1" t="str">
        <f>"01021220600"</f>
        <v>01021220600</v>
      </c>
      <c r="B2519" s="1" t="str">
        <f>"CHAFFINS STEVEN, CHAFFINS GAYLE"</f>
        <v>CHAFFINS STEVEN, CHAFFINS GAYLE</v>
      </c>
      <c r="C2519" s="1" t="str">
        <f>"MARSDALE AVE MARSDALE LOT 69"</f>
        <v>MARSDALE AVE MARSDALE LOT 69</v>
      </c>
      <c r="D2519" s="1">
        <v>120.32</v>
      </c>
    </row>
    <row r="2520" spans="1:4" x14ac:dyDescent="0.3">
      <c r="A2520" s="1" t="str">
        <f>"06000227000"</f>
        <v>06000227000</v>
      </c>
      <c r="B2520" s="1" t="str">
        <f>"CHAFINS SANDRA JO"</f>
        <v>CHAFINS SANDRA JO</v>
      </c>
      <c r="C2520" s="1" t="str">
        <f>"PENICK DR H C HUBER PLAT 36 SEC 3 LOT 327"</f>
        <v>PENICK DR H C HUBER PLAT 36 SEC 3 LOT 327</v>
      </c>
      <c r="D2520" s="1">
        <v>1769.71</v>
      </c>
    </row>
    <row r="2521" spans="1:4" x14ac:dyDescent="0.3">
      <c r="A2521" s="1" t="str">
        <f>"24000015200"</f>
        <v>24000015200</v>
      </c>
      <c r="B2521" s="1" t="str">
        <f>"CHAGALL HOLDINGS LTD"</f>
        <v>CHAGALL HOLDINGS LTD</v>
      </c>
      <c r="C2521" s="1" t="str">
        <f>"ROME HILLIARD RD 1.448 ACRE OQ 1000 ENTRY 1484"</f>
        <v>ROME HILLIARD RD 1.448 ACRE OQ 1000 ENTRY 1484</v>
      </c>
      <c r="D2521" s="1">
        <v>5758.58</v>
      </c>
    </row>
    <row r="2522" spans="1:4" x14ac:dyDescent="0.3">
      <c r="A2522" s="1" t="str">
        <f>"01007994200"</f>
        <v>01007994200</v>
      </c>
      <c r="B2522" s="1" t="str">
        <f>"CHAGNON NORMAN L, CHAGNON CARLENE E"</f>
        <v>CHAGNON NORMAN L, CHAGNON CARLENE E</v>
      </c>
      <c r="C2522" s="1" t="str">
        <f>"2854 DRESDEN ST KENMORE PARK LOT 10-11 BLK 8"</f>
        <v>2854 DRESDEN ST KENMORE PARK LOT 10-11 BLK 8</v>
      </c>
      <c r="D2522" s="1">
        <v>340.67</v>
      </c>
    </row>
    <row r="2523" spans="1:4" x14ac:dyDescent="0.3">
      <c r="A2523" s="1" t="str">
        <f>"16100030100"</f>
        <v>16100030100</v>
      </c>
      <c r="B2523" s="1" t="str">
        <f>"CHAGOLLA MIQUEL"</f>
        <v>CHAGOLLA MIQUEL</v>
      </c>
      <c r="C2523" s="1" t="str">
        <f>"3345 2ND AVE URBANCREST 39 BLK 19"</f>
        <v>3345 2ND AVE URBANCREST 39 BLK 19</v>
      </c>
      <c r="D2523" s="1">
        <v>468.4</v>
      </c>
    </row>
    <row r="2524" spans="1:4" x14ac:dyDescent="0.3">
      <c r="A2524" s="1" t="str">
        <f>"01011406300"</f>
        <v>01011406300</v>
      </c>
      <c r="B2524" s="1" t="str">
        <f>"CHAIRES LUCIA"</f>
        <v>CHAIRES LUCIA</v>
      </c>
      <c r="C2524" s="1" t="str">
        <f>"1733 LINWOOD AVE BENTLEY'S LOT 20"</f>
        <v>1733 LINWOOD AVE BENTLEY'S LOT 20</v>
      </c>
      <c r="D2524" s="1">
        <v>2750.1</v>
      </c>
    </row>
    <row r="2525" spans="1:4" x14ac:dyDescent="0.3">
      <c r="A2525" s="1" t="str">
        <f>"53017382000"</f>
        <v>53017382000</v>
      </c>
      <c r="B2525" s="1" t="str">
        <f>"CHAIRES VICTOR B"</f>
        <v>CHAIRES VICTOR B</v>
      </c>
      <c r="C2525" s="1" t="str">
        <f>"BREED DRIVE INDEPENDENCE VLG SC5 LOT 328"</f>
        <v>BREED DRIVE INDEPENDENCE VLG SC5 LOT 328</v>
      </c>
      <c r="D2525" s="1">
        <v>3215.79</v>
      </c>
    </row>
    <row r="2526" spans="1:4" x14ac:dyDescent="0.3">
      <c r="A2526" s="1" t="str">
        <f>"13000157500"</f>
        <v>13000157500</v>
      </c>
      <c r="B2526" s="1" t="str">
        <f>"CHAIREZ DANIELA, DEL RIO GARCIA RODRIGO"</f>
        <v>CHAIREZ DANIELA, DEL RIO GARCIA RODRIGO</v>
      </c>
      <c r="C2526" s="1" t="str">
        <f>"2154 MELROSE AVE ELMORE 100 "</f>
        <v xml:space="preserve">2154 MELROSE AVE ELMORE 100 </v>
      </c>
      <c r="D2526" s="1">
        <v>850.54</v>
      </c>
    </row>
    <row r="2527" spans="1:4" x14ac:dyDescent="0.3">
      <c r="A2527" s="1" t="str">
        <f>"13000669400"</f>
        <v>13000669400</v>
      </c>
      <c r="B2527" s="1" t="str">
        <f>"CHAIREZ DANIELA, DEL RIO GARCIA RODRIGO"</f>
        <v>CHAIREZ DANIELA, DEL RIO GARCIA RODRIGO</v>
      </c>
      <c r="C2527" s="1" t="str">
        <f>"MELROSE AVE ELMORE 101 "</f>
        <v xml:space="preserve">MELROSE AVE ELMORE 101 </v>
      </c>
      <c r="D2527" s="1">
        <v>850.54</v>
      </c>
    </row>
    <row r="2528" spans="1:4" x14ac:dyDescent="0.3">
      <c r="A2528" s="1" t="str">
        <f>"10000530300"</f>
        <v>10000530300</v>
      </c>
      <c r="B2528" s="1" t="str">
        <f>"CHAKROFF JASON, CHAKROFF CHRISTOPHER NORMAN TTEE (ROC TRUST)"</f>
        <v>CHAKROFF JASON, CHAKROFF CHRISTOPHER NORMAN TTEE (ROC TRUST)</v>
      </c>
      <c r="C2528" s="1" t="str">
        <f>"6561 OLENTANGY RD 1.45 AC LOT 9-10 VINING LOT 3"</f>
        <v>6561 OLENTANGY RD 1.45 AC LOT 9-10 VINING LOT 3</v>
      </c>
      <c r="D2528" s="1">
        <v>782.7</v>
      </c>
    </row>
    <row r="2529" spans="1:4" x14ac:dyDescent="0.3">
      <c r="A2529" s="1" t="str">
        <f>"57010509000"</f>
        <v>57010509000</v>
      </c>
      <c r="B2529" s="1" t="str">
        <f>"CHALCO STEPHANIE"</f>
        <v>CHALCO STEPHANIE</v>
      </c>
      <c r="C2529" s="1" t="str">
        <f>"HARDESTY HEIGHTS CONDOMINIUM K LOT K-3"</f>
        <v>HARDESTY HEIGHTS CONDOMINIUM K LOT K-3</v>
      </c>
      <c r="D2529" s="1">
        <v>1923.52</v>
      </c>
    </row>
    <row r="2530" spans="1:4" x14ac:dyDescent="0.3">
      <c r="A2530" s="1" t="str">
        <f>"22200328400"</f>
        <v>22200328400</v>
      </c>
      <c r="B2530" s="1" t="str">
        <f>"CHAMBERLAIN CHRISTINE K"</f>
        <v>CHAMBERLAIN CHRISTINE K</v>
      </c>
      <c r="C2530" s="1" t="str">
        <f>"GRISWOLD DRIVE            WINDSOR SECTION 1         LOT 12                   "</f>
        <v xml:space="preserve">GRISWOLD DRIVE            WINDSOR SECTION 1         LOT 12                   </v>
      </c>
      <c r="D2530" s="1">
        <v>2432.5500000000002</v>
      </c>
    </row>
    <row r="2531" spans="1:4" x14ac:dyDescent="0.3">
      <c r="A2531" s="1" t="str">
        <f>"02500360900"</f>
        <v>02500360900</v>
      </c>
      <c r="B2531" s="1" t="str">
        <f>"CHAMBERLAIN DONNA"</f>
        <v>CHAMBERLAIN DONNA</v>
      </c>
      <c r="C2531" s="1" t="str">
        <f>"269 MOORFIELD DRIVE IMPERIAL RISE 2 LOT 146"</f>
        <v>269 MOORFIELD DRIVE IMPERIAL RISE 2 LOT 146</v>
      </c>
      <c r="D2531" s="1">
        <v>1224.98</v>
      </c>
    </row>
    <row r="2532" spans="1:4" x14ac:dyDescent="0.3">
      <c r="A2532" s="1" t="str">
        <f>"01024755900"</f>
        <v>01024755900</v>
      </c>
      <c r="B2532" s="1" t="str">
        <f>"CHAMBERLAIN TERESA"</f>
        <v>CHAMBERLAIN TERESA</v>
      </c>
      <c r="C2532" s="1" t="str">
        <f>"McNAUGHTEN PLACE CONDOMINIUM 7TH AMD BLDG N UNIT 39"</f>
        <v>McNAUGHTEN PLACE CONDOMINIUM 7TH AMD BLDG N UNIT 39</v>
      </c>
      <c r="D2532" s="1">
        <v>410.85</v>
      </c>
    </row>
    <row r="2533" spans="1:4" x14ac:dyDescent="0.3">
      <c r="A2533" s="1" t="str">
        <f>"01002346700"</f>
        <v>01002346700</v>
      </c>
      <c r="B2533" s="1" t="str">
        <f>"CHAMBERLIN MARIA D"</f>
        <v>CHAMBERLIN MARIA D</v>
      </c>
      <c r="C2533" s="1" t="str">
        <f>"12TH AVE CLYDE R MONTGOMERY PARCELS LOT 3"</f>
        <v>12TH AVE CLYDE R MONTGOMERY PARCELS LOT 3</v>
      </c>
      <c r="D2533" s="1">
        <v>1303.8</v>
      </c>
    </row>
    <row r="2534" spans="1:4" x14ac:dyDescent="0.3">
      <c r="A2534" s="1" t="str">
        <f>"16000246200"</f>
        <v>16000246200</v>
      </c>
      <c r="B2534" s="1" t="str">
        <f>"CHAMBERS MEGAN M TTEE"</f>
        <v>CHAMBERS MEGAN M TTEE</v>
      </c>
      <c r="C2534" s="1" t="str">
        <f>"ZUBER RD ENTRY 6115 1.1364 AC"</f>
        <v>ZUBER RD ENTRY 6115 1.1364 AC</v>
      </c>
      <c r="D2534" s="1">
        <v>248.16</v>
      </c>
    </row>
    <row r="2535" spans="1:4" x14ac:dyDescent="0.3">
      <c r="A2535" s="1" t="str">
        <f>"61018946700"</f>
        <v>61018946700</v>
      </c>
      <c r="B2535" s="1" t="str">
        <f>"CHAMCHAM LLC"</f>
        <v>CHAMCHAM LLC</v>
      </c>
      <c r="C2535" s="1" t="str">
        <f>"CHERRYFIELD AVE WORTHINGRIDGE LOT 12"</f>
        <v>CHERRYFIELD AVE WORTHINGRIDGE LOT 12</v>
      </c>
      <c r="D2535" s="1">
        <v>8026.38</v>
      </c>
    </row>
    <row r="2536" spans="1:4" x14ac:dyDescent="0.3">
      <c r="A2536" s="1" t="str">
        <f>"06000799400"</f>
        <v>06000799400</v>
      </c>
      <c r="B2536" s="1" t="str">
        <f>"CHAMLAGAI RAM, BISTA INDRA"</f>
        <v>CHAMLAGAI RAM, BISTA INDRA</v>
      </c>
      <c r="C2536" s="1" t="str">
        <f>"CULPEPPER DRIVE WAGGONER HILLS SEC 2 LOT 57"</f>
        <v>CULPEPPER DRIVE WAGGONER HILLS SEC 2 LOT 57</v>
      </c>
      <c r="D2536" s="1">
        <v>8.8000000000000007</v>
      </c>
    </row>
    <row r="2537" spans="1:4" x14ac:dyDescent="0.3">
      <c r="A2537" s="1" t="str">
        <f>"01019915800"</f>
        <v>01019915800</v>
      </c>
      <c r="B2537" s="1" t="str">
        <f>"CHAMPION 36 LLC"</f>
        <v>CHAMPION 36 LLC</v>
      </c>
      <c r="C2537" s="1" t="str">
        <f>"STORNOWAY DR N MCNAUGHTEN COM CONDO BLDG 10 UNIT 6171"</f>
        <v>STORNOWAY DR N MCNAUGHTEN COM CONDO BLDG 10 UNIT 6171</v>
      </c>
      <c r="D2537" s="1">
        <v>230.34</v>
      </c>
    </row>
    <row r="2538" spans="1:4" x14ac:dyDescent="0.3">
      <c r="A2538" s="1" t="str">
        <f>"01002074200"</f>
        <v>01002074200</v>
      </c>
      <c r="B2538" s="1" t="str">
        <f>"CHAMPION HOUSE LLC"</f>
        <v>CHAMPION HOUSE LLC</v>
      </c>
      <c r="C2538" s="1" t="str">
        <f>"2533 SUTTON AVE HILLCREST PARK LOT 77"</f>
        <v>2533 SUTTON AVE HILLCREST PARK LOT 77</v>
      </c>
      <c r="D2538" s="1">
        <v>2969.6</v>
      </c>
    </row>
    <row r="2539" spans="1:4" x14ac:dyDescent="0.3">
      <c r="A2539" s="1" t="str">
        <f>"27400137000"</f>
        <v>27400137000</v>
      </c>
      <c r="B2539" s="1" t="str">
        <f>"CHAMPLIN BARBARA LOU"</f>
        <v>CHAMPLIN BARBARA LOU</v>
      </c>
      <c r="C2539" s="1" t="str">
        <f>"THE VILLAS AT GLENEALY CONDOMINIUM 1ST AMD UNIT 7-6161"</f>
        <v>THE VILLAS AT GLENEALY CONDOMINIUM 1ST AMD UNIT 7-6161</v>
      </c>
      <c r="D2539" s="1">
        <v>388.51</v>
      </c>
    </row>
    <row r="2540" spans="1:4" x14ac:dyDescent="0.3">
      <c r="A2540" s="1" t="str">
        <f>"09000268900"</f>
        <v>09000268900</v>
      </c>
      <c r="B2540" s="1" t="str">
        <f>"CHAN LOUIE DUAN, CHAN LOUIE ART"</f>
        <v>CHAN LOUIE DUAN, CHAN LOUIE ART</v>
      </c>
      <c r="C2540" s="1" t="str">
        <f>"387 MAYFLOWER BLVD PINEWOOD LOT 224 PT RD VAC AD"</f>
        <v>387 MAYFLOWER BLVD PINEWOOD LOT 224 PT RD VAC AD</v>
      </c>
      <c r="D2540" s="1">
        <v>2781.08</v>
      </c>
    </row>
    <row r="2541" spans="1:4" x14ac:dyDescent="0.3">
      <c r="A2541" s="1" t="str">
        <f>"61020572800"</f>
        <v>61020572800</v>
      </c>
      <c r="B2541" s="1" t="str">
        <f>"CHANDER GIRISH"</f>
        <v>CHANDER GIRISH</v>
      </c>
      <c r="C2541" s="1" t="str">
        <f>"WORTHINGTON WOODS WEST CONDO #9 UNIT 18-C"</f>
        <v>WORTHINGTON WOODS WEST CONDO #9 UNIT 18-C</v>
      </c>
      <c r="D2541" s="1">
        <v>1796</v>
      </c>
    </row>
    <row r="2542" spans="1:4" x14ac:dyDescent="0.3">
      <c r="A2542" s="1" t="str">
        <f>"61020576600"</f>
        <v>61020576600</v>
      </c>
      <c r="B2542" s="1" t="str">
        <f>"CHANDER GIRISH"</f>
        <v>CHANDER GIRISH</v>
      </c>
      <c r="C2542" s="1" t="str">
        <f>"WORTHINGTON WOODS WEST CONDO #9 1ST AMD UNIT 25-C"</f>
        <v>WORTHINGTON WOODS WEST CONDO #9 1ST AMD UNIT 25-C</v>
      </c>
      <c r="D2542" s="1">
        <v>1883.32</v>
      </c>
    </row>
    <row r="2543" spans="1:4" x14ac:dyDescent="0.3">
      <c r="A2543" s="1" t="str">
        <f>"01002320200"</f>
        <v>01002320200</v>
      </c>
      <c r="B2543" s="1" t="str">
        <f>"CHANDLER ANTINIA"</f>
        <v>CHANDLER ANTINIA</v>
      </c>
      <c r="C2543" s="1" t="str">
        <f>"1572 WALSH AVE SULLIVANTS NS WALSH LOT 33"</f>
        <v>1572 WALSH AVE SULLIVANTS NS WALSH LOT 33</v>
      </c>
      <c r="D2543" s="1">
        <v>2866.32</v>
      </c>
    </row>
    <row r="2544" spans="1:4" x14ac:dyDescent="0.3">
      <c r="A2544" s="1" t="str">
        <f>"01016132200"</f>
        <v>01016132200</v>
      </c>
      <c r="B2544" s="1" t="str">
        <f>"CHANDLER NANCY D"</f>
        <v>CHANDLER NANCY D</v>
      </c>
      <c r="C2544" s="1" t="str">
        <f>"WOODBROOK CR N WOODBROOK VILLAGE CONDO UNIT 356"</f>
        <v>WOODBROOK CR N WOODBROOK VILLAGE CONDO UNIT 356</v>
      </c>
      <c r="D2544" s="1">
        <v>332.77</v>
      </c>
    </row>
    <row r="2545" spans="1:4" x14ac:dyDescent="0.3">
      <c r="A2545" s="1" t="str">
        <f>"13000452200"</f>
        <v>13000452200</v>
      </c>
      <c r="B2545" s="1" t="str">
        <f>"CHANDLER RUTH ANN, CHANDLER ROBERT D"</f>
        <v>CHANDLER RUTH ANN, CHANDLER ROBERT D</v>
      </c>
      <c r="C2545" s="1" t="str">
        <f>"BRANDON ST BET RANDNOR AVE &amp;PEGG RD ELMORE LOT 6"</f>
        <v>BRANDON ST BET RANDNOR AVE &amp;PEGG RD ELMORE LOT 6</v>
      </c>
      <c r="D2545" s="1">
        <v>808.32</v>
      </c>
    </row>
    <row r="2546" spans="1:4" x14ac:dyDescent="0.3">
      <c r="A2546" s="1" t="str">
        <f>"17000258100"</f>
        <v>17000258100</v>
      </c>
      <c r="B2546" s="1" t="str">
        <f>"CHANDUPATLA RAJA S, CHANDUPATLA KAVITA R"</f>
        <v>CHANDUPATLA RAJA S, CHANDUPATLA KAVITA R</v>
      </c>
      <c r="C2546" s="1" t="str">
        <f>"HAVENS COURT EAST LOT 4 (1.000 ACRES) HAVENSCOURT PHASE 1"</f>
        <v>HAVENS COURT EAST LOT 4 (1.000 ACRES) HAVENSCOURT PHASE 1</v>
      </c>
      <c r="D2546" s="1">
        <v>2080.25</v>
      </c>
    </row>
    <row r="2547" spans="1:4" x14ac:dyDescent="0.3">
      <c r="A2547" s="1" t="str">
        <f>"20000266600"</f>
        <v>20000266600</v>
      </c>
      <c r="B2547" s="1" t="str">
        <f>"CHANEY SUSAN G"</f>
        <v>CHANEY SUSAN G</v>
      </c>
      <c r="C2547" s="1" t="str">
        <f>"BRAIDWOOD DR RIDGEWOOD ESTATES 2 20 BLK 10"</f>
        <v>BRAIDWOOD DR RIDGEWOOD ESTATES 2 20 BLK 10</v>
      </c>
      <c r="D2547" s="1">
        <v>8396.81</v>
      </c>
    </row>
    <row r="2548" spans="1:4" x14ac:dyDescent="0.3">
      <c r="A2548" s="1" t="str">
        <f>"01004243300"</f>
        <v>01004243300</v>
      </c>
      <c r="B2548" s="1" t="str">
        <f>"CHANG BIN, LI YUE"</f>
        <v>CHANG BIN, LI YUE</v>
      </c>
      <c r="C2548" s="1" t="str">
        <f>"403-405 14TH AVE DENNISON SUMMIT LOT 207"</f>
        <v>403-405 14TH AVE DENNISON SUMMIT LOT 207</v>
      </c>
      <c r="D2548" s="1">
        <v>3573.64</v>
      </c>
    </row>
    <row r="2549" spans="1:4" x14ac:dyDescent="0.3">
      <c r="A2549" s="1" t="str">
        <f>"01028386200"</f>
        <v>01028386200</v>
      </c>
      <c r="B2549" s="1" t="str">
        <f>"CHANG DIANE TR, WIESEL PATRICK TR"</f>
        <v>CHANG DIANE TR, WIESEL PATRICK TR</v>
      </c>
      <c r="C2549" s="1" t="str">
        <f>"845 N HIGH ST # 401       THE DAKOTA CONDOMINIUM    UNIT 401                 "</f>
        <v xml:space="preserve">845 N HIGH ST # 401       THE DAKOTA CONDOMINIUM    UNIT 401                 </v>
      </c>
      <c r="D2549" s="1">
        <v>4338.8999999999996</v>
      </c>
    </row>
    <row r="2550" spans="1:4" x14ac:dyDescent="0.3">
      <c r="A2550" s="1" t="str">
        <f>"51528194700"</f>
        <v>51528194700</v>
      </c>
      <c r="B2550" s="1" t="str">
        <f>"CHANG TIAO J, CHANG SHIOW M"</f>
        <v>CHANG TIAO J, CHANG SHIOW M</v>
      </c>
      <c r="C2550" s="1" t="str">
        <f>"RAVINES AT WAGGONER PARK  CONDOMINIUM 7TH AMD       BLDG 25 UNIT 25-360      "</f>
        <v xml:space="preserve">RAVINES AT WAGGONER PARK  CONDOMINIUM 7TH AMD       BLDG 25 UNIT 25-360      </v>
      </c>
      <c r="D2550" s="1">
        <v>188.89</v>
      </c>
    </row>
    <row r="2551" spans="1:4" x14ac:dyDescent="0.3">
      <c r="A2551" s="1" t="str">
        <f>"01006182200"</f>
        <v>01006182200</v>
      </c>
      <c r="B2551" s="1" t="str">
        <f>"CHANG YONGWOO, SONG JAEPHIL"</f>
        <v>CHANG YONGWOO, SONG JAEPHIL</v>
      </c>
      <c r="C2551" s="1" t="str">
        <f>"J OVERTON SUB LOT 1 "</f>
        <v xml:space="preserve">J OVERTON SUB LOT 1 </v>
      </c>
      <c r="D2551" s="1">
        <v>60.61</v>
      </c>
    </row>
    <row r="2552" spans="1:4" x14ac:dyDescent="0.3">
      <c r="A2552" s="1" t="str">
        <f>"01005263600"</f>
        <v>01005263600</v>
      </c>
      <c r="B2552" s="1" t="str">
        <f>"CHANG YONGWOO, SONG JAEPHIL"</f>
        <v>CHANG YONGWOO, SONG JAEPHIL</v>
      </c>
      <c r="C2552" s="1" t="str">
        <f>"GREENLAWN AVE J OVERTON LOT 1"</f>
        <v>GREENLAWN AVE J OVERTON LOT 1</v>
      </c>
      <c r="D2552" s="1">
        <v>633.92999999999995</v>
      </c>
    </row>
    <row r="2553" spans="1:4" x14ac:dyDescent="0.3">
      <c r="A2553" s="1" t="str">
        <f>"57017773900"</f>
        <v>57017773900</v>
      </c>
      <c r="B2553" s="1" t="str">
        <f>"CHANNEL KAREN S"</f>
        <v>CHANNEL KAREN S</v>
      </c>
      <c r="C2553" s="1" t="str">
        <f>"BRANDING IRON DR GREENE COUNTRIE SEC3 PH1 LOT 226"</f>
        <v>BRANDING IRON DR GREENE COUNTRIE SEC3 PH1 LOT 226</v>
      </c>
      <c r="D2553" s="1">
        <v>168.96</v>
      </c>
    </row>
    <row r="2554" spans="1:4" x14ac:dyDescent="0.3">
      <c r="A2554" s="1" t="str">
        <f>"01012942300"</f>
        <v>01012942300</v>
      </c>
      <c r="B2554" s="1" t="str">
        <f>"CHANTHASENE BOUNCHANH, SYHANATH VIENGNAKHONE"</f>
        <v>CHANTHASENE BOUNCHANH, SYHANATH VIENGNAKHONE</v>
      </c>
      <c r="C2554" s="1" t="str">
        <f>"MARECO PLACE EASE MARECO EAST LOT 40"</f>
        <v>MARECO PLACE EASE MARECO EAST LOT 40</v>
      </c>
      <c r="D2554" s="1">
        <v>132.19999999999999</v>
      </c>
    </row>
    <row r="2555" spans="1:4" x14ac:dyDescent="0.3">
      <c r="A2555" s="1" t="str">
        <f>"15000171700"</f>
        <v>15000171700</v>
      </c>
      <c r="B2555" s="1" t="str">
        <f>"CHAPMAN DAVID JR"</f>
        <v>CHAPMAN DAVID JR</v>
      </c>
      <c r="C2555" s="1" t="str">
        <f>"1107 GILCREST AVE HAMILTON MEADOWS 95 "</f>
        <v xml:space="preserve">1107 GILCREST AVE HAMILTON MEADOWS 95 </v>
      </c>
      <c r="D2555" s="1">
        <v>653.29</v>
      </c>
    </row>
    <row r="2556" spans="1:4" x14ac:dyDescent="0.3">
      <c r="A2556" s="1" t="str">
        <f>"01007053600"</f>
        <v>01007053600</v>
      </c>
      <c r="B2556" s="1" t="str">
        <f>"CHAPMAN ROBIN N"</f>
        <v>CHAPMAN ROBIN N</v>
      </c>
      <c r="C2556" s="1" t="str">
        <f>"175 WESTGATE AVE WESTGATE LOT 102"</f>
        <v>175 WESTGATE AVE WESTGATE LOT 102</v>
      </c>
      <c r="D2556" s="1">
        <v>182.43</v>
      </c>
    </row>
    <row r="2557" spans="1:4" x14ac:dyDescent="0.3">
      <c r="A2557" s="1" t="str">
        <f>"01028767100"</f>
        <v>01028767100</v>
      </c>
      <c r="B2557" s="1" t="str">
        <f>"CHAPPELEAR CONSTANCE"</f>
        <v>CHAPPELEAR CONSTANCE</v>
      </c>
      <c r="C2557" s="1" t="str">
        <f>"2403 KEEP PLACE THE KEEP CONDOMINUM 3RD AMD. BLDG 4 UNIT 2403"</f>
        <v>2403 KEEP PLACE THE KEEP CONDOMINUM 3RD AMD. BLDG 4 UNIT 2403</v>
      </c>
      <c r="D2557" s="1">
        <v>392.38</v>
      </c>
    </row>
    <row r="2558" spans="1:4" x14ac:dyDescent="0.3">
      <c r="A2558" s="1" t="str">
        <f>"15300010900"</f>
        <v>15300010900</v>
      </c>
      <c r="B2558" s="1" t="str">
        <f>"CHARLES FRANKLIN D, CHARLES KAREN G"</f>
        <v>CHARLES FRANKLIN D, CHARLES KAREN G</v>
      </c>
      <c r="C2558" s="1" t="str">
        <f>"ETHEL RD SO MCFADYENS ACRES LOTS 39 &amp; 40"</f>
        <v>ETHEL RD SO MCFADYENS ACRES LOTS 39 &amp; 40</v>
      </c>
      <c r="D2558" s="1">
        <v>242.46</v>
      </c>
    </row>
    <row r="2559" spans="1:4" x14ac:dyDescent="0.3">
      <c r="A2559" s="1" t="str">
        <f>"01006866600"</f>
        <v>01006866600</v>
      </c>
      <c r="B2559" s="1" t="str">
        <f>"CHARLES MICHAEL D"</f>
        <v>CHARLES MICHAEL D</v>
      </c>
      <c r="C2559" s="1" t="str">
        <f>"HAGUE AVE WILSHIRE HEIGHTS LOT 8 BLK 14"</f>
        <v>HAGUE AVE WILSHIRE HEIGHTS LOT 8 BLK 14</v>
      </c>
      <c r="D2559" s="1">
        <v>963.81</v>
      </c>
    </row>
    <row r="2560" spans="1:4" x14ac:dyDescent="0.3">
      <c r="A2560" s="1" t="str">
        <f>"04000016800"</f>
        <v>04000016800</v>
      </c>
      <c r="B2560" s="1" t="str">
        <f>"CHARLES MICHAEL D"</f>
        <v>CHARLES MICHAEL D</v>
      </c>
      <c r="C2560" s="1" t="str">
        <f>"S BROADWAY ST SAWHILL 12 FT S S LOT 5 &amp; 12 FT AL VAC"</f>
        <v>S BROADWAY ST SAWHILL 12 FT S S LOT 5 &amp; 12 FT AL VAC</v>
      </c>
      <c r="D2560" s="1">
        <v>60.82</v>
      </c>
    </row>
    <row r="2561" spans="1:4" x14ac:dyDescent="0.3">
      <c r="A2561" s="1" t="str">
        <f>"04000103400"</f>
        <v>04000103400</v>
      </c>
      <c r="B2561" s="1" t="str">
        <f>"CHARLES MICHAEL D"</f>
        <v>CHARLES MICHAEL D</v>
      </c>
      <c r="C2561" s="1" t="str">
        <f>"3745 S BROADWAY HRRS BRG PK ALL 4 &amp; 34 FT NS5 &amp; 80FT VAC SWHLL"</f>
        <v>3745 S BROADWAY HRRS BRG PK ALL 4 &amp; 34 FT NS5 &amp; 80FT VAC SWHLL</v>
      </c>
      <c r="D2561" s="1">
        <v>6722.52</v>
      </c>
    </row>
    <row r="2562" spans="1:4" x14ac:dyDescent="0.3">
      <c r="A2562" s="1" t="str">
        <f>"01027898200"</f>
        <v>01027898200</v>
      </c>
      <c r="B2562" s="1" t="str">
        <f>"CHASE BRANDON"</f>
        <v>CHASE BRANDON</v>
      </c>
      <c r="C2562" s="1" t="str">
        <f>"HAMPTONS AT NEW ALBANY    PARK CONDOMINIUM 11TH AMD BLDG 7 UNIT 7-6093       "</f>
        <v xml:space="preserve">HAMPTONS AT NEW ALBANY    PARK CONDOMINIUM 11TH AMD BLDG 7 UNIT 7-6093       </v>
      </c>
      <c r="D2562" s="1">
        <v>1691.22</v>
      </c>
    </row>
    <row r="2563" spans="1:4" x14ac:dyDescent="0.3">
      <c r="A2563" s="1" t="str">
        <f>"08000989800"</f>
        <v>08000989800</v>
      </c>
      <c r="B2563" s="1" t="str">
        <f>"CHASE BRANDON B"</f>
        <v>CHASE BRANDON B</v>
      </c>
      <c r="C2563" s="1" t="str">
        <f>"JUNIPER AVE COLLEGE KNOLLS PH 1 LOT 28"</f>
        <v>JUNIPER AVE COLLEGE KNOLLS PH 1 LOT 28</v>
      </c>
      <c r="D2563" s="1">
        <v>4393.05</v>
      </c>
    </row>
    <row r="2564" spans="1:4" x14ac:dyDescent="0.3">
      <c r="A2564" s="1" t="str">
        <f>"56018437700"</f>
        <v>56018437700</v>
      </c>
      <c r="B2564" s="1" t="str">
        <f>"CHASE DAVID E, CHASE DENISE A"</f>
        <v>CHASE DAVID E, CHASE DENISE A</v>
      </c>
      <c r="C2564" s="1" t="str">
        <f>"HEYSHAM DR THE GLEN NO 4 LOT 308"</f>
        <v>HEYSHAM DR THE GLEN NO 4 LOT 308</v>
      </c>
      <c r="D2564" s="1">
        <v>6468.76</v>
      </c>
    </row>
    <row r="2565" spans="1:4" x14ac:dyDescent="0.3">
      <c r="A2565" s="1" t="str">
        <f>"01013724500"</f>
        <v>01013724500</v>
      </c>
      <c r="B2565" s="1" t="str">
        <f>"CHATMAN-SMITH DEBORAH"</f>
        <v>CHATMAN-SMITH DEBORAH</v>
      </c>
      <c r="C2565" s="1" t="str">
        <f>"2095 ROCHELLE PL PT LOT 15 GLENBROOK"</f>
        <v>2095 ROCHELLE PL PT LOT 15 GLENBROOK</v>
      </c>
      <c r="D2565" s="1">
        <v>1303.06</v>
      </c>
    </row>
    <row r="2566" spans="1:4" x14ac:dyDescent="0.3">
      <c r="A2566" s="1" t="str">
        <f>"59022369300"</f>
        <v>59022369300</v>
      </c>
      <c r="B2566" s="1" t="str">
        <f>"CHATTERJI SIPRA, MUKHERJEE DHRON"</f>
        <v>CHATTERJI SIPRA, MUKHERJEE DHRON</v>
      </c>
      <c r="C2566" s="1" t="str">
        <f>"BETHEL VILLAGE CONDOMINIUM 6TH AMD UNIT 70E"</f>
        <v>BETHEL VILLAGE CONDOMINIUM 6TH AMD UNIT 70E</v>
      </c>
      <c r="D2566" s="1">
        <v>5331.29</v>
      </c>
    </row>
    <row r="2567" spans="1:4" x14ac:dyDescent="0.3">
      <c r="A2567" s="1" t="str">
        <f>"01027913500"</f>
        <v>01027913500</v>
      </c>
      <c r="B2567" s="1" t="str">
        <f>"CHATTERTON CARSON"</f>
        <v>CHATTERTON CARSON</v>
      </c>
      <c r="C2567" s="1" t="str">
        <f>"BURNHAM SQUARE CONDOMINIUM UNIT PS-126(PARKING UNIT)"</f>
        <v>BURNHAM SQUARE CONDOMINIUM UNIT PS-126(PARKING UNIT)</v>
      </c>
      <c r="D2567" s="1">
        <v>557.49</v>
      </c>
    </row>
    <row r="2568" spans="1:4" x14ac:dyDescent="0.3">
      <c r="A2568" s="1" t="str">
        <f>"27301300200"</f>
        <v>27301300200</v>
      </c>
      <c r="B2568" s="1" t="str">
        <f>"CHAUDHARY TAULESHWAR, CHAUDHARY BINDU"</f>
        <v>CHAUDHARY TAULESHWAR, CHAUDHARY BINDU</v>
      </c>
      <c r="C2568" s="1" t="str">
        <f>"ESTATES AT SCIOTO CROSSING III CONDOMINIUM 18TH AMD PHASE 19 UNIT 39"</f>
        <v>ESTATES AT SCIOTO CROSSING III CONDOMINIUM 18TH AMD PHASE 19 UNIT 39</v>
      </c>
      <c r="D2568" s="1">
        <v>461.63</v>
      </c>
    </row>
    <row r="2569" spans="1:4" x14ac:dyDescent="0.3">
      <c r="A2569" s="1" t="str">
        <f>"01001170600"</f>
        <v>01001170600</v>
      </c>
      <c r="B2569" s="1" t="str">
        <f>"CHAUDHRY TARIQ N"</f>
        <v>CHAUDHRY TARIQ N</v>
      </c>
      <c r="C2569" s="1" t="str">
        <f>"244 S CENTRAL AVE NL DOREN CENTRAL AVE LOT 199"</f>
        <v>244 S CENTRAL AVE NL DOREN CENTRAL AVE LOT 199</v>
      </c>
      <c r="D2569" s="1">
        <v>2873.85</v>
      </c>
    </row>
    <row r="2570" spans="1:4" x14ac:dyDescent="0.3">
      <c r="A2570" s="1" t="str">
        <f>"57014360800"</f>
        <v>57014360800</v>
      </c>
      <c r="B2570" s="1" t="str">
        <f>"CHAVEZ ARTURO JR"</f>
        <v>CHAVEZ ARTURO JR</v>
      </c>
      <c r="C2570" s="1" t="str">
        <f>"1539 GREENLEAF ROMA V&amp;MAE E SCREEN .578 ACRE LOT 3"</f>
        <v>1539 GREENLEAF ROMA V&amp;MAE E SCREEN .578 ACRE LOT 3</v>
      </c>
      <c r="D2570" s="1">
        <v>4486.6099999999997</v>
      </c>
    </row>
    <row r="2571" spans="1:4" x14ac:dyDescent="0.3">
      <c r="A2571" s="1" t="str">
        <f>"01011105500"</f>
        <v>01011105500</v>
      </c>
      <c r="B2571" s="1" t="str">
        <f>"CHAVEZ GLADIS N"</f>
        <v>CHAVEZ GLADIS N</v>
      </c>
      <c r="C2571" s="1" t="str">
        <f>"DEMOREST RD ROSARY LOT 12 BLK 2"</f>
        <v>DEMOREST RD ROSARY LOT 12 BLK 2</v>
      </c>
      <c r="D2571" s="1">
        <v>1485.88</v>
      </c>
    </row>
    <row r="2572" spans="1:4" x14ac:dyDescent="0.3">
      <c r="A2572" s="1" t="str">
        <f>"59019055400"</f>
        <v>59019055400</v>
      </c>
      <c r="B2572" s="1" t="str">
        <f>"CHAZAZWAH LOIY"</f>
        <v>CHAZAZWAH LOIY</v>
      </c>
      <c r="C2572" s="1" t="str">
        <f>"MICHAELKENNEY LA TRAFALGAR COMMONS LOT 10"</f>
        <v>MICHAELKENNEY LA TRAFALGAR COMMONS LOT 10</v>
      </c>
      <c r="D2572" s="1">
        <v>3910.97</v>
      </c>
    </row>
    <row r="2573" spans="1:4" x14ac:dyDescent="0.3">
      <c r="A2573" s="1" t="str">
        <f>"14100010200"</f>
        <v>14100010200</v>
      </c>
      <c r="B2573" s="1" t="str">
        <f>"CHEADLE JAMES JR"</f>
        <v>CHEADLE JAMES JR</v>
      </c>
      <c r="C2573" s="1" t="str">
        <f>"491 PROSPECT ST PROSPECT PK LOT 57"</f>
        <v>491 PROSPECT ST PROSPECT PK LOT 57</v>
      </c>
      <c r="D2573" s="1">
        <v>291.70999999999998</v>
      </c>
    </row>
    <row r="2574" spans="1:4" x14ac:dyDescent="0.3">
      <c r="A2574" s="1" t="str">
        <f>"01003554500"</f>
        <v>01003554500</v>
      </c>
      <c r="B2574" s="1" t="str">
        <f>"CHEADLE JAMES JR"</f>
        <v>CHEADLE JAMES JR</v>
      </c>
      <c r="C2574" s="1" t="str">
        <f>"277 N WHEATLAND AVE GLENVIEW HTS LOT 160"</f>
        <v>277 N WHEATLAND AVE GLENVIEW HTS LOT 160</v>
      </c>
      <c r="D2574" s="1">
        <v>1148.44</v>
      </c>
    </row>
    <row r="2575" spans="1:4" x14ac:dyDescent="0.3">
      <c r="A2575" s="1" t="str">
        <f>"14100011100"</f>
        <v>14100011100</v>
      </c>
      <c r="B2575" s="1" t="str">
        <f>"CHEADLE JIM JR"</f>
        <v>CHEADLE JIM JR</v>
      </c>
      <c r="C2575" s="1" t="str">
        <f>"487 PROSPECT ST PROSPECT PARK LOT 58 "</f>
        <v xml:space="preserve">487 PROSPECT ST PROSPECT PARK LOT 58 </v>
      </c>
      <c r="D2575" s="1">
        <v>291.70999999999998</v>
      </c>
    </row>
    <row r="2576" spans="1:4" x14ac:dyDescent="0.3">
      <c r="A2576" s="1" t="str">
        <f>"14100011200"</f>
        <v>14100011200</v>
      </c>
      <c r="B2576" s="1" t="str">
        <f>"CHEADLE JIM JR"</f>
        <v>CHEADLE JIM JR</v>
      </c>
      <c r="C2576" s="1" t="str">
        <f>"PROSPECT ST PROSPECT PARK LOT 59 "</f>
        <v xml:space="preserve">PROSPECT ST PROSPECT PARK LOT 59 </v>
      </c>
      <c r="D2576" s="1">
        <v>291.70999999999998</v>
      </c>
    </row>
    <row r="2577" spans="1:4" x14ac:dyDescent="0.3">
      <c r="A2577" s="1" t="str">
        <f>"01004151300"</f>
        <v>01004151300</v>
      </c>
      <c r="B2577" s="1" t="str">
        <f>"CHECKLER ELINA E"</f>
        <v>CHECKLER ELINA E</v>
      </c>
      <c r="C2577" s="1" t="str">
        <f>"722 E MOUND ST HANNAH NEIL MISSION SUB 7"</f>
        <v>722 E MOUND ST HANNAH NEIL MISSION SUB 7</v>
      </c>
      <c r="D2577" s="1">
        <v>197.22</v>
      </c>
    </row>
    <row r="2578" spans="1:4" x14ac:dyDescent="0.3">
      <c r="A2578" s="1" t="str">
        <f>"01009911200"</f>
        <v>01009911200</v>
      </c>
      <c r="B2578" s="1" t="str">
        <f>"CHEESEMAN DONALD K"</f>
        <v>CHEESEMAN DONALD K</v>
      </c>
      <c r="C2578" s="1" t="str">
        <f>"SOLAR DR FAIRWAY LOT 9"</f>
        <v>SOLAR DR FAIRWAY LOT 9</v>
      </c>
      <c r="D2578" s="1">
        <v>2406.23</v>
      </c>
    </row>
    <row r="2579" spans="1:4" x14ac:dyDescent="0.3">
      <c r="A2579" s="1" t="str">
        <f>"27301105100"</f>
        <v>27301105100</v>
      </c>
      <c r="B2579" s="1" t="str">
        <f>"CHEETI RAJU, CHALIMEDA HARITHA"</f>
        <v>CHEETI RAJU, CHALIMEDA HARITHA</v>
      </c>
      <c r="C2579" s="1" t="str">
        <f>"HANOVER CIRCLE SHANNON GLEN SECTION 6 LOT 144"</f>
        <v>HANOVER CIRCLE SHANNON GLEN SECTION 6 LOT 144</v>
      </c>
      <c r="D2579" s="1">
        <v>6188.67</v>
      </c>
    </row>
    <row r="2580" spans="1:4" x14ac:dyDescent="0.3">
      <c r="A2580" s="1" t="str">
        <f>"61023350500"</f>
        <v>61023350500</v>
      </c>
      <c r="B2580" s="1" t="str">
        <f>"CHEN JIA D"</f>
        <v>CHEN JIA D</v>
      </c>
      <c r="C2580" s="1" t="str">
        <f>"LINKFIELD DRIVE WORTHINGTON VILLAGE NORTH SEC 2 LOT 34"</f>
        <v>LINKFIELD DRIVE WORTHINGTON VILLAGE NORTH SEC 2 LOT 34</v>
      </c>
      <c r="D2580" s="1">
        <v>3690.14</v>
      </c>
    </row>
    <row r="2581" spans="1:4" x14ac:dyDescent="0.3">
      <c r="A2581" s="1" t="str">
        <f>"59017964800"</f>
        <v>59017964800</v>
      </c>
      <c r="B2581" s="1" t="str">
        <f>"CHEN JUN TR, WANG FANGHONG TR"</f>
        <v>CHEN JUN TR, WANG FANGHONG TR</v>
      </c>
      <c r="C2581" s="1" t="str">
        <f>"MILLBURY AVE RIVERSIDE GREEN SO 1 LOT 12"</f>
        <v>MILLBURY AVE RIVERSIDE GREEN SO 1 LOT 12</v>
      </c>
      <c r="D2581" s="1">
        <v>306.52</v>
      </c>
    </row>
    <row r="2582" spans="1:4" x14ac:dyDescent="0.3">
      <c r="A2582" s="1" t="str">
        <f>"59018092500"</f>
        <v>59018092500</v>
      </c>
      <c r="B2582" s="1" t="str">
        <f>"CHEN LAUREN XI"</f>
        <v>CHEN LAUREN XI</v>
      </c>
      <c r="C2582" s="1" t="str">
        <f>"MCKITRICK BLVD MCKITRICK EST SEC 5 LOT 121"</f>
        <v>MCKITRICK BLVD MCKITRICK EST SEC 5 LOT 121</v>
      </c>
      <c r="D2582" s="1">
        <v>215.3</v>
      </c>
    </row>
    <row r="2583" spans="1:4" x14ac:dyDescent="0.3">
      <c r="A2583" s="1" t="str">
        <f>"27300705300"</f>
        <v>27300705300</v>
      </c>
      <c r="B2583" s="1" t="str">
        <f>"CHEN QINGJIE, HE CAIJU"</f>
        <v>CHEN QINGJIE, HE CAIJU</v>
      </c>
      <c r="C2583" s="1" t="str">
        <f>"CURRAGH COURT DUBLINSHIRE SEC5 PH3 LOT 484"</f>
        <v>CURRAGH COURT DUBLINSHIRE SEC5 PH3 LOT 484</v>
      </c>
      <c r="D2583" s="1">
        <v>260.60000000000002</v>
      </c>
    </row>
    <row r="2584" spans="1:4" x14ac:dyDescent="0.3">
      <c r="A2584" s="1" t="str">
        <f>"08000673800"</f>
        <v>08000673800</v>
      </c>
      <c r="B2584" s="1" t="str">
        <f>"CHEN VIRGINIA WU-JEN, CHEN CHIH PING"</f>
        <v>CHEN VIRGINIA WU-JEN, CHEN CHIH PING</v>
      </c>
      <c r="C2584" s="1" t="str">
        <f>"CHINKAPIN WAY TWELVE TREES SEC 2 LOT 88"</f>
        <v>CHINKAPIN WAY TWELVE TREES SEC 2 LOT 88</v>
      </c>
      <c r="D2584" s="1">
        <v>4813.7</v>
      </c>
    </row>
    <row r="2585" spans="1:4" x14ac:dyDescent="0.3">
      <c r="A2585" s="1" t="str">
        <f>"01009158000"</f>
        <v>01009158000</v>
      </c>
      <c r="B2585" s="1" t="str">
        <f>"CHEN XIAOSHENG, ZHENG LIN"</f>
        <v>CHEN XIAOSHENG, ZHENG LIN</v>
      </c>
      <c r="C2585" s="1" t="str">
        <f>"BRADWELL DRIVE SOUTHERN PINES 11 LOT 674"</f>
        <v>BRADWELL DRIVE SOUTHERN PINES 11 LOT 674</v>
      </c>
      <c r="D2585" s="1">
        <v>29.62</v>
      </c>
    </row>
    <row r="2586" spans="1:4" x14ac:dyDescent="0.3">
      <c r="A2586" s="1" t="str">
        <f>"61027092200"</f>
        <v>61027092200</v>
      </c>
      <c r="B2586" s="1" t="str">
        <f>"CHEN XIN"</f>
        <v>CHEN XIN</v>
      </c>
      <c r="C2586" s="1" t="str">
        <f>"WAVETREE CT OLDSTONE CROSSING SEC 1 LOT 38"</f>
        <v>WAVETREE CT OLDSTONE CROSSING SEC 1 LOT 38</v>
      </c>
      <c r="D2586" s="1">
        <v>739.29</v>
      </c>
    </row>
    <row r="2587" spans="1:4" x14ac:dyDescent="0.3">
      <c r="A2587" s="1" t="str">
        <f>"61020932400"</f>
        <v>61020932400</v>
      </c>
      <c r="B2587" s="1" t="str">
        <f>"CHEN XUE QIN"</f>
        <v>CHEN XUE QIN</v>
      </c>
      <c r="C2587" s="1" t="str">
        <f>"WORTHINGTON PARK CONDOMINIUM UNIT 3E"</f>
        <v>WORTHINGTON PARK CONDOMINIUM UNIT 3E</v>
      </c>
      <c r="D2587" s="1">
        <v>1710.48</v>
      </c>
    </row>
    <row r="2588" spans="1:4" x14ac:dyDescent="0.3">
      <c r="A2588" s="1" t="str">
        <f>"61020938900"</f>
        <v>61020938900</v>
      </c>
      <c r="B2588" s="1" t="str">
        <f>"CHEN XUE QIN"</f>
        <v>CHEN XUE QIN</v>
      </c>
      <c r="C2588" s="1" t="str">
        <f>"WORTHINGTON PARK CONDO 3RD AMD UNIT 10C"</f>
        <v>WORTHINGTON PARK CONDO 3RD AMD UNIT 10C</v>
      </c>
      <c r="D2588" s="1">
        <v>1694.15</v>
      </c>
    </row>
    <row r="2589" spans="1:4" x14ac:dyDescent="0.3">
      <c r="A2589" s="1" t="str">
        <f>"61022811300"</f>
        <v>61022811300</v>
      </c>
      <c r="B2589" s="1" t="str">
        <f>"CHEN XUE QIN"</f>
        <v>CHEN XUE QIN</v>
      </c>
      <c r="C2589" s="1" t="str">
        <f>"WORTHINGTON PARK PLACE SECTION 3 LOT 85"</f>
        <v>WORTHINGTON PARK PLACE SECTION 3 LOT 85</v>
      </c>
      <c r="D2589" s="1">
        <v>9324.02</v>
      </c>
    </row>
    <row r="2590" spans="1:4" x14ac:dyDescent="0.3">
      <c r="A2590" s="1" t="str">
        <f>"02501317000"</f>
        <v>02501317000</v>
      </c>
      <c r="B2590" s="1" t="str">
        <f>"CHENG LAM, CHENG LEE LEE"</f>
        <v>CHENG LAM, CHENG LEE LEE</v>
      </c>
      <c r="C2590" s="1" t="str">
        <f>"GAHANNA GROVE CONDOMINIUM 3RD AMD BLDG 17 UNIT 1702"</f>
        <v>GAHANNA GROVE CONDOMINIUM 3RD AMD BLDG 17 UNIT 1702</v>
      </c>
      <c r="D2590" s="1">
        <v>1876.73</v>
      </c>
    </row>
    <row r="2591" spans="1:4" x14ac:dyDescent="0.3">
      <c r="A2591" s="1" t="str">
        <f>"05000471300"</f>
        <v>05000471300</v>
      </c>
      <c r="B2591" s="1" t="str">
        <f>"CHENG SIGUAN"</f>
        <v>CHENG SIGUAN</v>
      </c>
      <c r="C2591" s="1" t="str">
        <f>"4553 COOLBROOK DRIVE RIVER LANDINGS SEC 3 LOT 286"</f>
        <v>4553 COOLBROOK DRIVE RIVER LANDINGS SEC 3 LOT 286</v>
      </c>
      <c r="D2591" s="1">
        <v>9293.94</v>
      </c>
    </row>
    <row r="2592" spans="1:4" x14ac:dyDescent="0.3">
      <c r="A2592" s="1" t="str">
        <f>"01015312100"</f>
        <v>01015312100</v>
      </c>
      <c r="B2592" s="1" t="str">
        <f>"CHEREVAS PETER"</f>
        <v>CHEREVAS PETER</v>
      </c>
      <c r="C2592" s="1" t="str">
        <f>"DUNKIRK DR BRITTANY HILLS SEC 2 LOT 168"</f>
        <v>DUNKIRK DR BRITTANY HILLS SEC 2 LOT 168</v>
      </c>
      <c r="D2592" s="1">
        <v>77.400000000000006</v>
      </c>
    </row>
    <row r="2593" spans="1:4" x14ac:dyDescent="0.3">
      <c r="A2593" s="1" t="str">
        <f>"10000618500"</f>
        <v>10000618500</v>
      </c>
      <c r="B2593" s="1" t="str">
        <f>"CHERNICK ED, CHERNICK LESLIE"</f>
        <v>CHERNICK ED, CHERNICK LESLIE</v>
      </c>
      <c r="C2593" s="1" t="str">
        <f>"1157 W STRATHAVEN CT STRATHAVEN WORTH AMD BLDG 12 UNIT C"</f>
        <v>1157 W STRATHAVEN CT STRATHAVEN WORTH AMD BLDG 12 UNIT C</v>
      </c>
      <c r="D2593" s="1">
        <v>9839.59</v>
      </c>
    </row>
    <row r="2594" spans="1:4" x14ac:dyDescent="0.3">
      <c r="A2594" s="1" t="str">
        <f>"01014156700"</f>
        <v>01014156700</v>
      </c>
      <c r="B2594" s="1" t="str">
        <f>"CHERRY BRENDA J, HAIRSTON STEPHEN, HAIRSTON CECIL O"</f>
        <v>CHERRY BRENDA J, HAIRSTON STEPHEN, HAIRSTON CECIL O</v>
      </c>
      <c r="C2594" s="1" t="str">
        <f>"CHELFORD CT SOMERSET 1 LOT 99"</f>
        <v>CHELFORD CT SOMERSET 1 LOT 99</v>
      </c>
      <c r="D2594" s="1">
        <v>1819.87</v>
      </c>
    </row>
    <row r="2595" spans="1:4" x14ac:dyDescent="0.3">
      <c r="A2595" s="1" t="str">
        <f>"59018120500"</f>
        <v>59018120500</v>
      </c>
      <c r="B2595" s="1" t="str">
        <f>"CHERYLBROOK LLC"</f>
        <v>CHERYLBROOK LLC</v>
      </c>
      <c r="C2595" s="1" t="str">
        <f>"CHERYLBROOK LANE TRAFALGAR COMMONS LOT 47"</f>
        <v>CHERYLBROOK LANE TRAFALGAR COMMONS LOT 47</v>
      </c>
      <c r="D2595" s="1">
        <v>6806.66</v>
      </c>
    </row>
    <row r="2596" spans="1:4" x14ac:dyDescent="0.3">
      <c r="A2596" s="1" t="str">
        <f>"59018120600"</f>
        <v>59018120600</v>
      </c>
      <c r="B2596" s="1" t="str">
        <f>"CHERYLBROOK LLC"</f>
        <v>CHERYLBROOK LLC</v>
      </c>
      <c r="C2596" s="1" t="str">
        <f>"CHERYLBROOK LANE TRAFALGAR COMMONS LOT 48"</f>
        <v>CHERYLBROOK LANE TRAFALGAR COMMONS LOT 48</v>
      </c>
      <c r="D2596" s="1">
        <v>444.83</v>
      </c>
    </row>
    <row r="2597" spans="1:4" x14ac:dyDescent="0.3">
      <c r="A2597" s="1" t="str">
        <f>"24000271000"</f>
        <v>24000271000</v>
      </c>
      <c r="B2597" s="1" t="str">
        <f>"CHESLOCK DOROTHEA M"</f>
        <v>CHESLOCK DOROTHEA M</v>
      </c>
      <c r="C2597" s="1" t="str">
        <f>"OXLEY RD ROME HTS LOT 158 &amp; 1/2 VAC ALLEY"</f>
        <v>OXLEY RD ROME HTS LOT 158 &amp; 1/2 VAC ALLEY</v>
      </c>
      <c r="D2597" s="1">
        <v>2704.78</v>
      </c>
    </row>
    <row r="2598" spans="1:4" x14ac:dyDescent="0.3">
      <c r="A2598" s="1" t="str">
        <f>"23000266600"</f>
        <v>23000266600</v>
      </c>
      <c r="B2598" s="1" t="str">
        <f>"CHESTER EVELYN L E"</f>
        <v>CHESTER EVELYN L E</v>
      </c>
      <c r="C2598" s="1" t="str">
        <f>"PERSIMMON WAY A E MCDOWELLS EAST DARBYDALE 3 11"</f>
        <v>PERSIMMON WAY A E MCDOWELLS EAST DARBYDALE 3 11</v>
      </c>
      <c r="D2598" s="1">
        <v>3466.19</v>
      </c>
    </row>
    <row r="2599" spans="1:4" x14ac:dyDescent="0.3">
      <c r="A2599" s="1" t="str">
        <f>"01000701500"</f>
        <v>01000701500</v>
      </c>
      <c r="B2599" s="1" t="str">
        <f>"CHESTERFIELD REAL ESTATE LLC"</f>
        <v>CHESTERFIELD REAL ESTATE LLC</v>
      </c>
      <c r="C2599" s="1" t="str">
        <f>"780 CHESTERFIELD RD .1361 ACRES R21 T12 S18"</f>
        <v>780 CHESTERFIELD RD .1361 ACRES R21 T12 S18</v>
      </c>
      <c r="D2599" s="1">
        <v>5374.61</v>
      </c>
    </row>
    <row r="2600" spans="1:4" x14ac:dyDescent="0.3">
      <c r="A2600" s="1" t="str">
        <f>"01007086300"</f>
        <v>01007086300</v>
      </c>
      <c r="B2600" s="1" t="str">
        <f>"CHESTERFIELD REAL ESTATE LLC"</f>
        <v>CHESTERFIELD REAL ESTATE LLC</v>
      </c>
      <c r="C2600" s="1" t="str">
        <f>"CHESTERFIELD RD ACRE .116 PAR 17 URP"</f>
        <v>CHESTERFIELD RD ACRE .116 PAR 17 URP</v>
      </c>
      <c r="D2600" s="1">
        <v>5374.61</v>
      </c>
    </row>
    <row r="2601" spans="1:4" x14ac:dyDescent="0.3">
      <c r="A2601" s="1" t="str">
        <f>"01007086000"</f>
        <v>01007086000</v>
      </c>
      <c r="B2601" s="1" t="str">
        <f>"CHESTERFIELD REAL ESTATE LLC"</f>
        <v>CHESTERFIELD REAL ESTATE LLC</v>
      </c>
      <c r="C2601" s="1" t="str">
        <f>"CHESTERFIELD RD ACRE .171 PAR 14 URP"</f>
        <v>CHESTERFIELD RD ACRE .171 PAR 14 URP</v>
      </c>
      <c r="D2601" s="1">
        <v>5374.61</v>
      </c>
    </row>
    <row r="2602" spans="1:4" x14ac:dyDescent="0.3">
      <c r="A2602" s="1" t="str">
        <f>"01007086900"</f>
        <v>01007086900</v>
      </c>
      <c r="B2602" s="1" t="str">
        <f>"CHESTERFIELD REAL ESTATE LLC"</f>
        <v>CHESTERFIELD REAL ESTATE LLC</v>
      </c>
      <c r="C2602" s="1" t="str">
        <f>"CHESTERFIELD RD .150 ACR PAR 1 URP R21 T12 S18 1/2 S30"</f>
        <v>CHESTERFIELD RD .150 ACR PAR 1 URP R21 T12 S18 1/2 S30</v>
      </c>
      <c r="D2602" s="1">
        <v>5374.61</v>
      </c>
    </row>
    <row r="2603" spans="1:4" x14ac:dyDescent="0.3">
      <c r="A2603" s="1" t="str">
        <f>"01007086500"</f>
        <v>01007086500</v>
      </c>
      <c r="B2603" s="1" t="str">
        <f>"CHESTERFIELD REAL ESTATE LLC"</f>
        <v>CHESTERFIELD REAL ESTATE LLC</v>
      </c>
      <c r="C2603" s="1" t="str">
        <f>"CHESTERFIELD RD 716 ACRE .119 PAR 2 URP"</f>
        <v>CHESTERFIELD RD 716 ACRE .119 PAR 2 URP</v>
      </c>
      <c r="D2603" s="1">
        <v>5374.61</v>
      </c>
    </row>
    <row r="2604" spans="1:4" x14ac:dyDescent="0.3">
      <c r="A2604" s="1" t="str">
        <f>"01007086400"</f>
        <v>01007086400</v>
      </c>
      <c r="B2604" s="1" t="str">
        <f>"CHESTERFIELD REAL ESTATE LLC"</f>
        <v>CHESTERFIELD REAL ESTATE LLC</v>
      </c>
      <c r="C2604" s="1" t="str">
        <f>"CHESTERFIELD RD .164 ACR PAR 12 URP R21 T12 SUB 1/2 S30"</f>
        <v>CHESTERFIELD RD .164 ACR PAR 12 URP R21 T12 SUB 1/2 S30</v>
      </c>
      <c r="D2604" s="1">
        <v>5374.61</v>
      </c>
    </row>
    <row r="2605" spans="1:4" x14ac:dyDescent="0.3">
      <c r="A2605" s="1" t="str">
        <f>"01007086200"</f>
        <v>01007086200</v>
      </c>
      <c r="B2605" s="1" t="str">
        <f>"CHESTERFIELD REAL ESTATE LLC"</f>
        <v>CHESTERFIELD REAL ESTATE LLC</v>
      </c>
      <c r="C2605" s="1" t="str">
        <f>"CHESTERFIELD RD ACRE .242 PAR 16 URP"</f>
        <v>CHESTERFIELD RD ACRE .242 PAR 16 URP</v>
      </c>
      <c r="D2605" s="1">
        <v>5374.61</v>
      </c>
    </row>
    <row r="2606" spans="1:4" x14ac:dyDescent="0.3">
      <c r="A2606" s="1" t="str">
        <f>"01007085900"</f>
        <v>01007085900</v>
      </c>
      <c r="B2606" s="1" t="str">
        <f>"CHESTERFIELD REAL ESTATE LLC"</f>
        <v>CHESTERFIELD REAL ESTATE LLC</v>
      </c>
      <c r="C2606" s="1" t="str">
        <f>"CHESTERFIELD RD 70.5X120.1FT .194 ACRE PAR 13 URP"</f>
        <v>CHESTERFIELD RD 70.5X120.1FT .194 ACRE PAR 13 URP</v>
      </c>
      <c r="D2606" s="1">
        <v>5374.61</v>
      </c>
    </row>
    <row r="2607" spans="1:4" x14ac:dyDescent="0.3">
      <c r="A2607" s="1" t="str">
        <f>"01007085500"</f>
        <v>01007085500</v>
      </c>
      <c r="B2607" s="1" t="str">
        <f>"CHESTERFIELD REAL ESTATE LLC"</f>
        <v>CHESTERFIELD REAL ESTATE LLC</v>
      </c>
      <c r="C2607" s="1" t="str">
        <f>"R21 T12 S 18 1/2S  "</f>
        <v xml:space="preserve">R21 T12 S 18 1/2S  </v>
      </c>
      <c r="D2607" s="1">
        <v>7867.7</v>
      </c>
    </row>
    <row r="2608" spans="1:4" x14ac:dyDescent="0.3">
      <c r="A2608" s="1" t="str">
        <f>"01000721400"</f>
        <v>01000721400</v>
      </c>
      <c r="B2608" s="1" t="str">
        <f>"CHESTERFIELD REAL ESTATE LLC"</f>
        <v>CHESTERFIELD REAL ESTATE LLC</v>
      </c>
      <c r="C2608" s="1" t="str">
        <f>"CHESTERFIELD RD ACRES .185 T 21 T 12 S 18 1/2 S"</f>
        <v>CHESTERFIELD RD ACRES .185 T 21 T 12 S 18 1/2 S</v>
      </c>
      <c r="D2608" s="1">
        <v>5663.78</v>
      </c>
    </row>
    <row r="2609" spans="1:4" x14ac:dyDescent="0.3">
      <c r="A2609" s="1" t="str">
        <f>"01007085700"</f>
        <v>01007085700</v>
      </c>
      <c r="B2609" s="1" t="str">
        <f>"CHESTERFIELD REAL ESTATE LLC"</f>
        <v>CHESTERFIELD REAL ESTATE LLC</v>
      </c>
      <c r="C2609" s="1" t="str">
        <f>"CHESTERFIELD RD .194 ACRES R21 T12 S18 1/2 S30 PAR 9URP"</f>
        <v>CHESTERFIELD RD .194 ACRES R21 T12 S18 1/2 S30 PAR 9URP</v>
      </c>
      <c r="D2609" s="1">
        <v>5435.22</v>
      </c>
    </row>
    <row r="2610" spans="1:4" x14ac:dyDescent="0.3">
      <c r="A2610" s="1" t="str">
        <f>"01007085600"</f>
        <v>01007085600</v>
      </c>
      <c r="B2610" s="1" t="str">
        <f>"CHESTERFIELD REAL ESTATE LLC"</f>
        <v>CHESTERFIELD REAL ESTATE LLC</v>
      </c>
      <c r="C2610" s="1" t="str">
        <f>"CHESTERFIELD RD ACRE.194 70.5X120.1 FT PAR 6 URP"</f>
        <v>CHESTERFIELD RD ACRE.194 70.5X120.1 FT PAR 6 URP</v>
      </c>
      <c r="D2610" s="1">
        <v>5425.71</v>
      </c>
    </row>
    <row r="2611" spans="1:4" x14ac:dyDescent="0.3">
      <c r="A2611" s="1" t="str">
        <f>"01007086100"</f>
        <v>01007086100</v>
      </c>
      <c r="B2611" s="1" t="str">
        <f>"CHESTERFIELD REAL ESTATE LLC"</f>
        <v>CHESTERFIELD REAL ESTATE LLC</v>
      </c>
      <c r="C2611" s="1" t="str">
        <f>"CHESTERFIELD RD ACRE .135 PAR 15 URP"</f>
        <v>CHESTERFIELD RD ACRE .135 PAR 15 URP</v>
      </c>
      <c r="D2611" s="1">
        <v>5374.61</v>
      </c>
    </row>
    <row r="2612" spans="1:4" x14ac:dyDescent="0.3">
      <c r="A2612" s="1" t="str">
        <f>"01007085400"</f>
        <v>01007085400</v>
      </c>
      <c r="B2612" s="1" t="str">
        <f>"CHESTERFIELD REAL ESTATE LLC"</f>
        <v>CHESTERFIELD REAL ESTATE LLC</v>
      </c>
      <c r="C2612" s="1" t="str">
        <f>"MUL-BUR HTS AMD LOT 124-125 "</f>
        <v xml:space="preserve">MUL-BUR HTS AMD LOT 124-125 </v>
      </c>
      <c r="D2612" s="1">
        <v>4492.1099999999997</v>
      </c>
    </row>
    <row r="2613" spans="1:4" x14ac:dyDescent="0.3">
      <c r="A2613" s="1" t="str">
        <f>"04000347000"</f>
        <v>04000347000</v>
      </c>
      <c r="B2613" s="1" t="str">
        <f>"CHESTNUT MARK, CHESTNUT BETH"</f>
        <v>CHESTNUT MARK, CHESTNUT BETH</v>
      </c>
      <c r="C2613" s="1" t="str">
        <f>"3508 DEVIN RD PARLIN MANOR LOT 22"</f>
        <v>3508 DEVIN RD PARLIN MANOR LOT 22</v>
      </c>
      <c r="D2613" s="1">
        <v>3514.13</v>
      </c>
    </row>
    <row r="2614" spans="1:4" x14ac:dyDescent="0.3">
      <c r="A2614" s="1" t="str">
        <f>"60015242200"</f>
        <v>60015242200</v>
      </c>
      <c r="B2614" s="1" t="str">
        <f>"CHEUNG AMBER"</f>
        <v>CHEUNG AMBER</v>
      </c>
      <c r="C2614" s="1" t="str">
        <f>"NORTHTOWNE BLVD FOREST PARK E SEC 5 LOT 620"</f>
        <v>NORTHTOWNE BLVD FOREST PARK E SEC 5 LOT 620</v>
      </c>
      <c r="D2614" s="1">
        <v>5000.71</v>
      </c>
    </row>
    <row r="2615" spans="1:4" x14ac:dyDescent="0.3">
      <c r="A2615" s="1" t="str">
        <f>"01016332900"</f>
        <v>01016332900</v>
      </c>
      <c r="B2615" s="1" t="str">
        <f>"CHEVRIER BRIAN E, CHEVRIER KATHY S"</f>
        <v>CHEVRIER BRIAN E, CHEVRIER KATHY S</v>
      </c>
      <c r="C2615" s="1" t="str">
        <f>"HEATHMOOR STREET WISHING WELL ACRES 1 LOT 51"</f>
        <v>HEATHMOOR STREET WISHING WELL ACRES 1 LOT 51</v>
      </c>
      <c r="D2615" s="1">
        <v>70</v>
      </c>
    </row>
    <row r="2616" spans="1:4" x14ac:dyDescent="0.3">
      <c r="A2616" s="1" t="str">
        <f>"27300741000"</f>
        <v>27300741000</v>
      </c>
      <c r="B2616" s="1" t="str">
        <f>"CHHABRA AMIT, CHHABRA NEERAJ"</f>
        <v>CHHABRA AMIT, CHHABRA NEERAJ</v>
      </c>
      <c r="C2616" s="1" t="str">
        <f>"ARDAUGH COURT DUBLINSHIRE SEC 7 LOT 563"</f>
        <v>ARDAUGH COURT DUBLINSHIRE SEC 7 LOT 563</v>
      </c>
      <c r="D2616" s="1">
        <v>575.77</v>
      </c>
    </row>
    <row r="2617" spans="1:4" x14ac:dyDescent="0.3">
      <c r="A2617" s="1" t="str">
        <f>"01003827300"</f>
        <v>01003827300</v>
      </c>
      <c r="B2617" s="1" t="str">
        <f>"CHHOUN MAO"</f>
        <v>CHHOUN MAO</v>
      </c>
      <c r="C2617" s="1" t="str">
        <f>"40 CLARENDON AVE WESTWOOD HTS LOT 21"</f>
        <v>40 CLARENDON AVE WESTWOOD HTS LOT 21</v>
      </c>
      <c r="D2617" s="1">
        <v>163.63</v>
      </c>
    </row>
    <row r="2618" spans="1:4" x14ac:dyDescent="0.3">
      <c r="A2618" s="1" t="str">
        <f>"01020802300"</f>
        <v>01020802300</v>
      </c>
      <c r="B2618" s="1" t="str">
        <f>"CHIANG CONWAY"</f>
        <v>CHIANG CONWAY</v>
      </c>
      <c r="C2618" s="1" t="str">
        <f>"RIVERWATCH TOWER CONDOMINIUM UNIT P21"</f>
        <v>RIVERWATCH TOWER CONDOMINIUM UNIT P21</v>
      </c>
      <c r="D2618" s="1">
        <v>1348.88</v>
      </c>
    </row>
    <row r="2619" spans="1:4" x14ac:dyDescent="0.3">
      <c r="A2619" s="1" t="str">
        <f>"01020794500"</f>
        <v>01020794500</v>
      </c>
      <c r="B2619" s="1" t="str">
        <f>"CHIANG CONWAY"</f>
        <v>CHIANG CONWAY</v>
      </c>
      <c r="C2619" s="1" t="str">
        <f>"RIVERWATCH TOWER CONDOMINIUM UNIT 904"</f>
        <v>RIVERWATCH TOWER CONDOMINIUM UNIT 904</v>
      </c>
      <c r="D2619" s="1">
        <v>1286.92</v>
      </c>
    </row>
    <row r="2620" spans="1:4" x14ac:dyDescent="0.3">
      <c r="A2620" s="1" t="str">
        <f>"01020796400"</f>
        <v>01020796400</v>
      </c>
      <c r="B2620" s="1" t="str">
        <f>"CHIANG CONWAY"</f>
        <v>CHIANG CONWAY</v>
      </c>
      <c r="C2620" s="1" t="str">
        <f>"RIVERWATCH TOWER CONDOMINIUM UNIT 925"</f>
        <v>RIVERWATCH TOWER CONDOMINIUM UNIT 925</v>
      </c>
      <c r="D2620" s="1">
        <v>1317.02</v>
      </c>
    </row>
    <row r="2621" spans="1:4" x14ac:dyDescent="0.3">
      <c r="A2621" s="1" t="str">
        <f>"01020800400"</f>
        <v>01020800400</v>
      </c>
      <c r="B2621" s="1" t="str">
        <f>"CHIANG CONWAY, TANG PAI HWA"</f>
        <v>CHIANG CONWAY, TANG PAI HWA</v>
      </c>
      <c r="C2621" s="1" t="str">
        <f>"RIVERWATCH TOWER CONDOMINIUM UNIT 1037"</f>
        <v>RIVERWATCH TOWER CONDOMINIUM UNIT 1037</v>
      </c>
      <c r="D2621" s="1">
        <v>1643.42</v>
      </c>
    </row>
    <row r="2622" spans="1:4" x14ac:dyDescent="0.3">
      <c r="A2622" s="1" t="str">
        <f>"01015577500"</f>
        <v>01015577500</v>
      </c>
      <c r="B2622" s="1" t="str">
        <f>"CHICIONE MARK B"</f>
        <v>CHICIONE MARK B</v>
      </c>
      <c r="C2622" s="1" t="str">
        <f>"KYLE AVE SOUTHERN PINES SEC NO 12 LOT 719"</f>
        <v>KYLE AVE SOUTHERN PINES SEC NO 12 LOT 719</v>
      </c>
      <c r="D2622" s="1">
        <v>391.22</v>
      </c>
    </row>
    <row r="2623" spans="1:4" x14ac:dyDescent="0.3">
      <c r="A2623" s="1" t="str">
        <f>"61020574700"</f>
        <v>61020574700</v>
      </c>
      <c r="B2623" s="1" t="str">
        <f>"CHILDRENS DEVELOPMENT LLC"</f>
        <v>CHILDRENS DEVELOPMENT LLC</v>
      </c>
      <c r="C2623" s="1" t="str">
        <f>"WORTHINGTON WOODS WEST CONDO #9 UNIT 22-A"</f>
        <v>WORTHINGTON WOODS WEST CONDO #9 UNIT 22-A</v>
      </c>
      <c r="D2623" s="1">
        <v>3238.28</v>
      </c>
    </row>
    <row r="2624" spans="1:4" x14ac:dyDescent="0.3">
      <c r="A2624" s="1" t="str">
        <f>"01000010400"</f>
        <v>01000010400</v>
      </c>
      <c r="B2624" s="1" t="str">
        <f>"CHILDRESS NATASHA"</f>
        <v>CHILDRESS NATASHA</v>
      </c>
      <c r="C2624" s="1" t="str">
        <f>"THOMAS AVE AVONDALE LOT 186"</f>
        <v>THOMAS AVE AVONDALE LOT 186</v>
      </c>
      <c r="D2624" s="1">
        <v>217.69</v>
      </c>
    </row>
    <row r="2625" spans="1:4" x14ac:dyDescent="0.3">
      <c r="A2625" s="1" t="str">
        <f>"01003586900"</f>
        <v>01003586900</v>
      </c>
      <c r="B2625" s="1" t="str">
        <f>"CHILDRESS NATASHA"</f>
        <v>CHILDRESS NATASHA</v>
      </c>
      <c r="C2625" s="1" t="str">
        <f>"992 THOMAS AVE AVONDALE LOT 187"</f>
        <v>992 THOMAS AVE AVONDALE LOT 187</v>
      </c>
      <c r="D2625" s="1">
        <v>1512.68</v>
      </c>
    </row>
    <row r="2626" spans="1:4" x14ac:dyDescent="0.3">
      <c r="A2626" s="1" t="str">
        <f>"01026224800"</f>
        <v>01026224800</v>
      </c>
      <c r="B2626" s="1" t="str">
        <f>"CHILDS SUSAN H"</f>
        <v>CHILDS SUSAN H</v>
      </c>
      <c r="C2626" s="1" t="str">
        <f>"ANNMARY ROAD EDGEWATER SECTION 4 LOT 275"</f>
        <v>ANNMARY ROAD EDGEWATER SECTION 4 LOT 275</v>
      </c>
      <c r="D2626" s="1">
        <v>4313.1400000000003</v>
      </c>
    </row>
    <row r="2627" spans="1:4" x14ac:dyDescent="0.3">
      <c r="A2627" s="1" t="str">
        <f>"57027172200"</f>
        <v>57027172200</v>
      </c>
      <c r="B2627" s="1" t="str">
        <f>"CHILES CAROL S"</f>
        <v>CHILES CAROL S</v>
      </c>
      <c r="C2627" s="1" t="str">
        <f>"HIDDEN COVE WAY GEORGESVILLE GREEN SECTION 3 LOT 88"</f>
        <v>HIDDEN COVE WAY GEORGESVILLE GREEN SECTION 3 LOT 88</v>
      </c>
      <c r="D2627" s="1">
        <v>2018.65</v>
      </c>
    </row>
    <row r="2628" spans="1:4" x14ac:dyDescent="0.3">
      <c r="A2628" s="1" t="str">
        <f>"01010313800"</f>
        <v>01010313800</v>
      </c>
      <c r="B2628" s="1" t="str">
        <f>"CHIM DOUL, SOK MOM"</f>
        <v>CHIM DOUL, SOK MOM</v>
      </c>
      <c r="C2628" s="1" t="str">
        <f>"EAKIN RD EUREKA PARK AMD 1 LOT 22"</f>
        <v>EAKIN RD EUREKA PARK AMD 1 LOT 22</v>
      </c>
      <c r="D2628" s="1">
        <v>1315.51</v>
      </c>
    </row>
    <row r="2629" spans="1:4" x14ac:dyDescent="0.3">
      <c r="A2629" s="1" t="str">
        <f>"01020768700"</f>
        <v>01020768700</v>
      </c>
      <c r="B2629" s="1" t="str">
        <f>"CHINAKWE OBI C"</f>
        <v>CHINAKWE OBI C</v>
      </c>
      <c r="C2629" s="1" t="str">
        <f>"3172 CLEVELAND AVE DUNBARS ALLOTMENT LOT 2 EX WE"</f>
        <v>3172 CLEVELAND AVE DUNBARS ALLOTMENT LOT 2 EX WE</v>
      </c>
      <c r="D2629" s="1">
        <v>1667.33</v>
      </c>
    </row>
    <row r="2630" spans="1:4" x14ac:dyDescent="0.3">
      <c r="A2630" s="1" t="str">
        <f>"22200400800"</f>
        <v>22200400800</v>
      </c>
      <c r="B2630" s="1" t="str">
        <f>"CHINNALA AJAY K, VASANTHAPURAM MADHURI"</f>
        <v>CHINNALA AJAY K, VASANTHAPURAM MADHURI</v>
      </c>
      <c r="C2630" s="1" t="str">
        <f>"5099 HEARTHSTONE PARK DR  RESUB OF PART OF WINDSOR  SECTION 3 LOT 618        "</f>
        <v xml:space="preserve">5099 HEARTHSTONE PARK DR  RESUB OF PART OF WINDSOR  SECTION 3 LOT 618        </v>
      </c>
      <c r="D2630" s="1">
        <v>540.17999999999995</v>
      </c>
    </row>
    <row r="2631" spans="1:4" x14ac:dyDescent="0.3">
      <c r="A2631" s="1" t="str">
        <f>"06000684000"</f>
        <v>06000684000</v>
      </c>
      <c r="B2631" s="1" t="str">
        <f>"CHIU LAWRENCE"</f>
        <v>CHIU LAWRENCE</v>
      </c>
      <c r="C2631" s="1" t="str">
        <f>"LANCASTER AVE MEADOWS REYN SEC 1 LOT 36"</f>
        <v>LANCASTER AVE MEADOWS REYN SEC 1 LOT 36</v>
      </c>
      <c r="D2631" s="1">
        <v>7067.77</v>
      </c>
    </row>
    <row r="2632" spans="1:4" x14ac:dyDescent="0.3">
      <c r="A2632" s="1" t="str">
        <f>"01011719700"</f>
        <v>01011719700</v>
      </c>
      <c r="B2632" s="1" t="str">
        <f>"CHIU LAWRENCE"</f>
        <v>CHIU LAWRENCE</v>
      </c>
      <c r="C2632" s="1" t="str">
        <f>"240-46 BR MEADOWS BL SHARON MEADOWS 2 LOT 32"</f>
        <v>240-46 BR MEADOWS BL SHARON MEADOWS 2 LOT 32</v>
      </c>
      <c r="D2632" s="1">
        <v>8826.6299999999992</v>
      </c>
    </row>
    <row r="2633" spans="1:4" x14ac:dyDescent="0.3">
      <c r="A2633" s="1" t="str">
        <f>"04000552300"</f>
        <v>04000552300</v>
      </c>
      <c r="B2633" s="1" t="str">
        <f>"CHIU LAWRENCE"</f>
        <v>CHIU LAWRENCE</v>
      </c>
      <c r="C2633" s="1" t="str">
        <f>"3093-095 CHARLES DR FINANCIAL GROWTH SUB LOT 2"</f>
        <v>3093-095 CHARLES DR FINANCIAL GROWTH SUB LOT 2</v>
      </c>
      <c r="D2633" s="1">
        <v>4489.3500000000004</v>
      </c>
    </row>
    <row r="2634" spans="1:4" x14ac:dyDescent="0.3">
      <c r="A2634" s="1" t="str">
        <f>"22200424800"</f>
        <v>22200424800</v>
      </c>
      <c r="B2634" s="1" t="str">
        <f>"CHK HOLDINGS LLC"</f>
        <v>CHK HOLDINGS LLC</v>
      </c>
      <c r="C2634" s="1" t="str">
        <f>"SMITH'S MILL OFFICE PARK  CONDOMINIUM               UNIT 5101-C              "</f>
        <v xml:space="preserve">SMITH'S MILL OFFICE PARK  CONDOMINIUM               UNIT 5101-C              </v>
      </c>
      <c r="D2634" s="1">
        <v>874.87</v>
      </c>
    </row>
    <row r="2635" spans="1:4" x14ac:dyDescent="0.3">
      <c r="A2635" s="1" t="str">
        <f>"24000670300"</f>
        <v>24000670300</v>
      </c>
      <c r="B2635" s="1" t="str">
        <f>"CHMIL DMITRY"</f>
        <v>CHMIL DMITRY</v>
      </c>
      <c r="C2635" s="1" t="str">
        <f>"LENNOX AVE LITTLE FARMS 0.202 ACRES OF LOT 102"</f>
        <v>LENNOX AVE LITTLE FARMS 0.202 ACRES OF LOT 102</v>
      </c>
      <c r="D2635" s="1">
        <v>857.41</v>
      </c>
    </row>
    <row r="2636" spans="1:4" x14ac:dyDescent="0.3">
      <c r="A2636" s="1" t="str">
        <f>"08001011700"</f>
        <v>08001011700</v>
      </c>
      <c r="B2636" s="1" t="str">
        <f>"CHOE KORY, CHOE JONNIE"</f>
        <v>CHOE KORY, CHOE JONNIE</v>
      </c>
      <c r="C2636" s="1" t="str">
        <f>"WALNUT ST WESTERBROOK LOT 3 EX 10'NE"</f>
        <v>WALNUT ST WESTERBROOK LOT 3 EX 10'NE</v>
      </c>
      <c r="D2636" s="1">
        <v>964.48</v>
      </c>
    </row>
    <row r="2637" spans="1:4" x14ac:dyDescent="0.3">
      <c r="A2637" s="1" t="str">
        <f>"01008704300"</f>
        <v>01008704300</v>
      </c>
      <c r="B2637" s="1" t="str">
        <f>"CHOINA BRITNEY S"</f>
        <v>CHOINA BRITNEY S</v>
      </c>
      <c r="C2637" s="1" t="str">
        <f>"MARGARET ST T EWINGS MILLERS LOT 93"</f>
        <v>MARGARET ST T EWINGS MILLERS LOT 93</v>
      </c>
      <c r="D2637" s="1">
        <v>64.709999999999994</v>
      </c>
    </row>
    <row r="2638" spans="1:4" x14ac:dyDescent="0.3">
      <c r="A2638" s="1" t="str">
        <f>"01013173400"</f>
        <v>01013173400</v>
      </c>
      <c r="B2638" s="1" t="str">
        <f>"CHOONG LIAN HIN"</f>
        <v>CHOONG LIAN HIN</v>
      </c>
      <c r="C2638" s="1" t="str">
        <f>"JONATHAN DR RADCLIFF LOT 178"</f>
        <v>JONATHAN DR RADCLIFF LOT 178</v>
      </c>
      <c r="D2638" s="1">
        <v>111.91</v>
      </c>
    </row>
    <row r="2639" spans="1:4" x14ac:dyDescent="0.3">
      <c r="A2639" s="1" t="str">
        <f>"01029702700"</f>
        <v>01029702700</v>
      </c>
      <c r="B2639" s="1" t="str">
        <f>"CHOPPARA SRIVITAL, CHOPPARA LAKSHMI"</f>
        <v>CHOPPARA SRIVITAL, CHOPPARA LAKSHMI</v>
      </c>
      <c r="C2639" s="1" t="str">
        <f>"BRAXTON ON BETHEL INVESTMENT CONDOMINIUM 1468 BRIGHTON PARK RD UNIT 304 BLDG 3"</f>
        <v>BRAXTON ON BETHEL INVESTMENT CONDOMINIUM 1468 BRIGHTON PARK RD UNIT 304 BLDG 3</v>
      </c>
      <c r="D2639" s="1">
        <v>1988.4</v>
      </c>
    </row>
    <row r="2640" spans="1:4" x14ac:dyDescent="0.3">
      <c r="A2640" s="1" t="str">
        <f>"01029702400"</f>
        <v>01029702400</v>
      </c>
      <c r="B2640" s="1" t="str">
        <f>"CHOPPARA SRIVITAL, CHOPPARA LAKSHMI"</f>
        <v>CHOPPARA SRIVITAL, CHOPPARA LAKSHMI</v>
      </c>
      <c r="C2640" s="1" t="str">
        <f>"BRAXTON ON BETHEL INVESTMENT CONDOMINIUM 1468 BRIGHTON PARK RD UNIT 303 BLDG 3"</f>
        <v>BRAXTON ON BETHEL INVESTMENT CONDOMINIUM 1468 BRIGHTON PARK RD UNIT 303 BLDG 3</v>
      </c>
      <c r="D2640" s="1">
        <v>1988.4</v>
      </c>
    </row>
    <row r="2641" spans="1:4" x14ac:dyDescent="0.3">
      <c r="A2641" s="1" t="str">
        <f>"27400051100"</f>
        <v>27400051100</v>
      </c>
      <c r="B2641" s="1" t="str">
        <f>"CHORICH LOUIS J III TTEE"</f>
        <v>CHORICH LOUIS J III TTEE</v>
      </c>
      <c r="C2641" s="1" t="str">
        <f>"BALLANTRAE PLACE BALLANTRAE SECTION 2 PART 1 LOT 150"</f>
        <v>BALLANTRAE PLACE BALLANTRAE SECTION 2 PART 1 LOT 150</v>
      </c>
      <c r="D2641" s="1">
        <v>745.07</v>
      </c>
    </row>
    <row r="2642" spans="1:4" x14ac:dyDescent="0.3">
      <c r="A2642" s="1" t="str">
        <f>"04000149400"</f>
        <v>04000149400</v>
      </c>
      <c r="B2642" s="1" t="str">
        <f>"CHOUDHRY M A"</f>
        <v>CHOUDHRY M A</v>
      </c>
      <c r="C2642" s="1" t="str">
        <f>"2778 LA ROSA DR J C EVANS LOT 7 EX 2 FT N S BLK 4"</f>
        <v>2778 LA ROSA DR J C EVANS LOT 7 EX 2 FT N S BLK 4</v>
      </c>
      <c r="D2642" s="1">
        <v>1962.1</v>
      </c>
    </row>
    <row r="2643" spans="1:4" x14ac:dyDescent="0.3">
      <c r="A2643" s="1" t="str">
        <f>"01013836900"</f>
        <v>01013836900</v>
      </c>
      <c r="B2643" s="1" t="str">
        <f>"CHOUDHRY M A"</f>
        <v>CHOUDHRY M A</v>
      </c>
      <c r="C2643" s="1" t="str">
        <f>"SEAFORTH PLC GLENBROOK SEC 2 LOT 285"</f>
        <v>SEAFORTH PLC GLENBROOK SEC 2 LOT 285</v>
      </c>
      <c r="D2643" s="1">
        <v>1872.71</v>
      </c>
    </row>
    <row r="2644" spans="1:4" x14ac:dyDescent="0.3">
      <c r="A2644" s="1" t="str">
        <f>"15200032500"</f>
        <v>15200032500</v>
      </c>
      <c r="B2644" s="1" t="str">
        <f>"CHOUDHRY MOHAMMAD"</f>
        <v>CHOUDHRY MOHAMMAD</v>
      </c>
      <c r="C2644" s="1" t="str">
        <f>"MARLBORO AVE COLUMBUS TERRACE 680"</f>
        <v>MARLBORO AVE COLUMBUS TERRACE 680</v>
      </c>
      <c r="D2644" s="1">
        <v>194.15</v>
      </c>
    </row>
    <row r="2645" spans="1:4" x14ac:dyDescent="0.3">
      <c r="A2645" s="1" t="str">
        <f>"15200047500"</f>
        <v>15200047500</v>
      </c>
      <c r="B2645" s="1" t="str">
        <f>"CHOUDHRY MOHAMMAD"</f>
        <v>CHOUDHRY MOHAMMAD</v>
      </c>
      <c r="C2645" s="1" t="str">
        <f>"1788 CHILLICOTHE ST PT LOT 14 SCIOTO "</f>
        <v xml:space="preserve">1788 CHILLICOTHE ST PT LOT 14 SCIOTO </v>
      </c>
      <c r="D2645" s="1">
        <v>2066.83</v>
      </c>
    </row>
    <row r="2646" spans="1:4" x14ac:dyDescent="0.3">
      <c r="A2646" s="1" t="str">
        <f>"15200049600"</f>
        <v>15200049600</v>
      </c>
      <c r="B2646" s="1" t="str">
        <f>"CHOUDHRY MOHAMMAD"</f>
        <v>CHOUDHRY MOHAMMAD</v>
      </c>
      <c r="C2646" s="1" t="str">
        <f>"1773 MARLBORO AVE COLUMBUS TERRACE 681-2"</f>
        <v>1773 MARLBORO AVE COLUMBUS TERRACE 681-2</v>
      </c>
      <c r="D2646" s="1">
        <v>1683.01</v>
      </c>
    </row>
    <row r="2647" spans="1:4" x14ac:dyDescent="0.3">
      <c r="A2647" s="1" t="str">
        <f>"15200006300"</f>
        <v>15200006300</v>
      </c>
      <c r="B2647" s="1" t="str">
        <f>"CHOUDHRY MOHAMMAD"</f>
        <v>CHOUDHRY MOHAMMAD</v>
      </c>
      <c r="C2647" s="1" t="str">
        <f>"MARLBORO AVE COLUMBUS TERRACE 683"</f>
        <v>MARLBORO AVE COLUMBUS TERRACE 683</v>
      </c>
      <c r="D2647" s="1">
        <v>194.15</v>
      </c>
    </row>
    <row r="2648" spans="1:4" x14ac:dyDescent="0.3">
      <c r="A2648" s="1" t="str">
        <f>"15200006400"</f>
        <v>15200006400</v>
      </c>
      <c r="B2648" s="1" t="str">
        <f>"CHOUDHRY MOHAMMAD"</f>
        <v>CHOUDHRY MOHAMMAD</v>
      </c>
      <c r="C2648" s="1" t="str">
        <f>"MARLBORO AVE COLUMBUS TERRACE 684"</f>
        <v>MARLBORO AVE COLUMBUS TERRACE 684</v>
      </c>
      <c r="D2648" s="1">
        <v>194.15</v>
      </c>
    </row>
    <row r="2649" spans="1:4" x14ac:dyDescent="0.3">
      <c r="A2649" s="1" t="str">
        <f>"05001004000"</f>
        <v>05001004000</v>
      </c>
      <c r="B2649" s="1" t="str">
        <f>"CHOUDHRY MOHAMMAD A"</f>
        <v>CHOUDHRY MOHAMMAD A</v>
      </c>
      <c r="C2649" s="1" t="str">
        <f>"SILVER WOODS COURT SILVERTON FARMS SECTION 1 LOT 65"</f>
        <v>SILVER WOODS COURT SILVERTON FARMS SECTION 1 LOT 65</v>
      </c>
      <c r="D2649" s="1">
        <v>6269.53</v>
      </c>
    </row>
    <row r="2650" spans="1:4" x14ac:dyDescent="0.3">
      <c r="A2650" s="1" t="str">
        <f>"05001004400"</f>
        <v>05001004400</v>
      </c>
      <c r="B2650" s="1" t="str">
        <f>"CHOUDHRY MOHAMMAD A"</f>
        <v>CHOUDHRY MOHAMMAD A</v>
      </c>
      <c r="C2650" s="1" t="str">
        <f>"4934 STERLING WOODS CT SILVERTON FARMS SECTION 1 LOT 69"</f>
        <v>4934 STERLING WOODS CT SILVERTON FARMS SECTION 1 LOT 69</v>
      </c>
      <c r="D2650" s="1">
        <v>6227.96</v>
      </c>
    </row>
    <row r="2651" spans="1:4" x14ac:dyDescent="0.3">
      <c r="A2651" s="1" t="str">
        <f>"15200066300"</f>
        <v>15200066300</v>
      </c>
      <c r="B2651" s="1" t="str">
        <f>"CHOUDRY MOHAMMAD A"</f>
        <v>CHOUDRY MOHAMMAD A</v>
      </c>
      <c r="C2651" s="1" t="str">
        <f>"CHILLICOTHE ST 69FT WS OF WS 14 14"</f>
        <v>CHILLICOTHE ST 69FT WS OF WS 14 14</v>
      </c>
      <c r="D2651" s="1">
        <v>1917.85</v>
      </c>
    </row>
    <row r="2652" spans="1:4" x14ac:dyDescent="0.3">
      <c r="A2652" s="1" t="str">
        <f>"52027820200"</f>
        <v>52027820200</v>
      </c>
      <c r="B2652" s="1" t="str">
        <f>"CHOWDHURY AHSANUR R"</f>
        <v>CHOWDHURY AHSANUR R</v>
      </c>
      <c r="C2652" s="1" t="str">
        <f>"6075 PASQUAL AVENUE       LAKES AT TAYLOR STATION   SECTION 1 LOT 72         "</f>
        <v xml:space="preserve">6075 PASQUAL AVENUE       LAKES AT TAYLOR STATION   SECTION 1 LOT 72         </v>
      </c>
      <c r="D2652" s="1">
        <v>3300.44</v>
      </c>
    </row>
    <row r="2653" spans="1:4" x14ac:dyDescent="0.3">
      <c r="A2653" s="1" t="str">
        <f>"49030261100"</f>
        <v>49030261100</v>
      </c>
      <c r="B2653" s="1" t="str">
        <f>"CHRISTENSEN MARJORIE J"</f>
        <v>CHRISTENSEN MARJORIE J</v>
      </c>
      <c r="C2653" s="1" t="str">
        <f>"LEHMAN PARK LOT 4 "</f>
        <v xml:space="preserve">LEHMAN PARK LOT 4 </v>
      </c>
      <c r="D2653" s="1">
        <v>622.21</v>
      </c>
    </row>
    <row r="2654" spans="1:4" x14ac:dyDescent="0.3">
      <c r="A2654" s="1" t="str">
        <f>"01012131100"</f>
        <v>01012131100</v>
      </c>
      <c r="B2654" s="1" t="str">
        <f>"CHRISTENSON DONALD E"</f>
        <v>CHRISTENSON DONALD E</v>
      </c>
      <c r="C2654" s="1" t="str">
        <f>"YEARLING RD PINECREST 2 LOT 269"</f>
        <v>YEARLING RD PINECREST 2 LOT 269</v>
      </c>
      <c r="D2654" s="1">
        <v>100.68</v>
      </c>
    </row>
    <row r="2655" spans="1:4" x14ac:dyDescent="0.3">
      <c r="A2655" s="1" t="str">
        <f>"01005138800"</f>
        <v>01005138800</v>
      </c>
      <c r="B2655" s="1" t="str">
        <f>"CHRISTENSON JANA"</f>
        <v>CHRISTENSON JANA</v>
      </c>
      <c r="C2655" s="1" t="str">
        <f>"MITHOFF ST HOMEVILLE LOT 3"</f>
        <v>MITHOFF ST HOMEVILLE LOT 3</v>
      </c>
      <c r="D2655" s="1">
        <v>1678.95</v>
      </c>
    </row>
    <row r="2656" spans="1:4" x14ac:dyDescent="0.3">
      <c r="A2656" s="1" t="str">
        <f>"01003820100"</f>
        <v>01003820100</v>
      </c>
      <c r="B2656" s="1" t="str">
        <f>"CHRISTENSON JANA"</f>
        <v>CHRISTENSON JANA</v>
      </c>
      <c r="C2656" s="1" t="str">
        <f>"MITHOFF ST HOMEVILLE LOT 4"</f>
        <v>MITHOFF ST HOMEVILLE LOT 4</v>
      </c>
      <c r="D2656" s="1">
        <v>655.99</v>
      </c>
    </row>
    <row r="2657" spans="1:4" x14ac:dyDescent="0.3">
      <c r="A2657" s="1" t="str">
        <f>"13000206600"</f>
        <v>13000206600</v>
      </c>
      <c r="B2657" s="1" t="str">
        <f>"CHRISTIAN HARRY A, GATTO DEBRA A, FANN KIMBERLY L"</f>
        <v>CHRISTIAN HARRY A, GATTO DEBRA A, FANN KIMBERLY L</v>
      </c>
      <c r="C2657" s="1" t="str">
        <f>"FERRIS RD 2FT WS LOT 433 NORTH LINDEN #1"</f>
        <v>FERRIS RD 2FT WS LOT 433 NORTH LINDEN #1</v>
      </c>
      <c r="D2657" s="1">
        <v>39.9</v>
      </c>
    </row>
    <row r="2658" spans="1:4" x14ac:dyDescent="0.3">
      <c r="A2658" s="1" t="str">
        <f>"13000206700"</f>
        <v>13000206700</v>
      </c>
      <c r="B2658" s="1" t="str">
        <f>"CHRISTIAN HARRY A, GATTO DEBRA A, FANN KIMBERLY L"</f>
        <v>CHRISTIAN HARRY A, GATTO DEBRA A, FANN KIMBERLY L</v>
      </c>
      <c r="C2658" s="1" t="str">
        <f>"FERRIS RD NORTH LINDEN #1 LOT 434"</f>
        <v>FERRIS RD NORTH LINDEN #1 LOT 434</v>
      </c>
      <c r="D2658" s="1">
        <v>3478.77</v>
      </c>
    </row>
    <row r="2659" spans="1:4" x14ac:dyDescent="0.3">
      <c r="A2659" s="1" t="str">
        <f>"08000476300"</f>
        <v>08000476300</v>
      </c>
      <c r="B2659" s="1" t="str">
        <f>"CHRISTIE MAUREEN C, KMC"</f>
        <v>CHRISTIE MAUREEN C, KMC</v>
      </c>
      <c r="C2659" s="1" t="str">
        <f>"ANNEHURST VILLAGE 9 WEST MAIN ST LOT 549"</f>
        <v>ANNEHURST VILLAGE 9 WEST MAIN ST LOT 549</v>
      </c>
      <c r="D2659" s="1">
        <v>629.5</v>
      </c>
    </row>
    <row r="2660" spans="1:4" x14ac:dyDescent="0.3">
      <c r="A2660" s="1" t="str">
        <f>"01010764500"</f>
        <v>01010764500</v>
      </c>
      <c r="B2660" s="1" t="str">
        <f>"CHRKASSY INC"</f>
        <v>CHRKASSY INC</v>
      </c>
      <c r="C2660" s="1" t="str">
        <f>"ROSWELL DR BERWICK MANOR 2 LOT 128"</f>
        <v>ROSWELL DR BERWICK MANOR 2 LOT 128</v>
      </c>
      <c r="D2660" s="1">
        <v>2757.38</v>
      </c>
    </row>
    <row r="2661" spans="1:4" x14ac:dyDescent="0.3">
      <c r="A2661" s="1" t="str">
        <f>"01023635600"</f>
        <v>01023635600</v>
      </c>
      <c r="B2661" s="1" t="str">
        <f>"CHUA JIE SHI, ADHIKARI LAXMI"</f>
        <v>CHUA JIE SHI, ADHIKARI LAXMI</v>
      </c>
      <c r="C2661" s="1" t="str">
        <f>"BROOKRUN DRIVE BROOKHOLLOW SECTION 1 LOT 18"</f>
        <v>BROOKRUN DRIVE BROOKHOLLOW SECTION 1 LOT 18</v>
      </c>
      <c r="D2661" s="1">
        <v>2221.5300000000002</v>
      </c>
    </row>
    <row r="2662" spans="1:4" x14ac:dyDescent="0.3">
      <c r="A2662" s="1" t="str">
        <f>"07000850100"</f>
        <v>07000850100</v>
      </c>
      <c r="B2662" s="1" t="str">
        <f>"CHUN JAE K, CHUN JENNIFER"</f>
        <v>CHUN JAE K, CHUN JENNIFER</v>
      </c>
      <c r="C2662" s="1" t="str">
        <f>"1444 NORTHAM RD WINDSOR PL EXT 1 89 "</f>
        <v xml:space="preserve">1444 NORTHAM RD WINDSOR PL EXT 1 89 </v>
      </c>
      <c r="D2662" s="1">
        <v>451.82</v>
      </c>
    </row>
    <row r="2663" spans="1:4" x14ac:dyDescent="0.3">
      <c r="A2663" s="1" t="str">
        <f>"04001235600"</f>
        <v>04001235600</v>
      </c>
      <c r="B2663" s="1" t="str">
        <f>"CHUOP SAMNANG, CHUOP TINA T K, KHEM TOUCH"</f>
        <v>CHUOP SAMNANG, CHUOP TINA T K, KHEM TOUCH</v>
      </c>
      <c r="C2663" s="1" t="str">
        <f>"3792 LARCHMERE DRIVE CONCORD PARK SECTION 1 LOT 57"</f>
        <v>3792 LARCHMERE DRIVE CONCORD PARK SECTION 1 LOT 57</v>
      </c>
      <c r="D2663" s="1">
        <v>346.02</v>
      </c>
    </row>
    <row r="2664" spans="1:4" x14ac:dyDescent="0.3">
      <c r="A2664" s="1" t="str">
        <f>"01006964500"</f>
        <v>01006964500</v>
      </c>
      <c r="B2664" s="1" t="str">
        <f>"CHURCH OF CHRIST"</f>
        <v>CHURCH OF CHRIST</v>
      </c>
      <c r="C2664" s="1" t="str">
        <f>"1926 GENESSEE AVE WOLF &amp; CARY LOT 49"</f>
        <v>1926 GENESSEE AVE WOLF &amp; CARY LOT 49</v>
      </c>
      <c r="D2664" s="1">
        <v>310.61</v>
      </c>
    </row>
    <row r="2665" spans="1:4" x14ac:dyDescent="0.3">
      <c r="A2665" s="1" t="str">
        <f>"01006944500"</f>
        <v>01006944500</v>
      </c>
      <c r="B2665" s="1" t="str">
        <f>"CHURCH OF CHRIST AT 1889 GENESSEE AVENUE"</f>
        <v>CHURCH OF CHRIST AT 1889 GENESSEE AVENUE</v>
      </c>
      <c r="C2665" s="1" t="str">
        <f>"1894 GENESEE AVE WOLF &amp; CARY LOT 37"</f>
        <v>1894 GENESEE AVE WOLF &amp; CARY LOT 37</v>
      </c>
      <c r="D2665" s="1">
        <v>2115.31</v>
      </c>
    </row>
    <row r="2666" spans="1:4" x14ac:dyDescent="0.3">
      <c r="A2666" s="1" t="str">
        <f>"01006944400"</f>
        <v>01006944400</v>
      </c>
      <c r="B2666" s="1" t="str">
        <f>"CHURCH OF CHRIST ST 1889 GENESSEE AVENUE"</f>
        <v>CHURCH OF CHRIST ST 1889 GENESSEE AVENUE</v>
      </c>
      <c r="C2666" s="1" t="str">
        <f>"1920 GENESSEE AVE WOLF &amp; CAREY ADD LOT 48"</f>
        <v>1920 GENESSEE AVE WOLF &amp; CAREY ADD LOT 48</v>
      </c>
      <c r="D2666" s="1">
        <v>2120.62</v>
      </c>
    </row>
    <row r="2667" spans="1:4" x14ac:dyDescent="0.3">
      <c r="A2667" s="1" t="str">
        <f>"01019521300"</f>
        <v>01019521300</v>
      </c>
      <c r="B2667" s="1" t="str">
        <f>"CHURCH OF THE LIVING GOD INTERNATIONAL INC"</f>
        <v>CHURCH OF THE LIVING GOD INTERNATIONAL INC</v>
      </c>
      <c r="C2667" s="1" t="str">
        <f>"E BROAD ST PARK TOWERS CONDO UNIT 804"</f>
        <v>E BROAD ST PARK TOWERS CONDO UNIT 804</v>
      </c>
      <c r="D2667" s="1">
        <v>7.83</v>
      </c>
    </row>
    <row r="2668" spans="1:4" x14ac:dyDescent="0.3">
      <c r="A2668" s="1" t="str">
        <f>"17000366300"</f>
        <v>17000366300</v>
      </c>
      <c r="B2668" s="1" t="str">
        <f>"CHURCH OF THE LIVING GOD INTERNATIONAL INC THE"</f>
        <v>CHURCH OF THE LIVING GOD INTERNATIONAL INC THE</v>
      </c>
      <c r="C2668" s="1" t="str">
        <f>"7048 PLEASANT COLONY CR STEPPING STONE SECTION 3 PART 2 LOT 66"</f>
        <v>7048 PLEASANT COLONY CR STEPPING STONE SECTION 3 PART 2 LOT 66</v>
      </c>
      <c r="D2668" s="1">
        <v>35.22</v>
      </c>
    </row>
    <row r="2669" spans="1:4" x14ac:dyDescent="0.3">
      <c r="A2669" s="1" t="str">
        <f>"08000906300"</f>
        <v>08000906300</v>
      </c>
      <c r="B2669" s="1" t="str">
        <f>"CIEHANSKI COLIN TOD"</f>
        <v>CIEHANSKI COLIN TOD</v>
      </c>
      <c r="C2669" s="1" t="str">
        <f>"274 CR COUNTRY LOOP WESTERVILLE CONDO TOWNHMS XIII UNIT E"</f>
        <v>274 CR COUNTRY LOOP WESTERVILLE CONDO TOWNHMS XIII UNIT E</v>
      </c>
      <c r="D2669" s="1">
        <v>270.26</v>
      </c>
    </row>
    <row r="2670" spans="1:4" x14ac:dyDescent="0.3">
      <c r="A2670" s="1" t="str">
        <f>"01008870000"</f>
        <v>01008870000</v>
      </c>
      <c r="B2670" s="1" t="str">
        <f>"CIEPLINSKI DINA J V"</f>
        <v>CIEPLINSKI DINA J V</v>
      </c>
      <c r="C2670" s="1" t="str">
        <f>"GOULD RD BROADLEIGH ANNEX LOT 9"</f>
        <v>GOULD RD BROADLEIGH ANNEX LOT 9</v>
      </c>
      <c r="D2670" s="1">
        <v>3448.34</v>
      </c>
    </row>
    <row r="2671" spans="1:4" x14ac:dyDescent="0.3">
      <c r="A2671" s="1" t="str">
        <f>"18000341800"</f>
        <v>18000341800</v>
      </c>
      <c r="B2671" s="1" t="str">
        <f>"CILLES WILLIAM R"</f>
        <v>CILLES WILLIAM R</v>
      </c>
      <c r="C2671" s="1" t="str">
        <f>"NOE-BIXBY RD BLACKLICK ESTATES 5 767"</f>
        <v>NOE-BIXBY RD BLACKLICK ESTATES 5 767</v>
      </c>
      <c r="D2671" s="1">
        <v>1839.51</v>
      </c>
    </row>
    <row r="2672" spans="1:4" x14ac:dyDescent="0.3">
      <c r="A2672" s="1" t="str">
        <f>"04001744000"</f>
        <v>04001744000</v>
      </c>
      <c r="B2672" s="1" t="str">
        <f>"CIMINELLO LAND CO LLC"</f>
        <v>CIMINELLO LAND CO LLC</v>
      </c>
      <c r="C2672" s="1" t="str">
        <f>"PINNACLE QUARRY SECTION 3 RESERVE N"</f>
        <v>PINNACLE QUARRY SECTION 3 RESERVE N</v>
      </c>
      <c r="D2672" s="1">
        <v>308.27999999999997</v>
      </c>
    </row>
    <row r="2673" spans="1:4" x14ac:dyDescent="0.3">
      <c r="A2673" s="1" t="str">
        <f>"04001729100"</f>
        <v>04001729100</v>
      </c>
      <c r="B2673" s="1" t="str">
        <f>"CIMINELLO LAND CO LLC"</f>
        <v>CIMINELLO LAND CO LLC</v>
      </c>
      <c r="C2673" s="1" t="str">
        <f>"PINNACLE QUARRY SECTION 2 LOT 49"</f>
        <v>PINNACLE QUARRY SECTION 2 LOT 49</v>
      </c>
      <c r="D2673" s="1">
        <v>1776.6</v>
      </c>
    </row>
    <row r="2674" spans="1:4" x14ac:dyDescent="0.3">
      <c r="A2674" s="1" t="str">
        <f>"02501091300"</f>
        <v>02501091300</v>
      </c>
      <c r="B2674" s="1" t="str">
        <f>"CIMPERMAN ANTHONY J"</f>
        <v>CIMPERMAN ANTHONY J</v>
      </c>
      <c r="C2674" s="1" t="str">
        <f>"519 DANDY BRUSH LN E POLO CLUB VILLAS CONDO UNIT 10-519"</f>
        <v>519 DANDY BRUSH LN E POLO CLUB VILLAS CONDO UNIT 10-519</v>
      </c>
      <c r="D2674" s="1">
        <v>2454.67</v>
      </c>
    </row>
    <row r="2675" spans="1:4" x14ac:dyDescent="0.3">
      <c r="A2675" s="1" t="str">
        <f>"01006138500"</f>
        <v>01006138500</v>
      </c>
      <c r="B2675" s="1" t="str">
        <f>"CIN ZAM KHAN"</f>
        <v>CIN ZAM KHAN</v>
      </c>
      <c r="C2675" s="1" t="str">
        <f>"1377 REPUBLIC AVE HIGHWAY PARK LOT 195"</f>
        <v>1377 REPUBLIC AVE HIGHWAY PARK LOT 195</v>
      </c>
      <c r="D2675" s="1">
        <v>1502.93</v>
      </c>
    </row>
    <row r="2676" spans="1:4" x14ac:dyDescent="0.3">
      <c r="A2676" s="1" t="str">
        <f>"01028127100"</f>
        <v>01028127100</v>
      </c>
      <c r="B2676" s="1" t="str">
        <f>"CINCINNATI CAPITAL PARTNERS 596 LLC"</f>
        <v>CINCINNATI CAPITAL PARTNERS 596 LLC</v>
      </c>
      <c r="C2676" s="1" t="str">
        <f>"WESTPLEX BUSINESS PARK CONDOMINIUM UNIT 2824-E"</f>
        <v>WESTPLEX BUSINESS PARK CONDOMINIUM UNIT 2824-E</v>
      </c>
      <c r="D2676" s="1">
        <v>7352.63</v>
      </c>
    </row>
    <row r="2677" spans="1:4" x14ac:dyDescent="0.3">
      <c r="A2677" s="1" t="str">
        <f>"08001138300"</f>
        <v>08001138300</v>
      </c>
      <c r="B2677" s="1" t="str">
        <f>"CINCINNATI SMSA TOWER HOLDINGS LLC"</f>
        <v>CINCINNATI SMSA TOWER HOLDINGS LLC</v>
      </c>
      <c r="C2677" s="1" t="str">
        <f>"178 N SUNBURY RD R17 T2 S1 1.000 ACRE"</f>
        <v>178 N SUNBURY RD R17 T2 S1 1.000 ACRE</v>
      </c>
      <c r="D2677" s="1">
        <v>502.95</v>
      </c>
    </row>
    <row r="2678" spans="1:4" x14ac:dyDescent="0.3">
      <c r="A2678" s="1" t="str">
        <f>"01019515500"</f>
        <v>01019515500</v>
      </c>
      <c r="B2678" s="1" t="str">
        <f>"CINI LISA"</f>
        <v>CINI LISA</v>
      </c>
      <c r="C2678" s="1" t="str">
        <f>"E BROAD ST PARK TOWERS CONDO UNIT 205"</f>
        <v>E BROAD ST PARK TOWERS CONDO UNIT 205</v>
      </c>
      <c r="D2678" s="1">
        <v>150.41</v>
      </c>
    </row>
    <row r="2679" spans="1:4" x14ac:dyDescent="0.3">
      <c r="A2679" s="1" t="str">
        <f>"05001063400"</f>
        <v>05001063400</v>
      </c>
      <c r="B2679" s="1" t="str">
        <f>"CINYTHOG LLC"</f>
        <v>CINYTHOG LLC</v>
      </c>
      <c r="C2679" s="1" t="str">
        <f>"THE HILLIARD STATION OFFICE CONDOMINIUM UNIT 4523"</f>
        <v>THE HILLIARD STATION OFFICE CONDOMINIUM UNIT 4523</v>
      </c>
      <c r="D2679" s="1">
        <v>752.6</v>
      </c>
    </row>
    <row r="2680" spans="1:4" x14ac:dyDescent="0.3">
      <c r="A2680" s="1" t="str">
        <f>"05001063500"</f>
        <v>05001063500</v>
      </c>
      <c r="B2680" s="1" t="str">
        <f>"CINYTHOG LLC"</f>
        <v>CINYTHOG LLC</v>
      </c>
      <c r="C2680" s="1" t="str">
        <f>"THE HILLIARD STATION OFFICE CONDOMINIUM UNIT 4525"</f>
        <v>THE HILLIARD STATION OFFICE CONDOMINIUM UNIT 4525</v>
      </c>
      <c r="D2680" s="1">
        <v>752.6</v>
      </c>
    </row>
    <row r="2681" spans="1:4" x14ac:dyDescent="0.3">
      <c r="A2681" s="1" t="str">
        <f>"61017317100"</f>
        <v>61017317100</v>
      </c>
      <c r="B2681" s="1" t="str">
        <f>"CIOFANI KIM M R"</f>
        <v>CIOFANI KIM M R</v>
      </c>
      <c r="C2681" s="1" t="str">
        <f>"7989 SEVERHILL COURT OLDE SAWMILL SEC 2 LOT 346"</f>
        <v>7989 SEVERHILL COURT OLDE SAWMILL SEC 2 LOT 346</v>
      </c>
      <c r="D2681" s="1">
        <v>9263.58</v>
      </c>
    </row>
    <row r="2682" spans="1:4" x14ac:dyDescent="0.3">
      <c r="A2682" s="1" t="str">
        <f>"01028836800"</f>
        <v>01028836800</v>
      </c>
      <c r="B2682" s="1" t="str">
        <f>"CIRCUS HOUSE LLC"</f>
        <v>CIRCUS HOUSE LLC</v>
      </c>
      <c r="C2682" s="1" t="str">
        <f>"217 BUTTLES AVE NEIL PLACE 34.22'X 101.8'NW LT 83-85"</f>
        <v>217 BUTTLES AVE NEIL PLACE 34.22'X 101.8'NW LT 83-85</v>
      </c>
      <c r="D2682" s="1">
        <v>472.73</v>
      </c>
    </row>
    <row r="2683" spans="1:4" x14ac:dyDescent="0.3">
      <c r="A2683" s="1" t="str">
        <f>"11000349200"</f>
        <v>11000349200</v>
      </c>
      <c r="B2683" s="1" t="str">
        <f>"CISCO ANTHONY"</f>
        <v>CISCO ANTHONY</v>
      </c>
      <c r="C2683" s="1" t="str">
        <f>"PARIS BLVD H C HUBER PLAT 48 SEC 3 LOT 1560 &amp; PT LOT 1565"</f>
        <v>PARIS BLVD H C HUBER PLAT 48 SEC 3 LOT 1560 &amp; PT LOT 1565</v>
      </c>
      <c r="D2683" s="1">
        <v>3185.41</v>
      </c>
    </row>
    <row r="2684" spans="1:4" x14ac:dyDescent="0.3">
      <c r="A2684" s="1" t="str">
        <f>"61020618400"</f>
        <v>61020618400</v>
      </c>
      <c r="B2684" s="1" t="str">
        <f>"CISSE ASSITAN"</f>
        <v>CISSE ASSITAN</v>
      </c>
      <c r="C2684" s="1" t="str">
        <f>"WORTHINGTON HEIGHTS CONDO 3RD AMD UNIT 201"</f>
        <v>WORTHINGTON HEIGHTS CONDO 3RD AMD UNIT 201</v>
      </c>
      <c r="D2684" s="1">
        <v>343.67</v>
      </c>
    </row>
    <row r="2685" spans="1:4" x14ac:dyDescent="0.3">
      <c r="A2685" s="1" t="str">
        <f>"01001477000"</f>
        <v>01001477000</v>
      </c>
      <c r="B2685" s="1" t="str">
        <f>"CITY BUILT LLC"</f>
        <v>CITY BUILT LLC</v>
      </c>
      <c r="C2685" s="1" t="str">
        <f>"70 GREEN ST FRANKLINTON LOT 92"</f>
        <v>70 GREEN ST FRANKLINTON LOT 92</v>
      </c>
      <c r="D2685" s="1">
        <v>59.24</v>
      </c>
    </row>
    <row r="2686" spans="1:4" x14ac:dyDescent="0.3">
      <c r="A2686" s="1" t="str">
        <f>"01004909300"</f>
        <v>01004909300</v>
      </c>
      <c r="B2686" s="1" t="str">
        <f>"CITY BUILT LLC"</f>
        <v>CITY BUILT LLC</v>
      </c>
      <c r="C2686" s="1" t="str">
        <f>"68 GREEN ST FRANKLINTON LOT 92"</f>
        <v>68 GREEN ST FRANKLINTON LOT 92</v>
      </c>
      <c r="D2686" s="1">
        <v>59.24</v>
      </c>
    </row>
    <row r="2687" spans="1:4" x14ac:dyDescent="0.3">
      <c r="A2687" s="1" t="str">
        <f>"01004381000"</f>
        <v>01004381000</v>
      </c>
      <c r="B2687" s="1" t="str">
        <f>"CITY BUILT LLC"</f>
        <v>CITY BUILT LLC</v>
      </c>
      <c r="C2687" s="1" t="str">
        <f>"GREEN ST    38FT NS OF 79-1/2 FT OF WS FRANKLINTON LOT 92"</f>
        <v>GREEN ST    38FT NS OF 79-1/2 FT OF WS FRANKLINTON LOT 92</v>
      </c>
      <c r="D2687" s="1">
        <v>111.72</v>
      </c>
    </row>
    <row r="2688" spans="1:4" x14ac:dyDescent="0.3">
      <c r="A2688" s="1" t="str">
        <f>"01003877300"</f>
        <v>01003877300</v>
      </c>
      <c r="B2688" s="1" t="str">
        <f>"CITY BUILT LLC"</f>
        <v>CITY BUILT LLC</v>
      </c>
      <c r="C2688" s="1" t="str">
        <f>"SCOTT ST FRANKLINTON LOT 92"</f>
        <v>SCOTT ST FRANKLINTON LOT 92</v>
      </c>
      <c r="D2688" s="1">
        <v>34.119999999999997</v>
      </c>
    </row>
    <row r="2689" spans="1:4" x14ac:dyDescent="0.3">
      <c r="A2689" s="1" t="str">
        <f>"01003744400"</f>
        <v>01003744400</v>
      </c>
      <c r="B2689" s="1" t="str">
        <f>"CITY BUILT LLC"</f>
        <v>CITY BUILT LLC</v>
      </c>
      <c r="C2689" s="1" t="str">
        <f>"66 GREEN ST FRANKLINTON PT LOT 92"</f>
        <v>66 GREEN ST FRANKLINTON PT LOT 92</v>
      </c>
      <c r="D2689" s="1">
        <v>61.86</v>
      </c>
    </row>
    <row r="2690" spans="1:4" x14ac:dyDescent="0.3">
      <c r="A2690" s="1" t="str">
        <f>"01005670800"</f>
        <v>01005670800</v>
      </c>
      <c r="B2690" s="1" t="str">
        <f>"CITY LIFE INVESTMENTS INC"</f>
        <v>CITY LIFE INVESTMENTS INC</v>
      </c>
      <c r="C2690" s="1" t="str">
        <f>"OAK ST MORRISON ET AL LOT 13"</f>
        <v>OAK ST MORRISON ET AL LOT 13</v>
      </c>
      <c r="D2690" s="1">
        <v>1077.8399999999999</v>
      </c>
    </row>
    <row r="2691" spans="1:4" x14ac:dyDescent="0.3">
      <c r="A2691" s="1" t="str">
        <f>"13000688700"</f>
        <v>13000688700</v>
      </c>
      <c r="B2691" s="1" t="str">
        <f>"CITY LINE REAL ESTATE LLC"</f>
        <v>CITY LINE REAL ESTATE LLC</v>
      </c>
      <c r="C2691" s="1" t="str">
        <f>"3705 CLEVELAND AVE ELMORE LOT 170 EX EE"</f>
        <v>3705 CLEVELAND AVE ELMORE LOT 170 EX EE</v>
      </c>
      <c r="D2691" s="1">
        <v>992.75</v>
      </c>
    </row>
    <row r="2692" spans="1:4" x14ac:dyDescent="0.3">
      <c r="A2692" s="1" t="str">
        <f>"01032697500"</f>
        <v>01032697500</v>
      </c>
      <c r="B2692" s="1" t="str">
        <f>"CITY OF COLUMBUS"</f>
        <v>CITY OF COLUMBUS</v>
      </c>
      <c r="C2692" s="1" t="str">
        <f>"5TH AVE EAST COLUMBUS 0.087 AC"</f>
        <v>5TH AVE EAST COLUMBUS 0.087 AC</v>
      </c>
      <c r="D2692" s="1">
        <v>385.37</v>
      </c>
    </row>
    <row r="2693" spans="1:4" x14ac:dyDescent="0.3">
      <c r="A2693" s="1" t="str">
        <f>"24631829800"</f>
        <v>24631829800</v>
      </c>
      <c r="B2693" s="1" t="str">
        <f>"CITY OF COLUMBUS"</f>
        <v>CITY OF COLUMBUS</v>
      </c>
      <c r="C2693" s="1" t="str">
        <f>"ROME-HILLIARD RD ENTRY 7326 OQ 1000 0.0031 ACRES"</f>
        <v>ROME-HILLIARD RD ENTRY 7326 OQ 1000 0.0031 ACRES</v>
      </c>
      <c r="D2693" s="1">
        <v>22.22</v>
      </c>
    </row>
    <row r="2694" spans="1:4" x14ac:dyDescent="0.3">
      <c r="A2694" s="1" t="str">
        <f>"01002622600"</f>
        <v>01002622600</v>
      </c>
      <c r="B2694" s="1" t="str">
        <f>"CITY OF COLUMBUS OHIO"</f>
        <v>CITY OF COLUMBUS OHIO</v>
      </c>
      <c r="C2694" s="1" t="str">
        <f>"1214-16 CAPITAL ST 1213-12131/2 W BROAD ST L B GARDNER LOT 3"</f>
        <v>1214-16 CAPITAL ST 1213-12131/2 W BROAD ST L B GARDNER LOT 3</v>
      </c>
      <c r="D2694" s="1">
        <v>1240.17</v>
      </c>
    </row>
    <row r="2695" spans="1:4" x14ac:dyDescent="0.3">
      <c r="A2695" s="1" t="str">
        <f>"01032663300"</f>
        <v>01032663300</v>
      </c>
      <c r="B2695" s="1" t="str">
        <f>"CITY OF COLUMBUS OHIO"</f>
        <v>CITY OF COLUMBUS OHIO</v>
      </c>
      <c r="C2695" s="1" t="str">
        <f>"WINCHESTER PIKE R21 T11 S24 5.048 ACRES"</f>
        <v>WINCHESTER PIKE R21 T11 S24 5.048 ACRES</v>
      </c>
      <c r="D2695" s="1">
        <v>11475.83</v>
      </c>
    </row>
    <row r="2696" spans="1:4" x14ac:dyDescent="0.3">
      <c r="A2696" s="1" t="str">
        <f>"01006644800"</f>
        <v>01006644800</v>
      </c>
      <c r="B2696" s="1" t="str">
        <f>"CITY OF COLUMBUS OHIO"</f>
        <v>CITY OF COLUMBUS OHIO</v>
      </c>
      <c r="C2696" s="1" t="str">
        <f>"J S SULLIVANTS SUB OF PLAT A LTS 4-5-6 .38 ACR ENT 2668"</f>
        <v>J S SULLIVANTS SUB OF PLAT A LTS 4-5-6 .38 ACR ENT 2668</v>
      </c>
      <c r="D2696" s="1">
        <v>173.21</v>
      </c>
    </row>
    <row r="2697" spans="1:4" x14ac:dyDescent="0.3">
      <c r="A2697" s="1" t="str">
        <f>"49528084200"</f>
        <v>49528084200</v>
      </c>
      <c r="B2697" s="1" t="str">
        <f>"CITY OF COLUMBUS OHIO"</f>
        <v>CITY OF COLUMBUS OHIO</v>
      </c>
      <c r="C2697" s="1" t="str">
        <f>"4080 S HIGH ST R22 T4 S16-15 0.783 ACRE"</f>
        <v>4080 S HIGH ST R22 T4 S16-15 0.783 ACRE</v>
      </c>
      <c r="D2697" s="1">
        <v>28169.759999999998</v>
      </c>
    </row>
    <row r="2698" spans="1:4" x14ac:dyDescent="0.3">
      <c r="A2698" s="1" t="str">
        <f>"07001019800"</f>
        <v>07001019800</v>
      </c>
      <c r="B2698" s="1" t="str">
        <f>"CITY OF UPPER ARLINGTON"</f>
        <v>CITY OF UPPER ARLINGTON</v>
      </c>
      <c r="C2698" s="1" t="str">
        <f>"LANE ROAD R19 T1 S1 0.1332 ACRES"</f>
        <v>LANE ROAD R19 T1 S1 0.1332 ACRES</v>
      </c>
      <c r="D2698" s="1">
        <v>29.79</v>
      </c>
    </row>
    <row r="2699" spans="1:4" x14ac:dyDescent="0.3">
      <c r="A2699" s="1" t="str">
        <f>"09000442600"</f>
        <v>09000442600</v>
      </c>
      <c r="B2699" s="1" t="str">
        <f>"CITYGATE HOLDINGS LLC"</f>
        <v>CITYGATE HOLDINGS LLC</v>
      </c>
      <c r="C2699" s="1" t="str">
        <f>"E MAIN ST PIERCE BERNHARDS 2ND LOT 189"</f>
        <v>E MAIN ST PIERCE BERNHARDS 2ND LOT 189</v>
      </c>
      <c r="D2699" s="1">
        <v>2229.5</v>
      </c>
    </row>
    <row r="2700" spans="1:4" x14ac:dyDescent="0.3">
      <c r="A2700" s="1" t="str">
        <f>"09000442700"</f>
        <v>09000442700</v>
      </c>
      <c r="B2700" s="1" t="str">
        <f>"CITYGATE HOLDINGS LLC"</f>
        <v>CITYGATE HOLDINGS LLC</v>
      </c>
      <c r="C2700" s="1" t="str">
        <f>"4333 E MAIN ST PIERCE BERNHARDS 2ND LOT 190"</f>
        <v>4333 E MAIN ST PIERCE BERNHARDS 2ND LOT 190</v>
      </c>
      <c r="D2700" s="1">
        <v>4710.53</v>
      </c>
    </row>
    <row r="2701" spans="1:4" x14ac:dyDescent="0.3">
      <c r="A2701" s="1" t="str">
        <f>"09000442800"</f>
        <v>09000442800</v>
      </c>
      <c r="B2701" s="1" t="str">
        <f>"CITYGATE HOLDINGS LLC"</f>
        <v>CITYGATE HOLDINGS LLC</v>
      </c>
      <c r="C2701" s="1" t="str">
        <f>"E MAIN ST PIERCE BERNHARDS 2ND LOT 191"</f>
        <v>E MAIN ST PIERCE BERNHARDS 2ND LOT 191</v>
      </c>
      <c r="D2701" s="1">
        <v>2362.29</v>
      </c>
    </row>
    <row r="2702" spans="1:4" x14ac:dyDescent="0.3">
      <c r="A2702" s="1" t="str">
        <f>"09000442900"</f>
        <v>09000442900</v>
      </c>
      <c r="B2702" s="1" t="str">
        <f>"CITYGATE HOLDINGS LLC"</f>
        <v>CITYGATE HOLDINGS LLC</v>
      </c>
      <c r="C2702" s="1" t="str">
        <f>"E MAIN ST PIERCE BERNHARDS 2ND LOT 192"</f>
        <v>E MAIN ST PIERCE BERNHARDS 2ND LOT 192</v>
      </c>
      <c r="D2702" s="1">
        <v>2423.88</v>
      </c>
    </row>
    <row r="2703" spans="1:4" x14ac:dyDescent="0.3">
      <c r="A2703" s="1" t="str">
        <f>"01001486400"</f>
        <v>01001486400</v>
      </c>
      <c r="B2703" s="1" t="str">
        <f>"CIVIC PROPERTIES LLC"</f>
        <v>CIVIC PROPERTIES LLC</v>
      </c>
      <c r="C2703" s="1" t="str">
        <f>"281 N WAYNE AVE GLENVIEW HTS LOT 58-59"</f>
        <v>281 N WAYNE AVE GLENVIEW HTS LOT 58-59</v>
      </c>
      <c r="D2703" s="1">
        <v>1613.58</v>
      </c>
    </row>
    <row r="2704" spans="1:4" x14ac:dyDescent="0.3">
      <c r="A2704" s="1" t="str">
        <f>"01010126900"</f>
        <v>01010126900</v>
      </c>
      <c r="B2704" s="1" t="str">
        <f>"CK HOMES LLC"</f>
        <v>CK HOMES LLC</v>
      </c>
      <c r="C2704" s="1" t="str">
        <f>"ARGUS RD BERWICK MANOR LOT 323"</f>
        <v>ARGUS RD BERWICK MANOR LOT 323</v>
      </c>
      <c r="D2704" s="1">
        <v>3592.42</v>
      </c>
    </row>
    <row r="2705" spans="1:4" x14ac:dyDescent="0.3">
      <c r="A2705" s="1" t="str">
        <f>"18000021700"</f>
        <v>18000021700</v>
      </c>
      <c r="B2705" s="1" t="str">
        <f>"CK REAL ESTATE HOLDINGS LLC"</f>
        <v>CK REAL ESTATE HOLDINGS LLC</v>
      </c>
      <c r="C2705" s="1" t="str">
        <f>"3314 NOE BIXBY RD 2.001 AC "</f>
        <v xml:space="preserve">3314 NOE BIXBY RD 2.001 AC </v>
      </c>
      <c r="D2705" s="1">
        <v>14800</v>
      </c>
    </row>
    <row r="2706" spans="1:4" x14ac:dyDescent="0.3">
      <c r="A2706" s="1" t="str">
        <f>"18000041700"</f>
        <v>18000041700</v>
      </c>
      <c r="B2706" s="1" t="str">
        <f>"CLAFFEY DENA, CLAFFEY JOEL"</f>
        <v>CLAFFEY DENA, CLAFFEY JOEL</v>
      </c>
      <c r="C2706" s="1" t="str">
        <f>"100 EBRIGHT RD R21 T11 S28 20.900 ACRES"</f>
        <v>100 EBRIGHT RD R21 T11 S28 20.900 ACRES</v>
      </c>
      <c r="D2706" s="1">
        <v>224.14</v>
      </c>
    </row>
    <row r="2707" spans="1:4" x14ac:dyDescent="0.3">
      <c r="A2707" s="1" t="str">
        <f>"06000387000"</f>
        <v>06000387000</v>
      </c>
      <c r="B2707" s="1" t="str">
        <f>"CLAGER CHARLES JR, CLAGER RUTH JOY"</f>
        <v>CLAGER CHARLES JR, CLAGER RUTH JOY</v>
      </c>
      <c r="C2707" s="1" t="str">
        <f>"RYGATE DRIVE BRICE ESTATES 4 LOT 53"</f>
        <v>RYGATE DRIVE BRICE ESTATES 4 LOT 53</v>
      </c>
      <c r="D2707" s="1">
        <v>1713.71</v>
      </c>
    </row>
    <row r="2708" spans="1:4" x14ac:dyDescent="0.3">
      <c r="A2708" s="1" t="str">
        <f>"01004798400"</f>
        <v>01004798400</v>
      </c>
      <c r="B2708" s="1" t="str">
        <f>"CLAIR UNITED METHODIST CHURCH"</f>
        <v>CLAIR UNITED METHODIST CHURCH</v>
      </c>
      <c r="C2708" s="1" t="str">
        <f>"1938 S 9TH ST 20TH CENTURY LOT 159"</f>
        <v>1938 S 9TH ST 20TH CENTURY LOT 159</v>
      </c>
      <c r="D2708" s="1">
        <v>5.54</v>
      </c>
    </row>
    <row r="2709" spans="1:4" x14ac:dyDescent="0.3">
      <c r="A2709" s="1" t="str">
        <f>"01003108700"</f>
        <v>01003108700</v>
      </c>
      <c r="B2709" s="1" t="str">
        <f>"CLAIR UNITED METHODIST CHURCH"</f>
        <v>CLAIR UNITED METHODIST CHURCH</v>
      </c>
      <c r="C2709" s="1" t="str">
        <f>"1934 S 9TH ST 20TH CENTURY LOT 160"</f>
        <v>1934 S 9TH ST 20TH CENTURY LOT 160</v>
      </c>
      <c r="D2709" s="1">
        <v>5.54</v>
      </c>
    </row>
    <row r="2710" spans="1:4" x14ac:dyDescent="0.3">
      <c r="A2710" s="1" t="str">
        <f>"01000681600"</f>
        <v>01000681600</v>
      </c>
      <c r="B2710" s="1" t="str">
        <f>"CLAIR UNITED METHODIST CHURCH"</f>
        <v>CLAIR UNITED METHODIST CHURCH</v>
      </c>
      <c r="C2710" s="1" t="str">
        <f>"313-15 BARTMAN AVE 20TH CENTURY LOT 96"</f>
        <v>313-15 BARTMAN AVE 20TH CENTURY LOT 96</v>
      </c>
      <c r="D2710" s="1">
        <v>4.04</v>
      </c>
    </row>
    <row r="2711" spans="1:4" x14ac:dyDescent="0.3">
      <c r="A2711" s="1" t="str">
        <f>"57023308900"</f>
        <v>57023308900</v>
      </c>
      <c r="B2711" s="1" t="str">
        <f>"CLAPPER CRAIG D"</f>
        <v>CLAPPER CRAIG D</v>
      </c>
      <c r="C2711" s="1" t="str">
        <f>"MC DOWELL RIDGE DR SENECA PINES SECTION 2 LOT 111"</f>
        <v>MC DOWELL RIDGE DR SENECA PINES SECTION 2 LOT 111</v>
      </c>
      <c r="D2711" s="1">
        <v>1411.14</v>
      </c>
    </row>
    <row r="2712" spans="1:4" x14ac:dyDescent="0.3">
      <c r="A2712" s="1" t="str">
        <f>"17000197400"</f>
        <v>17000197400</v>
      </c>
      <c r="B2712" s="1" t="str">
        <f>"CLARK AARON DUANE TTEE, CLARK JOELLE LYN TTEE"</f>
        <v>CLARK AARON DUANE TTEE, CLARK JOELLE LYN TTEE</v>
      </c>
      <c r="C2712" s="1" t="str">
        <f>"COLTS NECK RD RESUBDIVISION PT LT 5=3.522 ACRES"</f>
        <v>COLTS NECK RD RESUBDIVISION PT LT 5=3.522 ACRES</v>
      </c>
      <c r="D2712" s="1">
        <v>35044.269999999997</v>
      </c>
    </row>
    <row r="2713" spans="1:4" x14ac:dyDescent="0.3">
      <c r="A2713" s="1" t="str">
        <f>"01013687800"</f>
        <v>01013687800</v>
      </c>
      <c r="B2713" s="1" t="str">
        <f>"CLARK BONNY J"</f>
        <v>CLARK BONNY J</v>
      </c>
      <c r="C2713" s="1" t="str">
        <f>"CARRIAGE LANE RED FOX HOLLOW 2 LOT 16"</f>
        <v>CARRIAGE LANE RED FOX HOLLOW 2 LOT 16</v>
      </c>
      <c r="D2713" s="1">
        <v>87.2</v>
      </c>
    </row>
    <row r="2714" spans="1:4" x14ac:dyDescent="0.3">
      <c r="A2714" s="1" t="str">
        <f>"18400292100"</f>
        <v>18400292100</v>
      </c>
      <c r="B2714" s="1" t="str">
        <f>"CLARK BRICE"</f>
        <v>CLARK BRICE</v>
      </c>
      <c r="C2714" s="1" t="str">
        <f>"STEEN STREET CHERRY LANDING LOT 140"</f>
        <v>STEEN STREET CHERRY LANDING LOT 140</v>
      </c>
      <c r="D2714" s="1">
        <v>250.89</v>
      </c>
    </row>
    <row r="2715" spans="1:4" x14ac:dyDescent="0.3">
      <c r="A2715" s="1" t="str">
        <f>"01004964700"</f>
        <v>01004964700</v>
      </c>
      <c r="B2715" s="1" t="str">
        <f>"CLARK CAROLYN"</f>
        <v>CLARK CAROLYN</v>
      </c>
      <c r="C2715" s="1" t="str">
        <f>"649 STANLEY AVE BLEIEL LOT 100"</f>
        <v>649 STANLEY AVE BLEIEL LOT 100</v>
      </c>
      <c r="D2715" s="1">
        <v>5502.46</v>
      </c>
    </row>
    <row r="2716" spans="1:4" x14ac:dyDescent="0.3">
      <c r="A2716" s="1" t="str">
        <f>"04000763800"</f>
        <v>04000763800</v>
      </c>
      <c r="B2716" s="1" t="str">
        <f>"CLARK CHAD E, CLARK BELINDA"</f>
        <v>CLARK CHAD E, CLARK BELINDA</v>
      </c>
      <c r="C2716" s="1" t="str">
        <f>"WINNEBAGO STREET HAWTHORNE WOODS NORTH SEC 1 LOT 15"</f>
        <v>WINNEBAGO STREET HAWTHORNE WOODS NORTH SEC 1 LOT 15</v>
      </c>
      <c r="D2716" s="1">
        <v>417.48</v>
      </c>
    </row>
    <row r="2717" spans="1:4" x14ac:dyDescent="0.3">
      <c r="A2717" s="1" t="str">
        <f>"01007669000"</f>
        <v>01007669000</v>
      </c>
      <c r="B2717" s="1" t="str">
        <f>"CLARK DENISE L AFDT"</f>
        <v>CLARK DENISE L AFDT</v>
      </c>
      <c r="C2717" s="1" t="str">
        <f>"DUXBERRY AVE HOMESTEAD HEIGHTS 2 LOT 122"</f>
        <v>DUXBERRY AVE HOMESTEAD HEIGHTS 2 LOT 122</v>
      </c>
      <c r="D2717" s="1">
        <v>674.51</v>
      </c>
    </row>
    <row r="2718" spans="1:4" x14ac:dyDescent="0.3">
      <c r="A2718" s="1" t="str">
        <f>"01008169900"</f>
        <v>01008169900</v>
      </c>
      <c r="B2718" s="1" t="str">
        <f>"CLARK DONALD E"</f>
        <v>CLARK DONALD E</v>
      </c>
      <c r="C2718" s="1" t="str">
        <f>"RICHARDSON AVE HEFFNER HTS ANNEX LOT 131"</f>
        <v>RICHARDSON AVE HEFFNER HTS ANNEX LOT 131</v>
      </c>
      <c r="D2718" s="1">
        <v>830.65</v>
      </c>
    </row>
    <row r="2719" spans="1:4" x14ac:dyDescent="0.3">
      <c r="A2719" s="1" t="str">
        <f>"05000760400"</f>
        <v>05000760400</v>
      </c>
      <c r="B2719" s="1" t="str">
        <f>"CLARK DONALD F TR, CLARK LINDA M TR"</f>
        <v>CLARK DONALD F TR, CLARK LINDA M TR</v>
      </c>
      <c r="C2719" s="1" t="str">
        <f>"5562 VILLA GATES DR HERITAGE CLUB VILLAS COND UNIT 1-5562"</f>
        <v>5562 VILLA GATES DR HERITAGE CLUB VILLAS COND UNIT 1-5562</v>
      </c>
      <c r="D2719" s="1">
        <v>291.66000000000003</v>
      </c>
    </row>
    <row r="2720" spans="1:4" x14ac:dyDescent="0.3">
      <c r="A2720" s="1" t="str">
        <f>"01011104100"</f>
        <v>01011104100</v>
      </c>
      <c r="B2720" s="1" t="str">
        <f>"CLARK ELEANOR"</f>
        <v>CLARK ELEANOR</v>
      </c>
      <c r="C2720" s="1" t="str">
        <f>"RACE ST SEE DUP FOR DESC LOT 6 &amp; 25FT WS LOT 7"</f>
        <v>RACE ST SEE DUP FOR DESC LOT 6 &amp; 25FT WS LOT 7</v>
      </c>
      <c r="D2720" s="1">
        <v>96.38</v>
      </c>
    </row>
    <row r="2721" spans="1:4" x14ac:dyDescent="0.3">
      <c r="A2721" s="1" t="str">
        <f>"24100120100"</f>
        <v>24100120100</v>
      </c>
      <c r="B2721" s="1" t="str">
        <f>"CLARK FELICIA M"</f>
        <v>CLARK FELICIA M</v>
      </c>
      <c r="C2721" s="1" t="str">
        <f>"FOUR STAR DRIVE EAST WESTPOINT NORTH LOT 57"</f>
        <v>FOUR STAR DRIVE EAST WESTPOINT NORTH LOT 57</v>
      </c>
      <c r="D2721" s="1">
        <v>1966.31</v>
      </c>
    </row>
    <row r="2722" spans="1:4" x14ac:dyDescent="0.3">
      <c r="A2722" s="1" t="str">
        <f>"61017330300"</f>
        <v>61017330300</v>
      </c>
      <c r="B2722" s="1" t="str">
        <f>"CLARK G SCOTT, CLARK DENISE M"</f>
        <v>CLARK G SCOTT, CLARK DENISE M</v>
      </c>
      <c r="C2722" s="1" t="str">
        <f>"STOWBRIDGE ROAD OLDE SAWMILL SEC 3 LOT 369"</f>
        <v>STOWBRIDGE ROAD OLDE SAWMILL SEC 3 LOT 369</v>
      </c>
      <c r="D2722" s="1">
        <v>455.89</v>
      </c>
    </row>
    <row r="2723" spans="1:4" x14ac:dyDescent="0.3">
      <c r="A2723" s="1" t="str">
        <f>"01019098800"</f>
        <v>01019098800</v>
      </c>
      <c r="B2723" s="1" t="str">
        <f>"CLARK JAMES"</f>
        <v>CLARK JAMES</v>
      </c>
      <c r="C2723" s="1" t="str">
        <f>"WORTHINGTON FOREST CONDOMINIUM UNIT 736 BLDG 4"</f>
        <v>WORTHINGTON FOREST CONDOMINIUM UNIT 736 BLDG 4</v>
      </c>
      <c r="D2723" s="1">
        <v>538.03</v>
      </c>
    </row>
    <row r="2724" spans="1:4" x14ac:dyDescent="0.3">
      <c r="A2724" s="1" t="str">
        <f>"18500188400"</f>
        <v>18500188400</v>
      </c>
      <c r="B2724" s="1" t="str">
        <f>"CLARK JOSEPHINE"</f>
        <v>CLARK JOSEPHINE</v>
      </c>
      <c r="C2724" s="1" t="str">
        <f>"BEAVER MEADOW DRIVE WALDEN PONDS SECTION 1 LOT 25"</f>
        <v>BEAVER MEADOW DRIVE WALDEN PONDS SECTION 1 LOT 25</v>
      </c>
      <c r="D2724" s="1">
        <v>183.71</v>
      </c>
    </row>
    <row r="2725" spans="1:4" x14ac:dyDescent="0.3">
      <c r="A2725" s="1" t="str">
        <f>"13000037200"</f>
        <v>13000037200</v>
      </c>
      <c r="B2725" s="1" t="str">
        <f>"CLARK KAREN H, STRAPP JAMES J"</f>
        <v>CLARK KAREN H, STRAPP JAMES J</v>
      </c>
      <c r="C2725" s="1" t="str">
        <f>"BRANDON ST ELMORE LOTS 9-10"</f>
        <v>BRANDON ST ELMORE LOTS 9-10</v>
      </c>
      <c r="D2725" s="1">
        <v>172.25</v>
      </c>
    </row>
    <row r="2726" spans="1:4" x14ac:dyDescent="0.3">
      <c r="A2726" s="1" t="str">
        <f>"01006713100"</f>
        <v>01006713100</v>
      </c>
      <c r="B2726" s="1" t="str">
        <f>"CLARK KENNETH M TR, CLARK ANN E TR"</f>
        <v>CLARK KENNETH M TR, CLARK ANN E TR</v>
      </c>
      <c r="C2726" s="1" t="str">
        <f>"57 WEBBER RD CRESTVIEW LOT 207"</f>
        <v>57 WEBBER RD CRESTVIEW LOT 207</v>
      </c>
      <c r="D2726" s="1">
        <v>304.42</v>
      </c>
    </row>
    <row r="2727" spans="1:4" x14ac:dyDescent="0.3">
      <c r="A2727" s="1" t="str">
        <f>"61024114900"</f>
        <v>61024114900</v>
      </c>
      <c r="B2727" s="1" t="str">
        <f>"CLARK LARRY"</f>
        <v>CLARK LARRY</v>
      </c>
      <c r="C2727" s="1" t="str">
        <f>"NEW HAVEN ROAD R18 T2 1/4T2 1.420 ACRES"</f>
        <v>NEW HAVEN ROAD R18 T2 1/4T2 1.420 ACRES</v>
      </c>
      <c r="D2727" s="1">
        <v>7939.03</v>
      </c>
    </row>
    <row r="2728" spans="1:4" x14ac:dyDescent="0.3">
      <c r="A2728" s="1" t="str">
        <f>"61024788500"</f>
        <v>61024788500</v>
      </c>
      <c r="B2728" s="1" t="str">
        <f>"CLARK LARRY"</f>
        <v>CLARK LARRY</v>
      </c>
      <c r="C2728" s="1" t="str">
        <f>"NEW HAVEN RD R18 T2 1/4T2 PT LOT 44=0.674 ACRE"</f>
        <v>NEW HAVEN RD R18 T2 1/4T2 PT LOT 44=0.674 ACRE</v>
      </c>
      <c r="D2728" s="1">
        <v>1385.07</v>
      </c>
    </row>
    <row r="2729" spans="1:4" x14ac:dyDescent="0.3">
      <c r="A2729" s="1" t="str">
        <f>"01026621500"</f>
        <v>01026621500</v>
      </c>
      <c r="B2729" s="1" t="str">
        <f>"CLARK LLOYD R TTEE, CLARK SHARON A TTEE"</f>
        <v>CLARK LLOYD R TTEE, CLARK SHARON A TTEE</v>
      </c>
      <c r="C2729" s="1" t="str">
        <f>"THE CONDOMINIUM AT WINCHESTER COVE 5TH AMD BLDG 35 UNIT 4342"</f>
        <v>THE CONDOMINIUM AT WINCHESTER COVE 5TH AMD BLDG 35 UNIT 4342</v>
      </c>
      <c r="D2729" s="1">
        <v>131.29</v>
      </c>
    </row>
    <row r="2730" spans="1:4" x14ac:dyDescent="0.3">
      <c r="A2730" s="1" t="str">
        <f>"57018717500"</f>
        <v>57018717500</v>
      </c>
      <c r="B2730" s="1" t="str">
        <f>"CLARK MAGDALENE L TR"</f>
        <v>CLARK MAGDALENE L TR</v>
      </c>
      <c r="C2730" s="1" t="str">
        <f>"PIPERS RUN CT PIPERS MEADOW CONDO UNIT 810 BLDG 17"</f>
        <v>PIPERS RUN CT PIPERS MEADOW CONDO UNIT 810 BLDG 17</v>
      </c>
      <c r="D2730" s="1">
        <v>469.99</v>
      </c>
    </row>
    <row r="2731" spans="1:4" x14ac:dyDescent="0.3">
      <c r="A2731" s="1" t="str">
        <f>"18500015000"</f>
        <v>18500015000</v>
      </c>
      <c r="B2731" s="1" t="str">
        <f>"CLARK RANDALL R, CLARK CALIDA L"</f>
        <v>CLARK RANDALL R, CLARK CALIDA L</v>
      </c>
      <c r="C2731" s="1" t="str">
        <f>"BLACKLICK ST 52FT WS 83 "</f>
        <v xml:space="preserve">BLACKLICK ST 52FT WS 83 </v>
      </c>
      <c r="D2731" s="1">
        <v>451.45</v>
      </c>
    </row>
    <row r="2732" spans="1:4" x14ac:dyDescent="0.3">
      <c r="A2732" s="1" t="str">
        <f>"01000281700"</f>
        <v>01000281700</v>
      </c>
      <c r="B2732" s="1" t="str">
        <f>"CLARK ROBERTA W"</f>
        <v>CLARK ROBERTA W</v>
      </c>
      <c r="C2732" s="1" t="str">
        <f>"1431 MT VERNON AVE HORN 33' ES LOT 2"</f>
        <v>1431 MT VERNON AVE HORN 33' ES LOT 2</v>
      </c>
      <c r="D2732" s="1">
        <v>101.58</v>
      </c>
    </row>
    <row r="2733" spans="1:4" x14ac:dyDescent="0.3">
      <c r="A2733" s="1" t="str">
        <f>"04000002600"</f>
        <v>04000002600</v>
      </c>
      <c r="B2733" s="1" t="str">
        <f>"CLARKE DEBORAH L"</f>
        <v>CLARKE DEBORAH L</v>
      </c>
      <c r="C2733" s="1" t="str">
        <f>"3550 MIDLAND ST BEULAH SUB LOT 75"</f>
        <v>3550 MIDLAND ST BEULAH SUB LOT 75</v>
      </c>
      <c r="D2733" s="1">
        <v>1555.56</v>
      </c>
    </row>
    <row r="2734" spans="1:4" x14ac:dyDescent="0.3">
      <c r="A2734" s="1" t="str">
        <f>"01001689900"</f>
        <v>01001689900</v>
      </c>
      <c r="B2734" s="1" t="str">
        <f>"CLARKE SABOUR H, BROWN WILLIS, CLARKE ANQUANETTE BROWN"</f>
        <v>CLARKE SABOUR H, BROWN WILLIS, CLARKE ANQUANETTE BROWN</v>
      </c>
      <c r="C2734" s="1" t="str">
        <f>"210 N 17TH ST REAR J FULLERTON LOT 4"</f>
        <v>210 N 17TH ST REAR J FULLERTON LOT 4</v>
      </c>
      <c r="D2734" s="1">
        <v>1303.94</v>
      </c>
    </row>
    <row r="2735" spans="1:4" x14ac:dyDescent="0.3">
      <c r="A2735" s="1" t="str">
        <f>"07000618200"</f>
        <v>07000618200</v>
      </c>
      <c r="B2735" s="1" t="str">
        <f>"CLARKIN WILLIAM M"</f>
        <v>CLARKIN WILLIAM M</v>
      </c>
      <c r="C2735" s="1" t="str">
        <f>"SWANSEA RD RIVER RIDGE 39 BLK 10"</f>
        <v>SWANSEA RD RIVER RIDGE 39 BLK 10</v>
      </c>
      <c r="D2735" s="1">
        <v>685.84</v>
      </c>
    </row>
    <row r="2736" spans="1:4" x14ac:dyDescent="0.3">
      <c r="A2736" s="1" t="str">
        <f>"07000618300"</f>
        <v>07000618300</v>
      </c>
      <c r="B2736" s="1" t="str">
        <f>"CLARKIN WILLIAM M"</f>
        <v>CLARKIN WILLIAM M</v>
      </c>
      <c r="C2736" s="1" t="str">
        <f>"SWANSEA RD RIVER RIDGE 40 BLK 10"</f>
        <v>SWANSEA RD RIVER RIDGE 40 BLK 10</v>
      </c>
      <c r="D2736" s="1">
        <v>735.46</v>
      </c>
    </row>
    <row r="2737" spans="1:4" x14ac:dyDescent="0.3">
      <c r="A2737" s="1" t="str">
        <f>"01011599200"</f>
        <v>01011599200</v>
      </c>
      <c r="B2737" s="1" t="str">
        <f>"CLARKSON MARK"</f>
        <v>CLARKSON MARK</v>
      </c>
      <c r="C2737" s="1" t="str">
        <f>"1132 HILOCK AVE ACRES .333 R22 T4 S10"</f>
        <v>1132 HILOCK AVE ACRES .333 R22 T4 S10</v>
      </c>
      <c r="D2737" s="1">
        <v>439.17</v>
      </c>
    </row>
    <row r="2738" spans="1:4" x14ac:dyDescent="0.3">
      <c r="A2738" s="1" t="str">
        <f>"01006956000"</f>
        <v>01006956000</v>
      </c>
      <c r="B2738" s="1" t="str">
        <f>"CLARKSON PAMON"</f>
        <v>CLARKSON PAMON</v>
      </c>
      <c r="C2738" s="1" t="str">
        <f>"ABERDEEN AVE E LINDEN PK PL LOT 31 &amp; PT VAC ST"</f>
        <v>ABERDEEN AVE E LINDEN PK PL LOT 31 &amp; PT VAC ST</v>
      </c>
      <c r="D2738" s="1">
        <v>2713.85</v>
      </c>
    </row>
    <row r="2739" spans="1:4" x14ac:dyDescent="0.3">
      <c r="A2739" s="1" t="str">
        <f>"01003291000"</f>
        <v>01003291000</v>
      </c>
      <c r="B2739" s="1" t="str">
        <f>"CLARR INVESTMENT LLC"</f>
        <v>CLARR INVESTMENT LLC</v>
      </c>
      <c r="C2739" s="1" t="str">
        <f>"994-96 E LIVINGSTON RODENFELS AMD 100.5'SE LT 1 EX SW COR"</f>
        <v>994-96 E LIVINGSTON RODENFELS AMD 100.5'SE LT 1 EX SW COR</v>
      </c>
      <c r="D2739" s="1">
        <v>1700.51</v>
      </c>
    </row>
    <row r="2740" spans="1:4" x14ac:dyDescent="0.3">
      <c r="A2740" s="1" t="str">
        <f>"59018238900"</f>
        <v>59018238900</v>
      </c>
      <c r="B2740" s="1" t="str">
        <f>"CLAUSS GEORGE R TTEE, CLAUSS KAY LYNN TTEE"</f>
        <v>CLAUSS GEORGE R TTEE, CLAUSS KAY LYNN TTEE</v>
      </c>
      <c r="C2740" s="1" t="str">
        <f>"PALMLEAF CT BROOKSIDE COLONY LOT 123"</f>
        <v>PALMLEAF CT BROOKSIDE COLONY LOT 123</v>
      </c>
      <c r="D2740" s="1">
        <v>355.07</v>
      </c>
    </row>
    <row r="2741" spans="1:4" x14ac:dyDescent="0.3">
      <c r="A2741" s="1" t="str">
        <f>"24000456700"</f>
        <v>24000456700</v>
      </c>
      <c r="B2741" s="1" t="str">
        <f>"CLAWSON MICHAEL W, CLAWSON DALLAS C"</f>
        <v>CLAWSON MICHAEL W, CLAWSON DALLAS C</v>
      </c>
      <c r="C2741" s="1" t="str">
        <f>"REDMOND RD LINCOLN VILLAGE SO 404"</f>
        <v>REDMOND RD LINCOLN VILLAGE SO 404</v>
      </c>
      <c r="D2741" s="1">
        <v>6.71</v>
      </c>
    </row>
    <row r="2742" spans="1:4" x14ac:dyDescent="0.3">
      <c r="A2742" s="1" t="str">
        <f>"24000220400"</f>
        <v>24000220400</v>
      </c>
      <c r="B2742" s="1" t="str">
        <f>"CLAYTON AMANDA F"</f>
        <v>CLAYTON AMANDA F</v>
      </c>
      <c r="C2742" s="1" t="str">
        <f>"EVERGREEN TERRACE ROME MANOR LOTS 410 &amp; 411&amp; PT VAC ALY"</f>
        <v>EVERGREEN TERRACE ROME MANOR LOTS 410 &amp; 411&amp; PT VAC ALY</v>
      </c>
      <c r="D2742" s="1">
        <v>3291.54</v>
      </c>
    </row>
    <row r="2743" spans="1:4" x14ac:dyDescent="0.3">
      <c r="A2743" s="1" t="str">
        <f>"01012545400"</f>
        <v>01012545400</v>
      </c>
      <c r="B2743" s="1" t="str">
        <f>"CLAYTON CAROL S"</f>
        <v>CLAYTON CAROL S</v>
      </c>
      <c r="C2743" s="1" t="str">
        <f>"SUNNY HILL DR SHADY HILL EST 2 LOT 3"</f>
        <v>SUNNY HILL DR SHADY HILL EST 2 LOT 3</v>
      </c>
      <c r="D2743" s="1">
        <v>442.11</v>
      </c>
    </row>
    <row r="2744" spans="1:4" x14ac:dyDescent="0.3">
      <c r="A2744" s="1" t="str">
        <f>"01005725100"</f>
        <v>01005725100</v>
      </c>
      <c r="B2744" s="1" t="str">
        <f>"CLAYTOR JERRY M, CLAYTOR DORCUS H III"</f>
        <v>CLAYTOR JERRY M, CLAYTOR DORCUS H III</v>
      </c>
      <c r="C2744" s="1" t="str">
        <f>"241 CLARENDON AVE W P ONG ET AL SUB 2"</f>
        <v>241 CLARENDON AVE W P ONG ET AL SUB 2</v>
      </c>
      <c r="D2744" s="1">
        <v>936.58</v>
      </c>
    </row>
    <row r="2745" spans="1:4" x14ac:dyDescent="0.3">
      <c r="A2745" s="1" t="str">
        <f>"01002925500"</f>
        <v>01002925500</v>
      </c>
      <c r="B2745" s="1" t="str">
        <f>"CLEAR PATH EQUITY LLC"</f>
        <v>CLEAR PATH EQUITY LLC</v>
      </c>
      <c r="C2745" s="1" t="str">
        <f>"217-219 CLARENDON AV D L DAVIES LOT 44"</f>
        <v>217-219 CLARENDON AV D L DAVIES LOT 44</v>
      </c>
      <c r="D2745" s="1">
        <v>3226.74</v>
      </c>
    </row>
    <row r="2746" spans="1:4" x14ac:dyDescent="0.3">
      <c r="A2746" s="1" t="str">
        <f>"01010827900"</f>
        <v>01010827900</v>
      </c>
      <c r="B2746" s="1" t="str">
        <f>"CLEARY GEORGE B, CLEARY CATHERINE E"</f>
        <v>CLEARY GEORGE B, CLEARY CATHERINE E</v>
      </c>
      <c r="C2746" s="1" t="str">
        <f>"PEGG AVE MARBURN LOT 22"</f>
        <v>PEGG AVE MARBURN LOT 22</v>
      </c>
      <c r="D2746" s="1">
        <v>432.61</v>
      </c>
    </row>
    <row r="2747" spans="1:4" x14ac:dyDescent="0.3">
      <c r="A2747" s="1" t="str">
        <f>"02000131600"</f>
        <v>02000131600</v>
      </c>
      <c r="B2747" s="1" t="str">
        <f>"CLEARY MICHAEL P TR, CLEARY BETSY C TR"</f>
        <v>CLEARY MICHAEL P TR, CLEARY BETSY C TR</v>
      </c>
      <c r="C2747" s="1" t="str">
        <f>"2573 FAIR AVE BEXLEY PARK LOT 52 &amp; PT LOT 51"</f>
        <v>2573 FAIR AVE BEXLEY PARK LOT 52 &amp; PT LOT 51</v>
      </c>
      <c r="D2747" s="1">
        <v>752.05</v>
      </c>
    </row>
    <row r="2748" spans="1:4" x14ac:dyDescent="0.3">
      <c r="A2748" s="1" t="str">
        <f>"57020432600"</f>
        <v>57020432600</v>
      </c>
      <c r="B2748" s="1" t="str">
        <f>"CLEVE CORP"</f>
        <v>CLEVE CORP</v>
      </c>
      <c r="C2748" s="1" t="str">
        <f>"DAUGHERTY &amp; BROWN RD ENT 2986-5244 3.0978 AC"</f>
        <v>DAUGHERTY &amp; BROWN RD ENT 2986-5244 3.0978 AC</v>
      </c>
      <c r="D2748" s="1">
        <v>186.32</v>
      </c>
    </row>
    <row r="2749" spans="1:4" x14ac:dyDescent="0.3">
      <c r="A2749" s="1" t="str">
        <f>"01006071600"</f>
        <v>01006071600</v>
      </c>
      <c r="B2749" s="1" t="str">
        <f>"CLEVELAND ANGELIA, MOORES CONSULTING SERVICES"</f>
        <v>CLEVELAND ANGELIA, MOORES CONSULTING SERVICES</v>
      </c>
      <c r="C2749" s="1" t="str">
        <f>"MAYNARD AVE WAYANTS CLEV AVE PLC LOT 143"</f>
        <v>MAYNARD AVE WAYANTS CLEV AVE PLC LOT 143</v>
      </c>
      <c r="D2749" s="1">
        <v>920.15</v>
      </c>
    </row>
    <row r="2750" spans="1:4" x14ac:dyDescent="0.3">
      <c r="A2750" s="1" t="str">
        <f>"14000264900"</f>
        <v>14000264900</v>
      </c>
      <c r="B2750" s="1" t="str">
        <f>"CLEVENGER ARTHUR LEROY, LEDBETTER ELLEN LOUANN, CLEVENGER LEE BILLY JR, SAGRAVES MARIE ELAINA"</f>
        <v>CLEVENGER ARTHUR LEROY, LEDBETTER ELLEN LOUANN, CLEVENGER LEE BILLY JR, SAGRAVES MARIE ELAINA</v>
      </c>
      <c r="C2750" s="1" t="str">
        <f>"HART RD ENGARDS LOT 32 &amp; PT VAC AL"</f>
        <v>HART RD ENGARDS LOT 32 &amp; PT VAC AL</v>
      </c>
      <c r="D2750" s="1">
        <v>550.42999999999995</v>
      </c>
    </row>
    <row r="2751" spans="1:4" x14ac:dyDescent="0.3">
      <c r="A2751" s="1" t="str">
        <f>"14000265000"</f>
        <v>14000265000</v>
      </c>
      <c r="B2751" s="1" t="str">
        <f>"CLEVENGER ARTHUR LEROY, LEDBETTER ELLEN LOUANN, CLEVENGER LEE BILLY JR, SAGRAVES MARIE ELAINA"</f>
        <v>CLEVENGER ARTHUR LEROY, LEDBETTER ELLEN LOUANN, CLEVENGER LEE BILLY JR, SAGRAVES MARIE ELAINA</v>
      </c>
      <c r="C2751" s="1" t="str">
        <f>"HART RD ENGARDS LOT 33 &amp; PT VAC AL"</f>
        <v>HART RD ENGARDS LOT 33 &amp; PT VAC AL</v>
      </c>
      <c r="D2751" s="1">
        <v>546.08000000000004</v>
      </c>
    </row>
    <row r="2752" spans="1:4" x14ac:dyDescent="0.3">
      <c r="A2752" s="1" t="str">
        <f>"14000265100"</f>
        <v>14000265100</v>
      </c>
      <c r="B2752" s="1" t="str">
        <f>"CLEVENGER ARTHUR LEROY, LEDBETTER ELLEN LOUANN, CLEVENGER LEE BILLY JR, SAGRAVES MARIE ELAINA"</f>
        <v>CLEVENGER ARTHUR LEROY, LEDBETTER ELLEN LOUANN, CLEVENGER LEE BILLY JR, SAGRAVES MARIE ELAINA</v>
      </c>
      <c r="C2752" s="1" t="str">
        <f>"HART RD ENGARDS LOT 34 &amp; PT VAC AL"</f>
        <v>HART RD ENGARDS LOT 34 &amp; PT VAC AL</v>
      </c>
      <c r="D2752" s="1">
        <v>546.08000000000004</v>
      </c>
    </row>
    <row r="2753" spans="1:4" x14ac:dyDescent="0.3">
      <c r="A2753" s="1" t="str">
        <f>"14000265200"</f>
        <v>14000265200</v>
      </c>
      <c r="B2753" s="1" t="str">
        <f>"CLEVENGER ARTHUR LEROY, LEDBETTER ELLEN LOUANN, CLEVENGER LEE BILLY JR, SAGRAVES MARIE ELAINA"</f>
        <v>CLEVENGER ARTHUR LEROY, LEDBETTER ELLEN LOUANN, CLEVENGER LEE BILLY JR, SAGRAVES MARIE ELAINA</v>
      </c>
      <c r="C2753" s="1" t="str">
        <f>"HART RD ENGARDS LOT 35 &amp; PT VAC AL"</f>
        <v>HART RD ENGARDS LOT 35 &amp; PT VAC AL</v>
      </c>
      <c r="D2753" s="1">
        <v>546.08000000000004</v>
      </c>
    </row>
    <row r="2754" spans="1:4" x14ac:dyDescent="0.3">
      <c r="A2754" s="1" t="str">
        <f>"14000265300"</f>
        <v>14000265300</v>
      </c>
      <c r="B2754" s="1" t="str">
        <f>"CLEVENGER HELEN LE, SLYGH CHRISTINE RMDR"</f>
        <v>CLEVENGER HELEN LE, SLYGH CHRISTINE RMDR</v>
      </c>
      <c r="C2754" s="1" t="str">
        <f>"1166 HART RD ENGARDS LOT 36 &amp; PT VAC AL"</f>
        <v>1166 HART RD ENGARDS LOT 36 &amp; PT VAC AL</v>
      </c>
      <c r="D2754" s="1">
        <v>2968.58</v>
      </c>
    </row>
    <row r="2755" spans="1:4" x14ac:dyDescent="0.3">
      <c r="A2755" s="1" t="str">
        <f>"01015242100"</f>
        <v>01015242100</v>
      </c>
      <c r="B2755" s="1" t="str">
        <f>"CLIFF HOUSE REALTY LLC"</f>
        <v>CLIFF HOUSE REALTY LLC</v>
      </c>
      <c r="C2755" s="1" t="str">
        <f>"NORTHTOWNE BLVD FOREST PARK E SEC 5 LOT 619"</f>
        <v>NORTHTOWNE BLVD FOREST PARK E SEC 5 LOT 619</v>
      </c>
      <c r="D2755" s="1">
        <v>4475.3900000000003</v>
      </c>
    </row>
    <row r="2756" spans="1:4" x14ac:dyDescent="0.3">
      <c r="A2756" s="1" t="str">
        <f>"07000056600"</f>
        <v>07000056600</v>
      </c>
      <c r="B2756" s="1" t="str">
        <f>"CLIFFEL ERIC J TR, CLIFFEL CARRIE K TR"</f>
        <v>CLIFFEL ERIC J TR, CLIFFEL CARRIE K TR</v>
      </c>
      <c r="C2756" s="1" t="str">
        <f>"1910 COVENTRY RD UPPER ARLINGTON LOT 9 BLK 25"</f>
        <v>1910 COVENTRY RD UPPER ARLINGTON LOT 9 BLK 25</v>
      </c>
      <c r="D2756" s="1">
        <v>12385.57</v>
      </c>
    </row>
    <row r="2757" spans="1:4" x14ac:dyDescent="0.3">
      <c r="A2757" s="1" t="str">
        <f>"01002145200"</f>
        <v>01002145200</v>
      </c>
      <c r="B2757" s="1" t="str">
        <f>"CLIFTON JOHN III"</f>
        <v>CLIFTON JOHN III</v>
      </c>
      <c r="C2757" s="1" t="str">
        <f>"LEXINGTON AVE W S ALL 226 &amp; 18 FT S S 227 DREXEL PARK"</f>
        <v>LEXINGTON AVE W S ALL 226 &amp; 18 FT S S 227 DREXEL PARK</v>
      </c>
      <c r="D2757" s="1">
        <v>1402.47</v>
      </c>
    </row>
    <row r="2758" spans="1:4" x14ac:dyDescent="0.3">
      <c r="A2758" s="1" t="str">
        <f>"13000679600"</f>
        <v>13000679600</v>
      </c>
      <c r="B2758" s="1" t="str">
        <f>"CLINE ROBERT III"</f>
        <v>CLINE ROBERT III</v>
      </c>
      <c r="C2758" s="1" t="str">
        <f>"1745 ELMORE AVE ELMORE 386 "</f>
        <v xml:space="preserve">1745 ELMORE AVE ELMORE 386 </v>
      </c>
      <c r="D2758" s="1">
        <v>1650</v>
      </c>
    </row>
    <row r="2759" spans="1:4" x14ac:dyDescent="0.3">
      <c r="A2759" s="1" t="str">
        <f>"04001738500"</f>
        <v>04001738500</v>
      </c>
      <c r="B2759" s="1" t="str">
        <f>"CLINGER MATTHEW C, CLINGER KELLY B"</f>
        <v>CLINGER MATTHEW C, CLINGER KELLY B</v>
      </c>
      <c r="C2759" s="1" t="str">
        <f>"HIDDEN CHASE LOT 75 "</f>
        <v xml:space="preserve">HIDDEN CHASE LOT 75 </v>
      </c>
      <c r="D2759" s="1">
        <v>6203.59</v>
      </c>
    </row>
    <row r="2760" spans="1:4" x14ac:dyDescent="0.3">
      <c r="A2760" s="1" t="str">
        <f>"07001135300"</f>
        <v>07001135300</v>
      </c>
      <c r="B2760" s="1" t="str">
        <f>"CLOUD KEVIN W TR, CLOUD LACEY D TR"</f>
        <v>CLOUD KEVIN W TR, CLOUD LACEY D TR</v>
      </c>
      <c r="C2760" s="1" t="str">
        <f>"4321 LATIN LANE LATIN QUARTER CONDO UNIT 101"</f>
        <v>4321 LATIN LANE LATIN QUARTER CONDO UNIT 101</v>
      </c>
      <c r="D2760" s="1">
        <v>529.49</v>
      </c>
    </row>
    <row r="2761" spans="1:4" x14ac:dyDescent="0.3">
      <c r="A2761" s="1" t="str">
        <f>"24000029000"</f>
        <v>24000029000</v>
      </c>
      <c r="B2761" s="1" t="str">
        <f>"CLOUSE DEBORAH D"</f>
        <v>CLOUSE DEBORAH D</v>
      </c>
      <c r="C2761" s="1" t="str">
        <f>"2744 KUNZ RD 1 AC "</f>
        <v xml:space="preserve">2744 KUNZ RD 1 AC </v>
      </c>
      <c r="D2761" s="1">
        <v>1755.42</v>
      </c>
    </row>
    <row r="2762" spans="1:4" x14ac:dyDescent="0.3">
      <c r="A2762" s="1" t="str">
        <f>"24000194100"</f>
        <v>24000194100</v>
      </c>
      <c r="B2762" s="1" t="str">
        <f>"CLOUSE JOHN T"</f>
        <v>CLOUSE JOHN T</v>
      </c>
      <c r="C2762" s="1" t="str">
        <f>"5000 SULLIVANT AVE ROME MANOR LOT 148-149"</f>
        <v>5000 SULLIVANT AVE ROME MANOR LOT 148-149</v>
      </c>
      <c r="D2762" s="1">
        <v>1252.93</v>
      </c>
    </row>
    <row r="2763" spans="1:4" x14ac:dyDescent="0.3">
      <c r="A2763" s="1" t="str">
        <f>"18500197600"</f>
        <v>18500197600</v>
      </c>
      <c r="B2763" s="1" t="str">
        <f>"CLOUSE SUE ANN"</f>
        <v>CLOUSE SUE ANN</v>
      </c>
      <c r="C2763" s="1" t="str">
        <f>"VILLAGE AT CYPRESS GROVE CONDOMINIUM 2ND AMD UNIT 4800"</f>
        <v>VILLAGE AT CYPRESS GROVE CONDOMINIUM 2ND AMD UNIT 4800</v>
      </c>
      <c r="D2763" s="1">
        <v>181.94</v>
      </c>
    </row>
    <row r="2764" spans="1:4" x14ac:dyDescent="0.3">
      <c r="A2764" s="1" t="str">
        <f>"01028432200"</f>
        <v>01028432200</v>
      </c>
      <c r="B2764" s="1" t="str">
        <f>"CLOUSINGTON LLC"</f>
        <v>CLOUSINGTON LLC</v>
      </c>
      <c r="C2764" s="1" t="str">
        <f>"MOUND STREET OFFICE       CONDOMINIUM 1ST AMD       UNIT 447                 "</f>
        <v xml:space="preserve">MOUND STREET OFFICE       CONDOMINIUM 1ST AMD       UNIT 447                 </v>
      </c>
      <c r="D2764" s="1">
        <v>236.08</v>
      </c>
    </row>
    <row r="2765" spans="1:4" x14ac:dyDescent="0.3">
      <c r="A2765" s="1" t="str">
        <f>"01028229700"</f>
        <v>01028229700</v>
      </c>
      <c r="B2765" s="1" t="str">
        <f>"CLUNE JONATHAN K"</f>
        <v>CLUNE JONATHAN K</v>
      </c>
      <c r="C2765" s="1" t="str">
        <f>"THE HOMES AT HARRISON     PARK CONDOMINIUM 1ST AMD  UNIT 11-1022             "</f>
        <v xml:space="preserve">THE HOMES AT HARRISON     PARK CONDOMINIUM 1ST AMD  UNIT 11-1022             </v>
      </c>
      <c r="D2765" s="1">
        <v>4123.58</v>
      </c>
    </row>
    <row r="2766" spans="1:4" x14ac:dyDescent="0.3">
      <c r="A2766" s="1" t="str">
        <f>"01028663600"</f>
        <v>01028663600</v>
      </c>
      <c r="B2766" s="1" t="str">
        <f>"CLYDE FROG VENTURES LLC"</f>
        <v>CLYDE FROG VENTURES LLC</v>
      </c>
      <c r="C2766" s="1" t="str">
        <f>"OHIO LOFTS                CONDOMINIUM               UNIT 112                 "</f>
        <v xml:space="preserve">OHIO LOFTS                CONDOMINIUM               UNIT 112                 </v>
      </c>
      <c r="D2766" s="1">
        <v>2518.48</v>
      </c>
    </row>
    <row r="2767" spans="1:4" x14ac:dyDescent="0.3">
      <c r="A2767" s="1" t="str">
        <f>"01000335900"</f>
        <v>01000335900</v>
      </c>
      <c r="B2767" s="1" t="str">
        <f>"CMC RENTALS LLC"</f>
        <v>CMC RENTALS LLC</v>
      </c>
      <c r="C2767" s="1" t="str">
        <f>"460 KOSSUTH ST CHAPMAN LOT 133"</f>
        <v>460 KOSSUTH ST CHAPMAN LOT 133</v>
      </c>
      <c r="D2767" s="1">
        <v>2288.41</v>
      </c>
    </row>
    <row r="2768" spans="1:4" x14ac:dyDescent="0.3">
      <c r="A2768" s="1" t="str">
        <f>"53020182000"</f>
        <v>53020182000</v>
      </c>
      <c r="B2768" s="1" t="str">
        <f>"CMR INVESTING LLC"</f>
        <v>CMR INVESTING LLC</v>
      </c>
      <c r="C2768" s="1" t="str">
        <f>"ROGER MADISON CT INDEPEND VIL EAST 11 LOT 520"</f>
        <v>ROGER MADISON CT INDEPEND VIL EAST 11 LOT 520</v>
      </c>
      <c r="D2768" s="1">
        <v>3546.17</v>
      </c>
    </row>
    <row r="2769" spans="1:4" x14ac:dyDescent="0.3">
      <c r="A2769" s="1" t="str">
        <f>"57018422200"</f>
        <v>57018422200</v>
      </c>
      <c r="B2769" s="1" t="str">
        <f>"CN EXPRESS LLC"</f>
        <v>CN EXPRESS LLC</v>
      </c>
      <c r="C2769" s="1" t="str">
        <f>"HARRISBURG PIKE OQ 96 ENTRY 3356 15.481 ACRES"</f>
        <v>HARRISBURG PIKE OQ 96 ENTRY 3356 15.481 ACRES</v>
      </c>
      <c r="D2769" s="1">
        <v>2070.13</v>
      </c>
    </row>
    <row r="2770" spans="1:4" x14ac:dyDescent="0.3">
      <c r="A2770" s="1" t="str">
        <f>"01003813100"</f>
        <v>01003813100</v>
      </c>
      <c r="B2770" s="1" t="str">
        <f>"CNGN PROPERTIES LLC"</f>
        <v>CNGN PROPERTIES LLC</v>
      </c>
      <c r="C2770" s="1" t="str">
        <f>"256 MONROE AVE EASTGROVE LOT 84"</f>
        <v>256 MONROE AVE EASTGROVE LOT 84</v>
      </c>
      <c r="D2770" s="1">
        <v>1697.99</v>
      </c>
    </row>
    <row r="2771" spans="1:4" x14ac:dyDescent="0.3">
      <c r="A2771" s="1" t="str">
        <f>"01011878000"</f>
        <v>01011878000</v>
      </c>
      <c r="B2771" s="1" t="str">
        <f>"CO.ZAE OHIO HOMES LLC"</f>
        <v>CO.ZAE OHIO HOMES LLC</v>
      </c>
      <c r="C2771" s="1" t="str">
        <f>"WALNUT RD CATALPA PARK 2 LOT 64"</f>
        <v>WALNUT RD CATALPA PARK 2 LOT 64</v>
      </c>
      <c r="D2771" s="1">
        <v>31.86</v>
      </c>
    </row>
    <row r="2772" spans="1:4" x14ac:dyDescent="0.3">
      <c r="A2772" s="1" t="str">
        <f>"01015833000"</f>
        <v>01015833000</v>
      </c>
      <c r="B2772" s="1" t="str">
        <f>"COAIP NEWCO 1 LLC"</f>
        <v>COAIP NEWCO 1 LLC</v>
      </c>
      <c r="C2772" s="1" t="str">
        <f>"SWITZER AVE ELMHURST LOT 31 BLK C"</f>
        <v>SWITZER AVE ELMHURST LOT 31 BLK C</v>
      </c>
      <c r="D2772" s="1">
        <v>34.64</v>
      </c>
    </row>
    <row r="2773" spans="1:4" x14ac:dyDescent="0.3">
      <c r="A2773" s="1" t="str">
        <f>"01015833200"</f>
        <v>01015833200</v>
      </c>
      <c r="B2773" s="1" t="str">
        <f>"COAIP NEWCO 1 LLC"</f>
        <v>COAIP NEWCO 1 LLC</v>
      </c>
      <c r="C2773" s="1" t="str">
        <f>"SWITZER AVE ELMHURST LOT 33 BLK C"</f>
        <v>SWITZER AVE ELMHURST LOT 33 BLK C</v>
      </c>
      <c r="D2773" s="1">
        <v>34.64</v>
      </c>
    </row>
    <row r="2774" spans="1:4" x14ac:dyDescent="0.3">
      <c r="A2774" s="1" t="str">
        <f>"14000362700"</f>
        <v>14000362700</v>
      </c>
      <c r="B2774" s="1" t="str">
        <f>"COAKLEY REBECCA S"</f>
        <v>COAKLEY REBECCA S</v>
      </c>
      <c r="C2774" s="1" t="str">
        <f>"1045 HAGUE AVE PLEASANT VIEW ACRES LOT 2"</f>
        <v>1045 HAGUE AVE PLEASANT VIEW ACRES LOT 2</v>
      </c>
      <c r="D2774" s="1">
        <v>579.70000000000005</v>
      </c>
    </row>
    <row r="2775" spans="1:4" x14ac:dyDescent="0.3">
      <c r="A2775" s="1" t="str">
        <f>"08001072400"</f>
        <v>08001072400</v>
      </c>
      <c r="B2775" s="1" t="str">
        <f>"COATE DAVID R TR"</f>
        <v>COATE DAVID R TR</v>
      </c>
      <c r="C2775" s="1" t="str">
        <f>"SPRING RUN CONDOMINIUM 4TH AMD BLDG 10 UNIT 10-1355"</f>
        <v>SPRING RUN CONDOMINIUM 4TH AMD BLDG 10 UNIT 10-1355</v>
      </c>
      <c r="D2775" s="1">
        <v>2343.02</v>
      </c>
    </row>
    <row r="2776" spans="1:4" x14ac:dyDescent="0.3">
      <c r="A2776" s="1" t="str">
        <f>"59022422300"</f>
        <v>59022422300</v>
      </c>
      <c r="B2776" s="1" t="str">
        <f>"COATE-ORTIZ KATHLEEN A, ORTIZ ALBERT G"</f>
        <v>COATE-ORTIZ KATHLEEN A, ORTIZ ALBERT G</v>
      </c>
      <c r="C2776" s="1" t="str">
        <f>"5719 BARRY TRACE HAYDEN FALLS CONDO#2 BLDG 3 UNIT 5719"</f>
        <v>5719 BARRY TRACE HAYDEN FALLS CONDO#2 BLDG 3 UNIT 5719</v>
      </c>
      <c r="D2776" s="1">
        <v>430.68</v>
      </c>
    </row>
    <row r="2777" spans="1:4" x14ac:dyDescent="0.3">
      <c r="A2777" s="1" t="str">
        <f>"12000014600"</f>
        <v>12000014600</v>
      </c>
      <c r="B2777" s="1" t="str">
        <f>"COBA/SELECT SIRES INC"</f>
        <v>COBA/SELECT SIRES INC</v>
      </c>
      <c r="C2777" s="1" t="str">
        <f>"00000 COLE ROAD ENTRY 3445 9.9963 ACRES"</f>
        <v>00000 COLE ROAD ENTRY 3445 9.9963 ACRES</v>
      </c>
      <c r="D2777" s="1">
        <v>817.34</v>
      </c>
    </row>
    <row r="2778" spans="1:4" x14ac:dyDescent="0.3">
      <c r="A2778" s="1" t="str">
        <f>"24100005200"</f>
        <v>24100005200</v>
      </c>
      <c r="B2778" s="1" t="str">
        <f>"COBA/SELECT SIRES INC"</f>
        <v>COBA/SELECT SIRES INC</v>
      </c>
      <c r="C2778" s="1" t="str">
        <f>"FEDER RD ENTRY 6636 11.831 ACRES"</f>
        <v>FEDER RD ENTRY 6636 11.831 ACRES</v>
      </c>
      <c r="D2778" s="1">
        <v>913.07</v>
      </c>
    </row>
    <row r="2779" spans="1:4" x14ac:dyDescent="0.3">
      <c r="A2779" s="1" t="str">
        <f>"11000154600"</f>
        <v>11000154600</v>
      </c>
      <c r="B2779" s="1" t="str">
        <f>"COBAUGH CHRISTOPHER J, COBAUGH DENISE"</f>
        <v>COBAUGH CHRISTOPHER J, COBAUGH DENISE</v>
      </c>
      <c r="C2779" s="1" t="str">
        <f>"5545 CHERRY BOTTOM 5 ACRES R17 T2 S4 LOT 9"</f>
        <v>5545 CHERRY BOTTOM 5 ACRES R17 T2 S4 LOT 9</v>
      </c>
      <c r="D2779" s="1">
        <v>356.16</v>
      </c>
    </row>
    <row r="2780" spans="1:4" x14ac:dyDescent="0.3">
      <c r="A2780" s="1" t="str">
        <f>"01004227400"</f>
        <v>01004227400</v>
      </c>
      <c r="B2780" s="1" t="str">
        <f>"COBAUGH CHRISTOPHER, COBAUGH DENISE"</f>
        <v>COBAUGH CHRISTOPHER, COBAUGH DENISE</v>
      </c>
      <c r="C2780" s="1" t="str">
        <f>"202 E 7TH AVE EX4FT WS SMITH &amp; SCHIRNER SUB 11"</f>
        <v>202 E 7TH AVE EX4FT WS SMITH &amp; SCHIRNER SUB 11</v>
      </c>
      <c r="D2780" s="1">
        <v>211.34</v>
      </c>
    </row>
    <row r="2781" spans="1:4" x14ac:dyDescent="0.3">
      <c r="A2781" s="1" t="str">
        <f>"01007951000"</f>
        <v>01007951000</v>
      </c>
      <c r="B2781" s="1" t="str">
        <f>"COBB EUGENE III"</f>
        <v>COBB EUGENE III</v>
      </c>
      <c r="C2781" s="1" t="str">
        <f>"CLEVELAND AVE CLEVEMONT N 1/2 LOT 8"</f>
        <v>CLEVELAND AVE CLEVEMONT N 1/2 LOT 8</v>
      </c>
      <c r="D2781" s="1">
        <v>1168.21</v>
      </c>
    </row>
    <row r="2782" spans="1:4" x14ac:dyDescent="0.3">
      <c r="A2782" s="1" t="str">
        <f>"61020576300"</f>
        <v>61020576300</v>
      </c>
      <c r="B2782" s="1" t="str">
        <f>"COBB JASON, COBB MARTHA"</f>
        <v>COBB JASON, COBB MARTHA</v>
      </c>
      <c r="C2782" s="1" t="str">
        <f>"WORTHINGTON WOODS WEST CONDO #9 1ST AMD UNIT 24-F"</f>
        <v>WORTHINGTON WOODS WEST CONDO #9 1ST AMD UNIT 24-F</v>
      </c>
      <c r="D2782" s="1">
        <v>2033.06</v>
      </c>
    </row>
    <row r="2783" spans="1:4" x14ac:dyDescent="0.3">
      <c r="A2783" s="1" t="str">
        <f>"01013939600"</f>
        <v>01013939600</v>
      </c>
      <c r="B2783" s="1" t="str">
        <f>"COBB MIEKE M"</f>
        <v>COBB MIEKE M</v>
      </c>
      <c r="C2783" s="1" t="str">
        <f>"OAKMONT DR WALNUTHILLPARK LOT 60"</f>
        <v>OAKMONT DR WALNUTHILLPARK LOT 60</v>
      </c>
      <c r="D2783" s="1">
        <v>3096.36</v>
      </c>
    </row>
    <row r="2784" spans="1:4" x14ac:dyDescent="0.3">
      <c r="A2784" s="1" t="str">
        <f>"01026275300"</f>
        <v>01026275300</v>
      </c>
      <c r="B2784" s="1" t="str">
        <f>"COBBERTT CHARLES"</f>
        <v>COBBERTT CHARLES</v>
      </c>
      <c r="C2784" s="1" t="str">
        <f>"VILLAGE AT EASTERN GLEN S-F HOMES CONDOMINIUM HOME DESIGNATION 9"</f>
        <v>VILLAGE AT EASTERN GLEN S-F HOMES CONDOMINIUM HOME DESIGNATION 9</v>
      </c>
      <c r="D2784" s="1">
        <v>307.39</v>
      </c>
    </row>
    <row r="2785" spans="1:4" x14ac:dyDescent="0.3">
      <c r="A2785" s="1" t="str">
        <f>"01004892400"</f>
        <v>01004892400</v>
      </c>
      <c r="B2785" s="1" t="str">
        <f>"COBBLESTONE VENTURES LLC"</f>
        <v>COBBLESTONE VENTURES LLC</v>
      </c>
      <c r="C2785" s="1" t="str">
        <f>"211 DAKOTA AVE WEST PARK LOT 279"</f>
        <v>211 DAKOTA AVE WEST PARK LOT 279</v>
      </c>
      <c r="D2785" s="1">
        <v>3859.67</v>
      </c>
    </row>
    <row r="2786" spans="1:4" x14ac:dyDescent="0.3">
      <c r="A2786" s="1" t="str">
        <f>"06000323600"</f>
        <v>06000323600</v>
      </c>
      <c r="B2786" s="1" t="str">
        <f>"COBEL CHRISTOPHER J, COBEL CHAD A"</f>
        <v>COBEL CHRISTOPHER J, COBEL CHAD A</v>
      </c>
      <c r="C2786" s="1" t="str">
        <f>"ROSEHILL RD H C HUBER PLAT 36 SEC 4 810"</f>
        <v>ROSEHILL RD H C HUBER PLAT 36 SEC 4 810</v>
      </c>
      <c r="D2786" s="1">
        <v>2084.0100000000002</v>
      </c>
    </row>
    <row r="2787" spans="1:4" x14ac:dyDescent="0.3">
      <c r="A2787" s="1" t="str">
        <f>"13000230400"</f>
        <v>13000230400</v>
      </c>
      <c r="B2787" s="1" t="str">
        <f>"COCHRAN ALEX J TR"</f>
        <v>COCHRAN ALEX J TR</v>
      </c>
      <c r="C2787" s="1" t="str">
        <f>"RHODA AVE UNIVERSITY VIEW 2 LOT 259"</f>
        <v>RHODA AVE UNIVERSITY VIEW 2 LOT 259</v>
      </c>
      <c r="D2787" s="1">
        <v>3063.3</v>
      </c>
    </row>
    <row r="2788" spans="1:4" x14ac:dyDescent="0.3">
      <c r="A2788" s="1" t="str">
        <f>"56018499600"</f>
        <v>56018499600</v>
      </c>
      <c r="B2788" s="1" t="str">
        <f>"COCHRAN DAVID L"</f>
        <v>COCHRAN DAVID L</v>
      </c>
      <c r="C2788" s="1" t="str">
        <f>"SUMMERTIME CT CHAPEL HILL CONDO UNIT 26 BLDG 9"</f>
        <v>SUMMERTIME CT CHAPEL HILL CONDO UNIT 26 BLDG 9</v>
      </c>
      <c r="D2788" s="1">
        <v>3648.07</v>
      </c>
    </row>
    <row r="2789" spans="1:4" x14ac:dyDescent="0.3">
      <c r="A2789" s="1" t="str">
        <f>"19000054900"</f>
        <v>19000054900</v>
      </c>
      <c r="B2789" s="1" t="str">
        <f>"COCHRAN DOUGLAS B, COCHRAN FRANCES J"</f>
        <v>COCHRAN DOUGLAS B, COCHRAN FRANCES J</v>
      </c>
      <c r="C2789" s="1" t="str">
        <f>"SCHMIDT RD MAPLE HTS LOT 8 &amp; 188'EL SE LOT 6"</f>
        <v>SCHMIDT RD MAPLE HTS LOT 8 &amp; 188'EL SE LOT 6</v>
      </c>
      <c r="D2789" s="1">
        <v>3285.3</v>
      </c>
    </row>
    <row r="2790" spans="1:4" x14ac:dyDescent="0.3">
      <c r="A2790" s="1" t="str">
        <f>"01011640100"</f>
        <v>01011640100</v>
      </c>
      <c r="B2790" s="1" t="str">
        <f>"COCHRAN ROBERT A, COCHRAN SUSAN E"</f>
        <v>COCHRAN ROBERT A, COCHRAN SUSAN E</v>
      </c>
      <c r="C2790" s="1" t="str">
        <f>"BEAUTYVIEW CT BEAUTY VIEW LOT 96"</f>
        <v>BEAUTYVIEW CT BEAUTY VIEW LOT 96</v>
      </c>
      <c r="D2790" s="1">
        <v>279.83999999999997</v>
      </c>
    </row>
    <row r="2791" spans="1:4" x14ac:dyDescent="0.3">
      <c r="A2791" s="1" t="str">
        <f>"01028022500"</f>
        <v>01028022500</v>
      </c>
      <c r="B2791" s="1" t="str">
        <f>"CODY JOE, CODY JEAN"</f>
        <v>CODY JOE, CODY JEAN</v>
      </c>
      <c r="C2791" s="1" t="str">
        <f>"SCIOTO STATION CONDOMINIUM BLDG 1 UNIT 2680"</f>
        <v>SCIOTO STATION CONDOMINIUM BLDG 1 UNIT 2680</v>
      </c>
      <c r="D2791" s="1">
        <v>289.89999999999998</v>
      </c>
    </row>
    <row r="2792" spans="1:4" x14ac:dyDescent="0.3">
      <c r="A2792" s="1" t="str">
        <f>"57016010900"</f>
        <v>57016010900</v>
      </c>
      <c r="B2792" s="1" t="str">
        <f>"COFFEY CAROLYN K"</f>
        <v>COFFEY CAROLYN K</v>
      </c>
      <c r="C2792" s="1" t="str">
        <f>"KELLER PLACE-EAST STONERIDGE 1 LOT 41"</f>
        <v>KELLER PLACE-EAST STONERIDGE 1 LOT 41</v>
      </c>
      <c r="D2792" s="1">
        <v>2890.5</v>
      </c>
    </row>
    <row r="2793" spans="1:4" x14ac:dyDescent="0.3">
      <c r="A2793" s="1" t="str">
        <f>"01006945000"</f>
        <v>01006945000</v>
      </c>
      <c r="B2793" s="1" t="str">
        <f>"COFFING JOHN J JR"</f>
        <v>COFFING JOHN J JR</v>
      </c>
      <c r="C2793" s="1" t="str">
        <f>"1954 GENESSEE AVE WOLF &amp; CARY LOT 61"</f>
        <v>1954 GENESSEE AVE WOLF &amp; CARY LOT 61</v>
      </c>
      <c r="D2793" s="1">
        <v>2490.11</v>
      </c>
    </row>
    <row r="2794" spans="1:4" x14ac:dyDescent="0.3">
      <c r="A2794" s="1" t="str">
        <f>"22200111200"</f>
        <v>22200111200</v>
      </c>
      <c r="B2794" s="1" t="str">
        <f>"COGAN DEBORAH LINDNER, COGAN JEFFREY"</f>
        <v>COGAN DEBORAH LINDNER, COGAN JEFFREY</v>
      </c>
      <c r="C2794" s="1" t="str">
        <f>"THE NEW ALBANY COUNTRY CLUB SEC 4 LOT 58"</f>
        <v>THE NEW ALBANY COUNTRY CLUB SEC 4 LOT 58</v>
      </c>
      <c r="D2794" s="1">
        <v>1051.29</v>
      </c>
    </row>
    <row r="2795" spans="1:4" x14ac:dyDescent="0.3">
      <c r="A2795" s="1" t="str">
        <f>"01000751300"</f>
        <v>01000751300</v>
      </c>
      <c r="B2795" s="1" t="str">
        <f>"COGAN JOHN"</f>
        <v>COGAN JOHN</v>
      </c>
      <c r="C2795" s="1" t="str">
        <f>"398 OAKLEY ARLINGTON LOT 72 "</f>
        <v xml:space="preserve">398 OAKLEY ARLINGTON LOT 72 </v>
      </c>
      <c r="D2795" s="1">
        <v>130.21</v>
      </c>
    </row>
    <row r="2796" spans="1:4" x14ac:dyDescent="0.3">
      <c r="A2796" s="1" t="str">
        <f>"01003562700"</f>
        <v>01003562700</v>
      </c>
      <c r="B2796" s="1" t="str">
        <f>"COGDILL BERCHIL H, COGDILL OCIE"</f>
        <v>COGDILL BERCHIL H, COGDILL OCIE</v>
      </c>
      <c r="C2796" s="1" t="str">
        <f>"650 SHELDON AVE W MERION EXRS LOT 260"</f>
        <v>650 SHELDON AVE W MERION EXRS LOT 260</v>
      </c>
      <c r="D2796" s="1">
        <v>1010.46</v>
      </c>
    </row>
    <row r="2797" spans="1:4" x14ac:dyDescent="0.3">
      <c r="A2797" s="1" t="str">
        <f>"27300534000"</f>
        <v>27300534000</v>
      </c>
      <c r="B2797" s="1" t="str">
        <f>"COGGIN JUDITH R"</f>
        <v>COGGIN JUDITH R</v>
      </c>
      <c r="C2797" s="1" t="str">
        <f>"7854 JAYMES STREET TREETOPS AT BRANDON CONDO 3 AMD UNIT 47"</f>
        <v>7854 JAYMES STREET TREETOPS AT BRANDON CONDO 3 AMD UNIT 47</v>
      </c>
      <c r="D2797" s="1">
        <v>2315.38</v>
      </c>
    </row>
    <row r="2798" spans="1:4" x14ac:dyDescent="0.3">
      <c r="A2798" s="1" t="str">
        <f>"04000050900"</f>
        <v>04000050900</v>
      </c>
      <c r="B2798" s="1" t="str">
        <f>"COGGINS MEREDITH"</f>
        <v>COGGINS MEREDITH</v>
      </c>
      <c r="C2798" s="1" t="str">
        <f>"3301 KINGSTON AVENUE WOODLAWN LOT 108-7"</f>
        <v>3301 KINGSTON AVENUE WOODLAWN LOT 108-7</v>
      </c>
      <c r="D2798" s="1">
        <v>1502.51</v>
      </c>
    </row>
    <row r="2799" spans="1:4" x14ac:dyDescent="0.3">
      <c r="A2799" s="1" t="str">
        <f>"08001105300"</f>
        <v>08001105300</v>
      </c>
      <c r="B2799" s="1" t="str">
        <f>"COGS ULTD LLC"</f>
        <v>COGS ULTD LLC</v>
      </c>
      <c r="C2799" s="1" t="str">
        <f>"FLAGSTONE SQUARE BROOKSTONE SEC 5 LOT 159"</f>
        <v>FLAGSTONE SQUARE BROOKSTONE SEC 5 LOT 159</v>
      </c>
      <c r="D2799" s="1">
        <v>3667.23</v>
      </c>
    </row>
    <row r="2800" spans="1:4" x14ac:dyDescent="0.3">
      <c r="A2800" s="1" t="str">
        <f>"07001081000"</f>
        <v>07001081000</v>
      </c>
      <c r="B2800" s="1" t="str">
        <f>"COGS ULTD LLC"</f>
        <v>COGS ULTD LLC</v>
      </c>
      <c r="C2800" s="1" t="str">
        <f>"2245 LANE RD LANE ACRES LOT 14 "</f>
        <v xml:space="preserve">2245 LANE RD LANE ACRES LOT 14 </v>
      </c>
      <c r="D2800" s="1">
        <v>492</v>
      </c>
    </row>
    <row r="2801" spans="1:4" x14ac:dyDescent="0.3">
      <c r="A2801" s="1" t="str">
        <f>"18000036100"</f>
        <v>18000036100</v>
      </c>
      <c r="B2801" s="1" t="str">
        <f>"COGS ULTD LLC"</f>
        <v>COGS ULTD LLC</v>
      </c>
      <c r="C2801" s="1" t="str">
        <f>"GERLING BLVD EDGEWATER PK PARCELS LOT 50"</f>
        <v>GERLING BLVD EDGEWATER PK PARCELS LOT 50</v>
      </c>
      <c r="D2801" s="1">
        <v>396.29</v>
      </c>
    </row>
    <row r="2802" spans="1:4" x14ac:dyDescent="0.3">
      <c r="A2802" s="1" t="str">
        <f>"18000036500"</f>
        <v>18000036500</v>
      </c>
      <c r="B2802" s="1" t="str">
        <f>"COGS ULTD LLC"</f>
        <v>COGS ULTD LLC</v>
      </c>
      <c r="C2802" s="1" t="str">
        <f>"GERLING BLVD EDGEWATER PK PARCELS LOT 52"</f>
        <v>GERLING BLVD EDGEWATER PK PARCELS LOT 52</v>
      </c>
      <c r="D2802" s="1">
        <v>369.88</v>
      </c>
    </row>
    <row r="2803" spans="1:4" x14ac:dyDescent="0.3">
      <c r="A2803" s="1" t="str">
        <f>"11000415100"</f>
        <v>11000415100</v>
      </c>
      <c r="B2803" s="1" t="str">
        <f>"COGS ULTD LLC"</f>
        <v>COGS ULTD LLC</v>
      </c>
      <c r="C2803" s="1" t="str">
        <f>"CENTRAL COLLEGE RD R17 T2 1/4T1 2.149 ACRES"</f>
        <v>CENTRAL COLLEGE RD R17 T2 1/4T1 2.149 ACRES</v>
      </c>
      <c r="D2803" s="1">
        <v>11094.22</v>
      </c>
    </row>
    <row r="2804" spans="1:4" x14ac:dyDescent="0.3">
      <c r="A2804" s="1" t="str">
        <f>"01001209400"</f>
        <v>01001209400</v>
      </c>
      <c r="B2804" s="1" t="str">
        <f>"COGS ULTD LLC"</f>
        <v>COGS ULTD LLC</v>
      </c>
      <c r="C2804" s="1" t="str">
        <f>"272 MARKISON AVE SCHMIDT HEIRS LOT 18-19"</f>
        <v>272 MARKISON AVE SCHMIDT HEIRS LOT 18-19</v>
      </c>
      <c r="D2804" s="1">
        <v>1417.03</v>
      </c>
    </row>
    <row r="2805" spans="1:4" x14ac:dyDescent="0.3">
      <c r="A2805" s="1" t="str">
        <f>"02000101200"</f>
        <v>02000101200</v>
      </c>
      <c r="B2805" s="1" t="str">
        <f>"COGS ULTD LLC"</f>
        <v>COGS ULTD LLC</v>
      </c>
      <c r="C2805" s="1" t="str">
        <f>"2808 POWELL AVE ARDMORE 2 LOT 448"</f>
        <v>2808 POWELL AVE ARDMORE 2 LOT 448</v>
      </c>
      <c r="D2805" s="1">
        <v>5943.21</v>
      </c>
    </row>
    <row r="2806" spans="1:4" x14ac:dyDescent="0.3">
      <c r="A2806" s="1" t="str">
        <f>"01009318700"</f>
        <v>01009318700</v>
      </c>
      <c r="B2806" s="1" t="str">
        <f>"COGS ULTD LLC"</f>
        <v>COGS ULTD LLC</v>
      </c>
      <c r="C2806" s="1" t="str">
        <f>"S ASHBURTON RD 279 53.33FT SS 108 MAYFAIR LOT 108"</f>
        <v>S ASHBURTON RD 279 53.33FT SS 108 MAYFAIR LOT 108</v>
      </c>
      <c r="D2806" s="1">
        <v>129.91999999999999</v>
      </c>
    </row>
    <row r="2807" spans="1:4" x14ac:dyDescent="0.3">
      <c r="A2807" s="1" t="str">
        <f>"01003503700"</f>
        <v>01003503700</v>
      </c>
      <c r="B2807" s="1" t="str">
        <f>"COGS ULTD LLC"</f>
        <v>COGS ULTD LLC</v>
      </c>
      <c r="C2807" s="1" t="str">
        <f>"423 SHELDON AVE W MERION EXRS LOT 103"</f>
        <v>423 SHELDON AVE W MERION EXRS LOT 103</v>
      </c>
      <c r="D2807" s="1">
        <v>2593.88</v>
      </c>
    </row>
    <row r="2808" spans="1:4" x14ac:dyDescent="0.3">
      <c r="A2808" s="1" t="str">
        <f>"05000190500"</f>
        <v>05000190500</v>
      </c>
      <c r="B2808" s="1" t="str">
        <f>"COGS ULTD LLC"</f>
        <v>COGS ULTD LLC</v>
      </c>
      <c r="C2808" s="1" t="str">
        <f>"5120 BIGELOW DRIVE DEAN H CONKLIN 155 "</f>
        <v xml:space="preserve">5120 BIGELOW DRIVE DEAN H CONKLIN 155 </v>
      </c>
      <c r="D2808" s="1">
        <v>2799.35</v>
      </c>
    </row>
    <row r="2809" spans="1:4" x14ac:dyDescent="0.3">
      <c r="A2809" s="1" t="str">
        <f>"01029346100"</f>
        <v>01029346100</v>
      </c>
      <c r="B2809" s="1" t="str">
        <f>"COGSWELL JOHN A III TTEE"</f>
        <v>COGSWELL JOHN A III TTEE</v>
      </c>
      <c r="C2809" s="1" t="str">
        <f>"UPPER ALBANY WEST         SECTION 9                 LOT 823                  "</f>
        <v xml:space="preserve">UPPER ALBANY WEST         SECTION 9                 LOT 823                  </v>
      </c>
      <c r="D2809" s="1">
        <v>176.01</v>
      </c>
    </row>
    <row r="2810" spans="1:4" x14ac:dyDescent="0.3">
      <c r="A2810" s="1" t="str">
        <f>"01019569700"</f>
        <v>01019569700</v>
      </c>
      <c r="B2810" s="1" t="str">
        <f>"COHEN BRETT L, COHEN MICHELE S"</f>
        <v>COHEN BRETT L, COHEN MICHELE S</v>
      </c>
      <c r="C2810" s="1" t="str">
        <f>"1214B LAKE SHORE DR HIDDEN LAKE CONDO 5 UNIT 253 BLDG 17"</f>
        <v>1214B LAKE SHORE DR HIDDEN LAKE CONDO 5 UNIT 253 BLDG 17</v>
      </c>
      <c r="D2810" s="1">
        <v>198.72</v>
      </c>
    </row>
    <row r="2811" spans="1:4" x14ac:dyDescent="0.3">
      <c r="A2811" s="1" t="str">
        <f>"18000322800"</f>
        <v>18000322800</v>
      </c>
      <c r="B2811" s="1" t="str">
        <f>"COHEN DAVID A"</f>
        <v>COHEN DAVID A</v>
      </c>
      <c r="C2811" s="1" t="str">
        <f>"TORWOOD RD BLACKLICK ESTATES 3 584"</f>
        <v>TORWOOD RD BLACKLICK ESTATES 3 584</v>
      </c>
      <c r="D2811" s="1">
        <v>1520.02</v>
      </c>
    </row>
    <row r="2812" spans="1:4" x14ac:dyDescent="0.3">
      <c r="A2812" s="1" t="str">
        <f>"02500508400"</f>
        <v>02500508400</v>
      </c>
      <c r="B2812" s="1" t="str">
        <f>"COHEN GAYLE R TTEE"</f>
        <v>COHEN GAYLE R TTEE</v>
      </c>
      <c r="C2812" s="1" t="str">
        <f>"333 SCHYLER WAY HUNTERS RIDGE SEC 4 LOT 282"</f>
        <v>333 SCHYLER WAY HUNTERS RIDGE SEC 4 LOT 282</v>
      </c>
      <c r="D2812" s="1">
        <v>3458.62</v>
      </c>
    </row>
    <row r="2813" spans="1:4" x14ac:dyDescent="0.3">
      <c r="A2813" s="1" t="str">
        <f>"22200308500"</f>
        <v>22200308500</v>
      </c>
      <c r="B2813" s="1" t="str">
        <f>"COHEN LORI D, COHEN LAWRENCE H"</f>
        <v>COHEN LORI D, COHEN LAWRENCE H</v>
      </c>
      <c r="C2813" s="1" t="str">
        <f>"SUGARWOOD DRIVE NEW ALBANY LINKS SECTION 7 PART 1 LOT 264"</f>
        <v>SUGARWOOD DRIVE NEW ALBANY LINKS SECTION 7 PART 1 LOT 264</v>
      </c>
      <c r="D2813" s="1">
        <v>216.23</v>
      </c>
    </row>
    <row r="2814" spans="1:4" x14ac:dyDescent="0.3">
      <c r="A2814" s="1" t="str">
        <f>"59021554700"</f>
        <v>59021554700</v>
      </c>
      <c r="B2814" s="1" t="str">
        <f>"COHEN TOBY I TR"</f>
        <v>COHEN TOBY I TR</v>
      </c>
      <c r="C2814" s="1" t="str">
        <f>"5863 PARKBRIDGE LANE NORTHBRIDGE VILLAGE CONDO 3AMD UNIT 20-7"</f>
        <v>5863 PARKBRIDGE LANE NORTHBRIDGE VILLAGE CONDO 3AMD UNIT 20-7</v>
      </c>
      <c r="D2814" s="1">
        <v>1871.71</v>
      </c>
    </row>
    <row r="2815" spans="1:4" x14ac:dyDescent="0.3">
      <c r="A2815" s="1" t="str">
        <f>"01028853000"</f>
        <v>01028853000</v>
      </c>
      <c r="B2815" s="1" t="str">
        <f>"COILL TERESA"</f>
        <v>COILL TERESA</v>
      </c>
      <c r="C2815" s="1" t="str">
        <f>"METROPOLITAN TOWNHOME CONDOMINIUM AT HAYDENS CROSSING  II 5TH AMD BLDG 17 UNIT 1706"</f>
        <v>METROPOLITAN TOWNHOME CONDOMINIUM AT HAYDENS CROSSING  II 5TH AMD BLDG 17 UNIT 1706</v>
      </c>
      <c r="D2815" s="1">
        <v>2491.88</v>
      </c>
    </row>
    <row r="2816" spans="1:4" x14ac:dyDescent="0.3">
      <c r="A2816" s="1" t="str">
        <f>"01008779800"</f>
        <v>01008779800</v>
      </c>
      <c r="B2816" s="1" t="str">
        <f>"COKE PHYLLIS C LE, LIGGINS CHERI D B RMDR, BROOKS MAURICE D II RMDR, BROOKS EFFLEY N III RMDR"</f>
        <v>COKE PHYLLIS C LE, LIGGINS CHERI D B RMDR, BROOKS MAURICE D II RMDR, BROOKS EFFLEY N III RMDR</v>
      </c>
      <c r="C2816" s="1" t="str">
        <f>"HADDON RD BERWICK LOT 791"</f>
        <v>HADDON RD BERWICK LOT 791</v>
      </c>
      <c r="D2816" s="1">
        <v>3842.04</v>
      </c>
    </row>
    <row r="2817" spans="1:4" x14ac:dyDescent="0.3">
      <c r="A2817" s="1" t="str">
        <f>"01012536000"</f>
        <v>01012536000</v>
      </c>
      <c r="B2817" s="1" t="str">
        <f>"COLE KENNETH H"</f>
        <v>COLE KENNETH H</v>
      </c>
      <c r="C2817" s="1" t="str">
        <f>"HOUSTON DR SOUTHFIELD 2ND LOT 165"</f>
        <v>HOUSTON DR SOUTHFIELD 2ND LOT 165</v>
      </c>
      <c r="D2817" s="1">
        <v>2513.7399999999998</v>
      </c>
    </row>
    <row r="2818" spans="1:4" x14ac:dyDescent="0.3">
      <c r="A2818" s="1" t="str">
        <f>"08001048800"</f>
        <v>08001048800</v>
      </c>
      <c r="B2818" s="1" t="str">
        <f>"COLE RIA A"</f>
        <v>COLE RIA A</v>
      </c>
      <c r="C2818" s="1" t="str">
        <f>"STERLING GLEN DRIVE STERLING GLEN SEC 1 LOT 27"</f>
        <v>STERLING GLEN DRIVE STERLING GLEN SEC 1 LOT 27</v>
      </c>
      <c r="D2818" s="1">
        <v>4856.5200000000004</v>
      </c>
    </row>
    <row r="2819" spans="1:4" x14ac:dyDescent="0.3">
      <c r="A2819" s="1" t="str">
        <f>"01004107900"</f>
        <v>01004107900</v>
      </c>
      <c r="B2819" s="1" t="str">
        <f>"COLEGROVE SARAH"</f>
        <v>COLEGROVE SARAH</v>
      </c>
      <c r="C2819" s="1" t="str">
        <f>"164 S HARRIS AVE WICKLOW EXT ADD LOT 517 (34' X 139')"</f>
        <v>164 S HARRIS AVE WICKLOW EXT ADD LOT 517 (34' X 139')</v>
      </c>
      <c r="D2819" s="1">
        <v>6591.63</v>
      </c>
    </row>
    <row r="2820" spans="1:4" x14ac:dyDescent="0.3">
      <c r="A2820" s="1" t="str">
        <f>"01009292000"</f>
        <v>01009292000</v>
      </c>
      <c r="B2820" s="1" t="str">
        <f>"COLEMAN DANIEL L"</f>
        <v>COLEMAN DANIEL L</v>
      </c>
      <c r="C2820" s="1" t="str">
        <f>"2666-68 AVALON PL BEXLEY HTS AMD LOT 108-109-110"</f>
        <v>2666-68 AVALON PL BEXLEY HTS AMD LOT 108-109-110</v>
      </c>
      <c r="D2820" s="1">
        <v>93.79</v>
      </c>
    </row>
    <row r="2821" spans="1:4" x14ac:dyDescent="0.3">
      <c r="A2821" s="1" t="str">
        <f>"18000106500"</f>
        <v>18000106500</v>
      </c>
      <c r="B2821" s="1" t="str">
        <f>"COLEMAN DAVID"</f>
        <v>COLEMAN DAVID</v>
      </c>
      <c r="C2821" s="1" t="str">
        <f>"HAMILTON RD AC 1.131 R21 T11 S4 "</f>
        <v xml:space="preserve">HAMILTON RD AC 1.131 R21 T11 S4 </v>
      </c>
      <c r="D2821" s="1">
        <v>5526.8</v>
      </c>
    </row>
    <row r="2822" spans="1:4" x14ac:dyDescent="0.3">
      <c r="A2822" s="1" t="str">
        <f>"01014116700"</f>
        <v>01014116700</v>
      </c>
      <c r="B2822" s="1" t="str">
        <f>"COLEMAN ISAIAH JR, COLEMAN ANITA"</f>
        <v>COLEMAN ISAIAH JR, COLEMAN ANITA</v>
      </c>
      <c r="C2822" s="1" t="str">
        <f>"1336 SEATON LANE DEVONSHIRE 6 LANE 831"</f>
        <v>1336 SEATON LANE DEVONSHIRE 6 LANE 831</v>
      </c>
      <c r="D2822" s="1">
        <v>3702.15</v>
      </c>
    </row>
    <row r="2823" spans="1:4" x14ac:dyDescent="0.3">
      <c r="A2823" s="1" t="str">
        <f>"01011255800"</f>
        <v>01011255800</v>
      </c>
      <c r="B2823" s="1" t="str">
        <f>"COLEMAN JOSEPH V"</f>
        <v>COLEMAN JOSEPH V</v>
      </c>
      <c r="C2823" s="1" t="str">
        <f>"KIAN AVE CASTLE TERRACE LOT 55"</f>
        <v>KIAN AVE CASTLE TERRACE LOT 55</v>
      </c>
      <c r="D2823" s="1">
        <v>1076.4100000000001</v>
      </c>
    </row>
    <row r="2824" spans="1:4" x14ac:dyDescent="0.3">
      <c r="A2824" s="1" t="str">
        <f>"01011255900"</f>
        <v>01011255900</v>
      </c>
      <c r="B2824" s="1" t="str">
        <f>"COLEMAN JOSEPH V"</f>
        <v>COLEMAN JOSEPH V</v>
      </c>
      <c r="C2824" s="1" t="str">
        <f>"KAIL AVE CASTLE TERR BLVD SUB LOT 56"</f>
        <v>KAIL AVE CASTLE TERR BLVD SUB LOT 56</v>
      </c>
      <c r="D2824" s="1">
        <v>620.70000000000005</v>
      </c>
    </row>
    <row r="2825" spans="1:4" x14ac:dyDescent="0.3">
      <c r="A2825" s="1" t="str">
        <f>"05000481500"</f>
        <v>05000481500</v>
      </c>
      <c r="B2825" s="1" t="str">
        <f>"COLGAN CHRISTOPHER J, COLGAN AMY B"</f>
        <v>COLGAN CHRISTOPHER J, COLGAN AMY B</v>
      </c>
      <c r="C2825" s="1" t="str">
        <f>"BAYBERRY CREEK CONDOMINIUM BLDG 2 UNIT 4961"</f>
        <v>BAYBERRY CREEK CONDOMINIUM BLDG 2 UNIT 4961</v>
      </c>
      <c r="D2825" s="1">
        <v>2711.57</v>
      </c>
    </row>
    <row r="2826" spans="1:4" x14ac:dyDescent="0.3">
      <c r="A2826" s="1" t="str">
        <f>"01013721200"</f>
        <v>01013721200</v>
      </c>
      <c r="B2826" s="1" t="str">
        <f>"COLIN JENNIFER"</f>
        <v>COLIN JENNIFER</v>
      </c>
      <c r="C2826" s="1" t="str">
        <f>"PENFIELD RD HAVILAND 1 LOT 59"</f>
        <v>PENFIELD RD HAVILAND 1 LOT 59</v>
      </c>
      <c r="D2826" s="1">
        <v>233.04</v>
      </c>
    </row>
    <row r="2827" spans="1:4" x14ac:dyDescent="0.3">
      <c r="A2827" s="1" t="str">
        <f>"07001484300"</f>
        <v>07001484300</v>
      </c>
      <c r="B2827" s="1" t="str">
        <f>"COLLERAN EUGENE C"</f>
        <v>COLLERAN EUGENE C</v>
      </c>
      <c r="C2827" s="1" t="str">
        <f>"WESTMONT TOWNHOMES CONDOMINIUM UNIT 2486 "</f>
        <v xml:space="preserve">WESTMONT TOWNHOMES CONDOMINIUM UNIT 2486 </v>
      </c>
      <c r="D2827" s="1">
        <v>6964.66</v>
      </c>
    </row>
    <row r="2828" spans="1:4" x14ac:dyDescent="0.3">
      <c r="A2828" s="1" t="str">
        <f>"19000116100"</f>
        <v>19000116100</v>
      </c>
      <c r="B2828" s="1" t="str">
        <f>"COLLETTI MELISSA J, COLLETTI MICHAEL A"</f>
        <v>COLLETTI MELISSA J, COLLETTI MICHAEL A</v>
      </c>
      <c r="C2828" s="1" t="str">
        <f>"2755 WOODLAND AVE EAST LINDEN 3RD 51.32' MID PT LOT 95"</f>
        <v>2755 WOODLAND AVE EAST LINDEN 3RD 51.32' MID PT LOT 95</v>
      </c>
      <c r="D2828" s="1">
        <v>4129.8599999999997</v>
      </c>
    </row>
    <row r="2829" spans="1:4" x14ac:dyDescent="0.3">
      <c r="A2829" s="1" t="str">
        <f>"01004212800"</f>
        <v>01004212800</v>
      </c>
      <c r="B2829" s="1" t="str">
        <f>"COLLEY THOMAS E, MARCUM-COLLEY RUBY"</f>
        <v>COLLEY THOMAS E, MARCUM-COLLEY RUBY</v>
      </c>
      <c r="C2829" s="1" t="str">
        <f>"327REEBAVE 20TH CENTURY LOT50"</f>
        <v>327REEBAVE 20TH CENTURY LOT50</v>
      </c>
      <c r="D2829" s="1">
        <v>2960.7</v>
      </c>
    </row>
    <row r="2830" spans="1:4" x14ac:dyDescent="0.3">
      <c r="A2830" s="1" t="str">
        <f>"07000333800"</f>
        <v>07000333800</v>
      </c>
      <c r="B2830" s="1" t="str">
        <f>"COLLIER DAVID M, COLLIER LORI A"</f>
        <v>COLLIER DAVID M, COLLIER LORI A</v>
      </c>
      <c r="C2830" s="1" t="str">
        <f>"ABINGTON RD 15FT WS 7&amp; ALL 8&amp; 10FT ES 9 U ARLINGTON BLK 253"</f>
        <v>ABINGTON RD 15FT WS 7&amp; ALL 8&amp; 10FT ES 9 U ARLINGTON BLK 253</v>
      </c>
      <c r="D2830" s="1">
        <v>751.35</v>
      </c>
    </row>
    <row r="2831" spans="1:4" x14ac:dyDescent="0.3">
      <c r="A2831" s="1" t="str">
        <f>"01007471000"</f>
        <v>01007471000</v>
      </c>
      <c r="B2831" s="1" t="str">
        <f>"COLLIER MAMIE A"</f>
        <v>COLLIER MAMIE A</v>
      </c>
      <c r="C2831" s="1" t="str">
        <f>"2266 VELMA ST HIAWATHA PARK PLACE LOT 136"</f>
        <v>2266 VELMA ST HIAWATHA PARK PLACE LOT 136</v>
      </c>
      <c r="D2831" s="1">
        <v>1817.15</v>
      </c>
    </row>
    <row r="2832" spans="1:4" x14ac:dyDescent="0.3">
      <c r="A2832" s="1" t="str">
        <f>"24000469600"</f>
        <v>24000469600</v>
      </c>
      <c r="B2832" s="1" t="str">
        <f>"COLLINS AGNES AFDT"</f>
        <v>COLLINS AGNES AFDT</v>
      </c>
      <c r="C2832" s="1" t="str">
        <f>"LOT 533  "</f>
        <v xml:space="preserve">LOT 533  </v>
      </c>
      <c r="D2832" s="1">
        <v>119.51</v>
      </c>
    </row>
    <row r="2833" spans="1:4" x14ac:dyDescent="0.3">
      <c r="A2833" s="1" t="str">
        <f>"01021329900"</f>
        <v>01021329900</v>
      </c>
      <c r="B2833" s="1" t="str">
        <f>"COLLINS DAVID W, COLLINS ELIZABETH S"</f>
        <v>COLLINS DAVID W, COLLINS ELIZABETH S</v>
      </c>
      <c r="C2833" s="1" t="str">
        <f>"NORTHLAND SENIOR VILLAGE CONDO IV UNIT 129"</f>
        <v>NORTHLAND SENIOR VILLAGE CONDO IV UNIT 129</v>
      </c>
      <c r="D2833" s="1">
        <v>913.58</v>
      </c>
    </row>
    <row r="2834" spans="1:4" x14ac:dyDescent="0.3">
      <c r="A2834" s="1" t="str">
        <f>"01013930800"</f>
        <v>01013930800</v>
      </c>
      <c r="B2834" s="1" t="str">
        <f>"COLLINS DEVON R (RMDR), SCARVILLE JOHN W JR LE"</f>
        <v>COLLINS DEVON R (RMDR), SCARVILLE JOHN W JR LE</v>
      </c>
      <c r="C2834" s="1" t="str">
        <f>"SUNDERLAND DR DEVONSHIRE 5 SEC 2 LOT 782"</f>
        <v>SUNDERLAND DR DEVONSHIRE 5 SEC 2 LOT 782</v>
      </c>
      <c r="D2834" s="1">
        <v>1647.54</v>
      </c>
    </row>
    <row r="2835" spans="1:4" x14ac:dyDescent="0.3">
      <c r="A2835" s="1" t="str">
        <f>"01013715400"</f>
        <v>01013715400</v>
      </c>
      <c r="B2835" s="1" t="str">
        <f>"COLLINS EUGENE A, COLLINS VIRGINIA L"</f>
        <v>COLLINS EUGENE A, COLLINS VIRGINIA L</v>
      </c>
      <c r="C2835" s="1" t="str">
        <f>"ZETTLER RD HAVILAND 1 LOT 1"</f>
        <v>ZETTLER RD HAVILAND 1 LOT 1</v>
      </c>
      <c r="D2835" s="1">
        <v>940.11</v>
      </c>
    </row>
    <row r="2836" spans="1:4" x14ac:dyDescent="0.3">
      <c r="A2836" s="1" t="str">
        <f>"01012279300"</f>
        <v>01012279300</v>
      </c>
      <c r="B2836" s="1" t="str">
        <f>"COLLINS JAMILA TTEE (KERRIE D COLLINS IRREV. TRUST)"</f>
        <v>COLLINS JAMILA TTEE (KERRIE D COLLINS IRREV. TRUST)</v>
      </c>
      <c r="C2836" s="1" t="str">
        <f>"MOUND ST PINECREST LOT 84-85"</f>
        <v>MOUND ST PINECREST LOT 84-85</v>
      </c>
      <c r="D2836" s="1">
        <v>1100</v>
      </c>
    </row>
    <row r="2837" spans="1:4" x14ac:dyDescent="0.3">
      <c r="A2837" s="1" t="str">
        <f>"09000636400"</f>
        <v>09000636400</v>
      </c>
      <c r="B2837" s="1" t="str">
        <f>"COLLINS LARRY JR"</f>
        <v>COLLINS LARRY JR</v>
      </c>
      <c r="C2837" s="1" t="str">
        <f>"4080 E VIRGINIA CR OLPP 114 "</f>
        <v xml:space="preserve">4080 E VIRGINIA CR OLPP 114 </v>
      </c>
      <c r="D2837" s="1">
        <v>2452.71</v>
      </c>
    </row>
    <row r="2838" spans="1:4" x14ac:dyDescent="0.3">
      <c r="A2838" s="1" t="str">
        <f>"01009123100"</f>
        <v>01009123100</v>
      </c>
      <c r="B2838" s="1" t="str">
        <f>"COLLINS NATHANIEL J JR"</f>
        <v>COLLINS NATHANIEL J JR</v>
      </c>
      <c r="C2838" s="1" t="str">
        <f>"JAMES RD EAST HAMPTON LOT 7"</f>
        <v>JAMES RD EAST HAMPTON LOT 7</v>
      </c>
      <c r="D2838" s="1">
        <v>1060.26</v>
      </c>
    </row>
    <row r="2839" spans="1:4" x14ac:dyDescent="0.3">
      <c r="A2839" s="1" t="str">
        <f>"01015282900"</f>
        <v>01015282900</v>
      </c>
      <c r="B2839" s="1" t="str">
        <f>"COLLINS SAM W, COLLINS RUTH D"</f>
        <v>COLLINS SAM W, COLLINS RUTH D</v>
      </c>
      <c r="C2839" s="1" t="str">
        <f>"WALDEN DR FOREST PARK E SEC 9 LOT 1335"</f>
        <v>WALDEN DR FOREST PARK E SEC 9 LOT 1335</v>
      </c>
      <c r="D2839" s="1">
        <v>200.58</v>
      </c>
    </row>
    <row r="2840" spans="1:4" x14ac:dyDescent="0.3">
      <c r="A2840" s="1" t="str">
        <f>"17000199800"</f>
        <v>17000199800</v>
      </c>
      <c r="B2840" s="1" t="str">
        <f>"COLOMBO NATHAN, COLOMBO DESIREE"</f>
        <v>COLOMBO NATHAN, COLOMBO DESIREE</v>
      </c>
      <c r="C2840" s="1" t="str">
        <f>"CREEK HOLLOW ROAD COLTS NECK PHASE 2 LOT 1  1.714 ACRES"</f>
        <v>CREEK HOLLOW ROAD COLTS NECK PHASE 2 LOT 1  1.714 ACRES</v>
      </c>
      <c r="D2840" s="1">
        <v>13527.68</v>
      </c>
    </row>
    <row r="2841" spans="1:4" x14ac:dyDescent="0.3">
      <c r="A2841" s="1" t="str">
        <f>"22200203700"</f>
        <v>22200203700</v>
      </c>
      <c r="B2841" s="1" t="str">
        <f>"COLON FERNANDO I, COLON LILIANA"</f>
        <v>COLON FERNANDO I, COLON LILIANA</v>
      </c>
      <c r="C2841" s="1" t="str">
        <f>"HELMSLEY GREEN NEW ALBANY COUNTRY CLUB SEC 15A LOT 14"</f>
        <v>HELMSLEY GREEN NEW ALBANY COUNTRY CLUB SEC 15A LOT 14</v>
      </c>
      <c r="D2841" s="1">
        <v>12020.44</v>
      </c>
    </row>
    <row r="2842" spans="1:4" x14ac:dyDescent="0.3">
      <c r="A2842" s="1" t="str">
        <f>"18500142500"</f>
        <v>18500142500</v>
      </c>
      <c r="B2842" s="1" t="str">
        <f>"COLONIAL LEASING LLC"</f>
        <v>COLONIAL LEASING LLC</v>
      </c>
      <c r="C2842" s="1" t="str">
        <f>"HOMER OHIO LANE HAMILTON 33 INDUST PARK LOT 4 1.194 ACS"</f>
        <v>HOMER OHIO LANE HAMILTON 33 INDUST PARK LOT 4 1.194 ACS</v>
      </c>
      <c r="D2842" s="1">
        <v>1022.69</v>
      </c>
    </row>
    <row r="2843" spans="1:4" x14ac:dyDescent="0.3">
      <c r="A2843" s="1" t="str">
        <f>"01004987900"</f>
        <v>01004987900</v>
      </c>
      <c r="B2843" s="1" t="str">
        <f>"COLSTON-WOODRUFF KIMBERLY"</f>
        <v>COLSTON-WOODRUFF KIMBERLY</v>
      </c>
      <c r="C2843" s="1" t="str">
        <f>"1380 EASTWOOD AVE EASTWOOD HTS LOT 45"</f>
        <v>1380 EASTWOOD AVE EASTWOOD HTS LOT 45</v>
      </c>
      <c r="D2843" s="1">
        <v>4291.79</v>
      </c>
    </row>
    <row r="2844" spans="1:4" x14ac:dyDescent="0.3">
      <c r="A2844" s="1" t="str">
        <f>"01012988900"</f>
        <v>01012988900</v>
      </c>
      <c r="B2844" s="1" t="str">
        <f>"COLUMBIA GAS OF OHIO INC"</f>
        <v>COLUMBIA GAS OF OHIO INC</v>
      </c>
      <c r="C2844" s="1" t="str">
        <f>"R19 T1 1/4T 1  "</f>
        <v xml:space="preserve">R19 T1 1/4T 1  </v>
      </c>
      <c r="D2844" s="1">
        <v>7417.53</v>
      </c>
    </row>
    <row r="2845" spans="1:4" x14ac:dyDescent="0.3">
      <c r="A2845" s="1" t="str">
        <f>"56015470400"</f>
        <v>56015470400</v>
      </c>
      <c r="B2845" s="1" t="str">
        <f>"COLUMBIA GAS TRANSMISSION CORP"</f>
        <v>COLUMBIA GAS TRANSMISSION CORP</v>
      </c>
      <c r="C2845" s="1" t="str">
        <f>"TRABUE ROAD ENTRY 7065 0.388 ACRE"</f>
        <v>TRABUE ROAD ENTRY 7065 0.388 ACRE</v>
      </c>
      <c r="D2845" s="1">
        <v>82.61</v>
      </c>
    </row>
    <row r="2846" spans="1:4" x14ac:dyDescent="0.3">
      <c r="A2846" s="1" t="str">
        <f>"01006591700"</f>
        <v>01006591700</v>
      </c>
      <c r="B2846" s="1" t="str">
        <f>"COLUMBIA INVESTMENTS LLC"</f>
        <v>COLUMBIA INVESTMENTS LLC</v>
      </c>
      <c r="C2846" s="1" t="str">
        <f>"452 HELEN ST FOREST HILL LOT 76"</f>
        <v>452 HELEN ST FOREST HILL LOT 76</v>
      </c>
      <c r="D2846" s="1">
        <v>1208.43</v>
      </c>
    </row>
    <row r="2847" spans="1:4" x14ac:dyDescent="0.3">
      <c r="A2847" s="1" t="str">
        <f>"01000857100"</f>
        <v>01000857100</v>
      </c>
      <c r="B2847" s="1" t="str">
        <f>"COLUMBIA INVESTMENTS LLC"</f>
        <v>COLUMBIA INVESTMENTS LLC</v>
      </c>
      <c r="C2847" s="1" t="str">
        <f>"GLENWOOD AVE HAMILTON PLC LOT 21"</f>
        <v>GLENWOOD AVE HAMILTON PLC LOT 21</v>
      </c>
      <c r="D2847" s="1">
        <v>312.2</v>
      </c>
    </row>
    <row r="2848" spans="1:4" x14ac:dyDescent="0.3">
      <c r="A2848" s="1" t="str">
        <f>"01012876700"</f>
        <v>01012876700</v>
      </c>
      <c r="B2848" s="1" t="str">
        <f>"COLUMBIA INVESTMENTS LLC"</f>
        <v>COLUMBIA INVESTMENTS LLC</v>
      </c>
      <c r="C2848" s="1" t="str">
        <f>"YOLANDA DR WALNUT SPRINGS LOT 23"</f>
        <v>YOLANDA DR WALNUT SPRINGS LOT 23</v>
      </c>
      <c r="D2848" s="1">
        <v>2278.86</v>
      </c>
    </row>
    <row r="2849" spans="1:4" x14ac:dyDescent="0.3">
      <c r="A2849" s="1" t="str">
        <f>"01001602700"</f>
        <v>01001602700</v>
      </c>
      <c r="B2849" s="1" t="str">
        <f>"COLUMBIA INVESTMENTS LLC"</f>
        <v>COLUMBIA INVESTMENTS LLC</v>
      </c>
      <c r="C2849" s="1" t="str">
        <f>"100-2 ROGERS AVE COTTGE PLC LOT 88"</f>
        <v>100-2 ROGERS AVE COTTGE PLC LOT 88</v>
      </c>
      <c r="D2849" s="1">
        <v>308.47000000000003</v>
      </c>
    </row>
    <row r="2850" spans="1:4" x14ac:dyDescent="0.3">
      <c r="A2850" s="1" t="str">
        <f>"26734589100"</f>
        <v>26734589100</v>
      </c>
      <c r="B2850" s="1" t="str">
        <f>"COLUMBUS AAL LP"</f>
        <v>COLUMBUS AAL LP</v>
      </c>
      <c r="C2850" s="1" t="str">
        <f>"SPRAGUE RD 3.004 ACRES R21T12S2 1-4S2PAR 5"</f>
        <v>SPRAGUE RD 3.004 ACRES R21T12S2 1-4S2PAR 5</v>
      </c>
      <c r="D2850" s="1">
        <v>2815.41</v>
      </c>
    </row>
    <row r="2851" spans="1:4" x14ac:dyDescent="0.3">
      <c r="A2851" s="1" t="str">
        <f>"19100328500"</f>
        <v>19100328500</v>
      </c>
      <c r="B2851" s="1" t="str">
        <f>"COLUMBUS AREA REAL ESTATE SERVICES LLC, RAMIREZ FRANCISCA SUSANA"</f>
        <v>COLUMBUS AREA REAL ESTATE SERVICES LLC, RAMIREZ FRANCISCA SUSANA</v>
      </c>
      <c r="C2851" s="1" t="str">
        <f>"STELZER RD R17 T1 1/4T3 0.754 ACRE"</f>
        <v>STELZER RD R17 T1 1/4T3 0.754 ACRE</v>
      </c>
      <c r="D2851" s="1">
        <v>11862.84</v>
      </c>
    </row>
    <row r="2852" spans="1:4" x14ac:dyDescent="0.3">
      <c r="A2852" s="1" t="str">
        <f>"01001034500"</f>
        <v>01001034500</v>
      </c>
      <c r="B2852" s="1" t="str">
        <f>"COLUMBUS CHOICE RENTALS II LLC"</f>
        <v>COLUMBUS CHOICE RENTALS II LLC</v>
      </c>
      <c r="C2852" s="1" t="str">
        <f>"1476 N 6TH ST NEW INDIANOLA LOT 30"</f>
        <v>1476 N 6TH ST NEW INDIANOLA LOT 30</v>
      </c>
      <c r="D2852" s="1">
        <v>2000.16</v>
      </c>
    </row>
    <row r="2853" spans="1:4" x14ac:dyDescent="0.3">
      <c r="A2853" s="1" t="str">
        <f>"01005944100"</f>
        <v>01005944100</v>
      </c>
      <c r="B2853" s="1" t="str">
        <f>"COLUMBUS CHOICE RENTALS II LLC"</f>
        <v>COLUMBUS CHOICE RENTALS II LLC</v>
      </c>
      <c r="C2853" s="1" t="str">
        <f>"RENWOOD PL MCGUFFEY SCHOOL LOT 77"</f>
        <v>RENWOOD PL MCGUFFEY SCHOOL LOT 77</v>
      </c>
      <c r="D2853" s="1">
        <v>1120.31</v>
      </c>
    </row>
    <row r="2854" spans="1:4" x14ac:dyDescent="0.3">
      <c r="A2854" s="1" t="str">
        <f>"01007623400"</f>
        <v>01007623400</v>
      </c>
      <c r="B2854" s="1" t="str">
        <f>"COLUMBUS CHOICE RENTALS II LLC"</f>
        <v>COLUMBUS CHOICE RENTALS II LLC</v>
      </c>
      <c r="C2854" s="1" t="str">
        <f>"TOMPKINS ST HUDSON MANOR LOT 90"</f>
        <v>TOMPKINS ST HUDSON MANOR LOT 90</v>
      </c>
      <c r="D2854" s="1">
        <v>857.62</v>
      </c>
    </row>
    <row r="2855" spans="1:4" x14ac:dyDescent="0.3">
      <c r="A2855" s="1" t="str">
        <f>"01012899100"</f>
        <v>01012899100</v>
      </c>
      <c r="B2855" s="1" t="str">
        <f>"COLUMBUS CHOICE RENTALS LLC"</f>
        <v>COLUMBUS CHOICE RENTALS LLC</v>
      </c>
      <c r="C2855" s="1" t="str">
        <f>"NASON AVE MILLBROOK LOT 129"</f>
        <v>NASON AVE MILLBROOK LOT 129</v>
      </c>
      <c r="D2855" s="1">
        <v>1193.1300000000001</v>
      </c>
    </row>
    <row r="2856" spans="1:4" x14ac:dyDescent="0.3">
      <c r="A2856" s="1" t="str">
        <f>"01007535000"</f>
        <v>01007535000</v>
      </c>
      <c r="B2856" s="1" t="str">
        <f>"COLUMBUS CHOICE RENTALS LLC"</f>
        <v>COLUMBUS CHOICE RENTALS LLC</v>
      </c>
      <c r="C2856" s="1" t="str">
        <f>"1259 E HUDSON ST HOMESTEAD HTS LOTS 12 &amp; 13"</f>
        <v>1259 E HUDSON ST HOMESTEAD HTS LOTS 12 &amp; 13</v>
      </c>
      <c r="D2856" s="1">
        <v>5138.18</v>
      </c>
    </row>
    <row r="2857" spans="1:4" x14ac:dyDescent="0.3">
      <c r="A2857" s="1" t="str">
        <f>"01007659200"</f>
        <v>01007659200</v>
      </c>
      <c r="B2857" s="1" t="str">
        <f>"COLUMBUS CHOICE RENTALS LLC"</f>
        <v>COLUMBUS CHOICE RENTALS LLC</v>
      </c>
      <c r="C2857" s="1" t="str">
        <f>"1366 DUXBERRY AVE HOMESTEAD HTS 2 LOT 23-24"</f>
        <v>1366 DUXBERRY AVE HOMESTEAD HTS 2 LOT 23-24</v>
      </c>
      <c r="D2857" s="1">
        <v>962.03</v>
      </c>
    </row>
    <row r="2858" spans="1:4" x14ac:dyDescent="0.3">
      <c r="A2858" s="1" t="str">
        <f>"01006143500"</f>
        <v>01006143500</v>
      </c>
      <c r="B2858" s="1" t="str">
        <f>"COLUMBUS CHOICE RENTALS LLC"</f>
        <v>COLUMBUS CHOICE RENTALS LLC</v>
      </c>
      <c r="C2858" s="1" t="str">
        <f>"1419 BRIARWOOD AVE HIGHWAY PARK LOT 307"</f>
        <v>1419 BRIARWOOD AVE HIGHWAY PARK LOT 307</v>
      </c>
      <c r="D2858" s="1">
        <v>3107.12</v>
      </c>
    </row>
    <row r="2859" spans="1:4" x14ac:dyDescent="0.3">
      <c r="A2859" s="1" t="str">
        <f>"01010790600"</f>
        <v>01010790600</v>
      </c>
      <c r="B2859" s="1" t="str">
        <f>"COLUMBUS CHRISTIAN CENTER INC"</f>
        <v>COLUMBUS CHRISTIAN CENTER INC</v>
      </c>
      <c r="C2859" s="1" t="str">
        <f>"AGLER RD R17 T1 1/4T3 0.517 ACRE"</f>
        <v>AGLER RD R17 T1 1/4T3 0.517 ACRE</v>
      </c>
      <c r="D2859" s="1">
        <v>138.72</v>
      </c>
    </row>
    <row r="2860" spans="1:4" x14ac:dyDescent="0.3">
      <c r="A2860" s="1" t="str">
        <f>"56021079800"</f>
        <v>56021079800</v>
      </c>
      <c r="B2860" s="1" t="str">
        <f>"COLUMBUS HILLIARD HOTEL GROUP LLC"</f>
        <v>COLUMBUS HILLIARD HOTEL GROUP LLC</v>
      </c>
      <c r="C2860" s="1" t="str">
        <f>"MUDSOCK RD REAR ENTRY 287 0.655 ACRE"</f>
        <v>MUDSOCK RD REAR ENTRY 287 0.655 ACRE</v>
      </c>
      <c r="D2860" s="1">
        <v>2372.21</v>
      </c>
    </row>
    <row r="2861" spans="1:4" x14ac:dyDescent="0.3">
      <c r="A2861" s="1" t="str">
        <f>"56020425900"</f>
        <v>56020425900</v>
      </c>
      <c r="B2861" s="1" t="str">
        <f>"COLUMBUS HILLIARD HOTEL GROUP LLC"</f>
        <v>COLUMBUS HILLIARD HOTEL GROUP LLC</v>
      </c>
      <c r="C2861" s="1" t="str">
        <f>"MUDSOCK RD 6.286 ACRES "</f>
        <v xml:space="preserve">MUDSOCK RD 6.286 ACRES </v>
      </c>
      <c r="D2861" s="1">
        <v>651631.15</v>
      </c>
    </row>
    <row r="2862" spans="1:4" x14ac:dyDescent="0.3">
      <c r="A2862" s="1" t="str">
        <f>"01005104400"</f>
        <v>01005104400</v>
      </c>
      <c r="B2862" s="1" t="str">
        <f>"COLUMBUS HOME AND REMODEL LLC"</f>
        <v>COLUMBUS HOME AND REMODEL LLC</v>
      </c>
      <c r="C2862" s="1" t="str">
        <f>"107 N POWELL AVE HILL TOP LOT 171"</f>
        <v>107 N POWELL AVE HILL TOP LOT 171</v>
      </c>
      <c r="D2862" s="1">
        <v>1242.68</v>
      </c>
    </row>
    <row r="2863" spans="1:4" x14ac:dyDescent="0.3">
      <c r="A2863" s="1" t="str">
        <f>"06000856400"</f>
        <v>06000856400</v>
      </c>
      <c r="B2863" s="1" t="str">
        <f>"COLUMBUS LUMBER SPECIALTIES"</f>
        <v>COLUMBUS LUMBER SPECIALTIES</v>
      </c>
      <c r="C2863" s="1" t="str">
        <f>"SLATE RIDGE OFFICE PARK CONDOMINIUM 2ND AMD UNIT 7644 BLDG 4"</f>
        <v>SLATE RIDGE OFFICE PARK CONDOMINIUM 2ND AMD UNIT 7644 BLDG 4</v>
      </c>
      <c r="D2863" s="1">
        <v>2812.39</v>
      </c>
    </row>
    <row r="2864" spans="1:4" x14ac:dyDescent="0.3">
      <c r="A2864" s="1" t="str">
        <f>"01002585900"</f>
        <v>01002585900</v>
      </c>
      <c r="B2864" s="1" t="str">
        <f>"COLUMBUS METROPOLITAN HOUSING AUTHORITY"</f>
        <v>COLUMBUS METROPOLITAN HOUSING AUTHORITY</v>
      </c>
      <c r="C2864" s="1" t="str">
        <f>"1419-33 CLEVELAND AVE DOW HEIRS LOTS 23-28 &amp; 74'WS LOT 29"</f>
        <v>1419-33 CLEVELAND AVE DOW HEIRS LOTS 23-28 &amp; 74'WS LOT 29</v>
      </c>
      <c r="D2864" s="1">
        <v>22240.17</v>
      </c>
    </row>
    <row r="2865" spans="1:4" x14ac:dyDescent="0.3">
      <c r="A2865" s="1" t="str">
        <f>"01023738500"</f>
        <v>01023738500</v>
      </c>
      <c r="B2865" s="1" t="str">
        <f>"COLUMBUS METROPOLITAN HOUSING AUTHORITY"</f>
        <v>COLUMBUS METROPOLITAN HOUSING AUTHORITY</v>
      </c>
      <c r="C2865" s="1" t="str">
        <f>"R17 T1 A/4T2 5.551 ACRES "</f>
        <v xml:space="preserve">R17 T1 A/4T2 5.551 ACRES </v>
      </c>
      <c r="D2865" s="1">
        <v>100288.41</v>
      </c>
    </row>
    <row r="2866" spans="1:4" x14ac:dyDescent="0.3">
      <c r="A2866" s="1" t="str">
        <f>"56021911800"</f>
        <v>56021911800</v>
      </c>
      <c r="B2866" s="1" t="str">
        <f>"COLUMBUS OB/GYN PARTNERS LTD"</f>
        <v>COLUMBUS OB/GYN PARTNERS LTD</v>
      </c>
      <c r="C2866" s="1" t="str">
        <f>"RIDGE MILL DR MILL RUN SUB EASE DED SEC 2"</f>
        <v>RIDGE MILL DR MILL RUN SUB EASE DED SEC 2</v>
      </c>
      <c r="D2866" s="1">
        <v>710.34</v>
      </c>
    </row>
    <row r="2867" spans="1:4" x14ac:dyDescent="0.3">
      <c r="A2867" s="1" t="str">
        <f>"15000150600"</f>
        <v>15000150600</v>
      </c>
      <c r="B2867" s="1" t="str">
        <f>"COLUMBUS WHOLESALE FISH BAIT CO"</f>
        <v>COLUMBUS WHOLESALE FISH BAIT CO</v>
      </c>
      <c r="C2867" s="1" t="str">
        <f>"1119 VERNON RD .505 ACRES R22 T4 S15"</f>
        <v>1119 VERNON RD .505 ACRES R22 T4 S15</v>
      </c>
      <c r="D2867" s="1">
        <v>52.89</v>
      </c>
    </row>
    <row r="2868" spans="1:4" x14ac:dyDescent="0.3">
      <c r="A2868" s="1" t="str">
        <f>"01011390900"</f>
        <v>01011390900</v>
      </c>
      <c r="B2868" s="1" t="str">
        <f>"COLUMBUSLAND PROPERTIES LLC"</f>
        <v>COLUMBUSLAND PROPERTIES LLC</v>
      </c>
      <c r="C2868" s="1" t="str">
        <f>"3390 S.HIGH ST HOME ACRES PT LOTS 4-5"</f>
        <v>3390 S.HIGH ST HOME ACRES PT LOTS 4-5</v>
      </c>
      <c r="D2868" s="1">
        <v>14977.18</v>
      </c>
    </row>
    <row r="2869" spans="1:4" x14ac:dyDescent="0.3">
      <c r="A2869" s="1" t="str">
        <f>"01025686200"</f>
        <v>01025686200</v>
      </c>
      <c r="B2869" s="1" t="str">
        <f>"COLUSSI CAROL J"</f>
        <v>COLUSSI CAROL J</v>
      </c>
      <c r="C2869" s="1" t="str">
        <f>"COLLINGWOOD POINTE AT THE PRESERVE CONDOMINIUM UNIT 2-4521"</f>
        <v>COLLINGWOOD POINTE AT THE PRESERVE CONDOMINIUM UNIT 2-4521</v>
      </c>
      <c r="D2869" s="1">
        <v>1906.54</v>
      </c>
    </row>
    <row r="2870" spans="1:4" x14ac:dyDescent="0.3">
      <c r="A2870" s="1" t="str">
        <f>"01014623100"</f>
        <v>01014623100</v>
      </c>
      <c r="B2870" s="1" t="str">
        <f>"COLVIN GRAVEL CO INC"</f>
        <v>COLVIN GRAVEL CO INC</v>
      </c>
      <c r="C2870" s="1" t="str">
        <f>"2290 MCKINLEY AVE ENTRY 530 4.852 ACRES"</f>
        <v>2290 MCKINLEY AVE ENTRY 530 4.852 ACRES</v>
      </c>
      <c r="D2870" s="1">
        <v>505.52</v>
      </c>
    </row>
    <row r="2871" spans="1:4" x14ac:dyDescent="0.3">
      <c r="A2871" s="1" t="str">
        <f>"16100073900"</f>
        <v>16100073900</v>
      </c>
      <c r="B2871" s="1" t="str">
        <f>"COMBS JANARIA"</f>
        <v>COMBS JANARIA</v>
      </c>
      <c r="C2871" s="1" t="str">
        <f>"3616 1ST AVE URBANCREST 22-3 BLK 1"</f>
        <v>3616 1ST AVE URBANCREST 22-3 BLK 1</v>
      </c>
      <c r="D2871" s="1">
        <v>960.98</v>
      </c>
    </row>
    <row r="2872" spans="1:4" x14ac:dyDescent="0.3">
      <c r="A2872" s="1" t="str">
        <f>"01010308000"</f>
        <v>01010308000</v>
      </c>
      <c r="B2872" s="1" t="str">
        <f>"COMBS JOHN D JR"</f>
        <v>COMBS JOHN D JR</v>
      </c>
      <c r="C2872" s="1" t="str">
        <f>"2103 JANE AVE WOODLAND TERRACE LOT 126"</f>
        <v>2103 JANE AVE WOODLAND TERRACE LOT 126</v>
      </c>
      <c r="D2872" s="1">
        <v>2404.31</v>
      </c>
    </row>
    <row r="2873" spans="1:4" x14ac:dyDescent="0.3">
      <c r="A2873" s="1" t="str">
        <f>"01010308100"</f>
        <v>01010308100</v>
      </c>
      <c r="B2873" s="1" t="str">
        <f>"COMBS JOHN D JR"</f>
        <v>COMBS JOHN D JR</v>
      </c>
      <c r="C2873" s="1" t="str">
        <f>"MARINA DR WOODLAND TERRACE LOT 127"</f>
        <v>MARINA DR WOODLAND TERRACE LOT 127</v>
      </c>
      <c r="D2873" s="1">
        <v>563.34</v>
      </c>
    </row>
    <row r="2874" spans="1:4" x14ac:dyDescent="0.3">
      <c r="A2874" s="1" t="str">
        <f>"06000738400"</f>
        <v>06000738400</v>
      </c>
      <c r="B2874" s="1" t="str">
        <f>"COMBS LINETTE"</f>
        <v>COMBS LINETTE</v>
      </c>
      <c r="C2874" s="1" t="str">
        <f>"RETREAT AT CORONADO WOODS CONDO 1ST AMD UNIT 1364"</f>
        <v>RETREAT AT CORONADO WOODS CONDO 1ST AMD UNIT 1364</v>
      </c>
      <c r="D2874" s="1">
        <v>4013.52</v>
      </c>
    </row>
    <row r="2875" spans="1:4" x14ac:dyDescent="0.3">
      <c r="A2875" s="1" t="str">
        <f>"11000537200"</f>
        <v>11000537200</v>
      </c>
      <c r="B2875" s="1" t="str">
        <f>"COMBS TONI L"</f>
        <v>COMBS TONI L</v>
      </c>
      <c r="C2875" s="1" t="str">
        <f>"GOLDFINCH DR SUNBURY WOODS LOT 130"</f>
        <v>GOLDFINCH DR SUNBURY WOODS LOT 130</v>
      </c>
      <c r="D2875" s="1">
        <v>6931.05</v>
      </c>
    </row>
    <row r="2876" spans="1:4" x14ac:dyDescent="0.3">
      <c r="A2876" s="1" t="str">
        <f>"19000130400"</f>
        <v>19000130400</v>
      </c>
      <c r="B2876" s="1" t="str">
        <f>"COMET HX LLC"</f>
        <v>COMET HX LLC</v>
      </c>
      <c r="C2876" s="1" t="str">
        <f>"MELROSE AVE TUXEDO PARK 77 "</f>
        <v xml:space="preserve">MELROSE AVE TUXEDO PARK 77 </v>
      </c>
      <c r="D2876" s="1">
        <v>193.57</v>
      </c>
    </row>
    <row r="2877" spans="1:4" x14ac:dyDescent="0.3">
      <c r="A2877" s="1" t="str">
        <f>"19000130600"</f>
        <v>19000130600</v>
      </c>
      <c r="B2877" s="1" t="str">
        <f>"COMET HX LLC"</f>
        <v>COMET HX LLC</v>
      </c>
      <c r="C2877" s="1" t="str">
        <f>"MELROSE AVE TUXEDO PK 79 "</f>
        <v xml:space="preserve">MELROSE AVE TUXEDO PK 79 </v>
      </c>
      <c r="D2877" s="1">
        <v>193.57</v>
      </c>
    </row>
    <row r="2878" spans="1:4" x14ac:dyDescent="0.3">
      <c r="A2878" s="1" t="str">
        <f>"01010865800"</f>
        <v>01010865800</v>
      </c>
      <c r="B2878" s="1" t="str">
        <f>"COMFORT AND PASSIONATE SERVICES LLP"</f>
        <v>COMFORT AND PASSIONATE SERVICES LLP</v>
      </c>
      <c r="C2878" s="1" t="str">
        <f>"MOCK RD L 5 .713AC R17 T1 1/4T 3 "</f>
        <v xml:space="preserve">MOCK RD L 5 .713AC R17 T1 1/4T 3 </v>
      </c>
      <c r="D2878" s="1">
        <v>922.54</v>
      </c>
    </row>
    <row r="2879" spans="1:4" x14ac:dyDescent="0.3">
      <c r="A2879" s="1" t="str">
        <f>"01007820500"</f>
        <v>01007820500</v>
      </c>
      <c r="B2879" s="1" t="str">
        <f>"COMFORT HOME CARE AGENCY"</f>
        <v>COMFORT HOME CARE AGENCY</v>
      </c>
      <c r="C2879" s="1" t="str">
        <f>"687 S WAYNE AVE WESTLAND EXT LOT 230"</f>
        <v>687 S WAYNE AVE WESTLAND EXT LOT 230</v>
      </c>
      <c r="D2879" s="1">
        <v>2720.51</v>
      </c>
    </row>
    <row r="2880" spans="1:4" x14ac:dyDescent="0.3">
      <c r="A2880" s="1" t="str">
        <f>"01006348300"</f>
        <v>01006348300</v>
      </c>
      <c r="B2880" s="1" t="str">
        <f>"COMFORT HOME CARE AGENCY, LLC, A NEW YORK LIMITED LIABILITY COMPANY"</f>
        <v>COMFORT HOME CARE AGENCY, LLC, A NEW YORK LIMITED LIABILITY COMPANY</v>
      </c>
      <c r="C2880" s="1" t="str">
        <f>"165 N HAGUE 71.98FT EE ON HAGUE AVE LOT I52"</f>
        <v>165 N HAGUE 71.98FT EE ON HAGUE AVE LOT I52</v>
      </c>
      <c r="D2880" s="1">
        <v>1864.17</v>
      </c>
    </row>
    <row r="2881" spans="1:4" x14ac:dyDescent="0.3">
      <c r="A2881" s="1" t="str">
        <f>"17000192600"</f>
        <v>17000192600</v>
      </c>
      <c r="B2881" s="1" t="str">
        <f>"COMISAR BRUCE R"</f>
        <v>COMISAR BRUCE R</v>
      </c>
      <c r="C2881" s="1" t="str">
        <f>"MANN ROAD R16 T1 1/4T2 6.167 ACRES"</f>
        <v>MANN ROAD R16 T1 1/4T2 6.167 ACRES</v>
      </c>
      <c r="D2881" s="1">
        <v>25572.26</v>
      </c>
    </row>
    <row r="2882" spans="1:4" x14ac:dyDescent="0.3">
      <c r="A2882" s="1" t="str">
        <f>"01001938500"</f>
        <v>01001938500</v>
      </c>
      <c r="B2882" s="1" t="str">
        <f>"COMMON PURPOSE LLC"</f>
        <v>COMMON PURPOSE LLC</v>
      </c>
      <c r="C2882" s="1" t="str">
        <f>"2326 SUMMIT ST 30 X 89 FT ON SUMMIT ST"</f>
        <v>2326 SUMMIT ST 30 X 89 FT ON SUMMIT ST</v>
      </c>
      <c r="D2882" s="1">
        <v>5589.4</v>
      </c>
    </row>
    <row r="2883" spans="1:4" x14ac:dyDescent="0.3">
      <c r="A2883" s="1" t="str">
        <f>"01003715600"</f>
        <v>01003715600</v>
      </c>
      <c r="B2883" s="1" t="str">
        <f>"COMMONWEALTH INVESTMENTS LTD"</f>
        <v>COMMONWEALTH INVESTMENTS LTD</v>
      </c>
      <c r="C2883" s="1" t="str">
        <f>"31-37 E GAY ST LOT 452 &amp; 453 "</f>
        <v xml:space="preserve">31-37 E GAY ST LOT 452 &amp; 453 </v>
      </c>
      <c r="D2883" s="1">
        <v>2624.38</v>
      </c>
    </row>
    <row r="2884" spans="1:4" x14ac:dyDescent="0.3">
      <c r="A2884" s="1" t="str">
        <f>"01001331700"</f>
        <v>01001331700</v>
      </c>
      <c r="B2884" s="1" t="str">
        <f>"COMMUNITY HOUSING ALLIANCE LLC"</f>
        <v>COMMUNITY HOUSING ALLIANCE LLC</v>
      </c>
      <c r="C2884" s="1" t="str">
        <f>"685 KELTON AVE KENTS SUB 71"</f>
        <v>685 KELTON AVE KENTS SUB 71</v>
      </c>
      <c r="D2884" s="1">
        <v>2522.85</v>
      </c>
    </row>
    <row r="2885" spans="1:4" x14ac:dyDescent="0.3">
      <c r="A2885" s="1" t="str">
        <f>"01004887600"</f>
        <v>01004887600</v>
      </c>
      <c r="B2885" s="1" t="str">
        <f>"COMMUNITY HOUSING ALLIANCE LLC"</f>
        <v>COMMUNITY HOUSING ALLIANCE LLC</v>
      </c>
      <c r="C2885" s="1" t="str">
        <f>"490 MITHOFF ST A &amp; S STURART LOT 8"</f>
        <v>490 MITHOFF ST A &amp; S STURART LOT 8</v>
      </c>
      <c r="D2885" s="1">
        <v>3998.24</v>
      </c>
    </row>
    <row r="2886" spans="1:4" x14ac:dyDescent="0.3">
      <c r="A2886" s="1" t="str">
        <f>"51016037600"</f>
        <v>51016037600</v>
      </c>
      <c r="B2886" s="1" t="str">
        <f>"COMMUNITY HOUSING ALLIANCE LLC"</f>
        <v>COMMUNITY HOUSING ALLIANCE LLC</v>
      </c>
      <c r="C2886" s="1" t="str">
        <f>"812 BREATHITT AVE SOUTHERN PINES SEC 9 LOT 1053"</f>
        <v>812 BREATHITT AVE SOUTHERN PINES SEC 9 LOT 1053</v>
      </c>
      <c r="D2886" s="1">
        <v>2310.0700000000002</v>
      </c>
    </row>
    <row r="2887" spans="1:4" x14ac:dyDescent="0.3">
      <c r="A2887" s="1" t="str">
        <f>"01005591200"</f>
        <v>01005591200</v>
      </c>
      <c r="B2887" s="1" t="str">
        <f>"COMMUNITY HOUSING ALLIANCE LLC"</f>
        <v>COMMUNITY HOUSING ALLIANCE LLC</v>
      </c>
      <c r="C2887" s="1" t="str">
        <f>"850 WHITTIER ST KEYSTONE LOT 13"</f>
        <v>850 WHITTIER ST KEYSTONE LOT 13</v>
      </c>
      <c r="D2887" s="1">
        <v>3064.66</v>
      </c>
    </row>
    <row r="2888" spans="1:4" x14ac:dyDescent="0.3">
      <c r="A2888" s="1" t="str">
        <f>"01013474000"</f>
        <v>01013474000</v>
      </c>
      <c r="B2888" s="1" t="str">
        <f>"COMMUNITY HOUSING ALLIANCE LLC"</f>
        <v>COMMUNITY HOUSING ALLIANCE LLC</v>
      </c>
      <c r="C2888" s="1" t="str">
        <f>"QUEENSROWE CT QUEENSROWE LOT 24"</f>
        <v>QUEENSROWE CT QUEENSROWE LOT 24</v>
      </c>
      <c r="D2888" s="1">
        <v>1987.82</v>
      </c>
    </row>
    <row r="2889" spans="1:4" x14ac:dyDescent="0.3">
      <c r="A2889" s="1" t="str">
        <f>"14000231700"</f>
        <v>14000231700</v>
      </c>
      <c r="B2889" s="1" t="str">
        <f>"COMMUNITY HOUSING AUTHORITY ALLIANCE LLC"</f>
        <v>COMMUNITY HOUSING AUTHORITY ALLIANCE LLC</v>
      </c>
      <c r="C2889" s="1" t="str">
        <f>"1712 LITTLE AVE NEW CITY ADDN LOT 50"</f>
        <v>1712 LITTLE AVE NEW CITY ADDN LOT 50</v>
      </c>
      <c r="D2889" s="1">
        <v>2182.5100000000002</v>
      </c>
    </row>
    <row r="2890" spans="1:4" x14ac:dyDescent="0.3">
      <c r="A2890" s="1" t="str">
        <f>"01006034100"</f>
        <v>01006034100</v>
      </c>
      <c r="B2890" s="1" t="str">
        <f>"COMMUNITY RESEARCH CENTER LLC"</f>
        <v>COMMUNITY RESEARCH CENTER LLC</v>
      </c>
      <c r="C2890" s="1" t="str">
        <f>"210 MILLER AVENUE J NELSON PT LOTS 148-151"</f>
        <v>210 MILLER AVENUE J NELSON PT LOTS 148-151</v>
      </c>
      <c r="D2890" s="1">
        <v>1065.22</v>
      </c>
    </row>
    <row r="2891" spans="1:4" x14ac:dyDescent="0.3">
      <c r="A2891" s="1" t="str">
        <f>"03000031500"</f>
        <v>03000031500</v>
      </c>
      <c r="B2891" s="1" t="str">
        <f>"COMPTON ANNA B"</f>
        <v>COMPTON ANNA B</v>
      </c>
      <c r="C2891" s="1" t="str">
        <f>"1100 URLIN AVE LOT 20 &amp; RES A URLINS TERRACE"</f>
        <v>1100 URLIN AVE LOT 20 &amp; RES A URLINS TERRACE</v>
      </c>
      <c r="D2891" s="1">
        <v>1246.27</v>
      </c>
    </row>
    <row r="2892" spans="1:4" x14ac:dyDescent="0.3">
      <c r="A2892" s="1" t="str">
        <f>"01003025900"</f>
        <v>01003025900</v>
      </c>
      <c r="B2892" s="1" t="str">
        <f>"COMPTON ANNA B TTEE"</f>
        <v>COMPTON ANNA B TTEE</v>
      </c>
      <c r="C2892" s="1" t="str">
        <f>"1544 CLARA ST DAVIES CENTENNIAL PARK LOT 43"</f>
        <v>1544 CLARA ST DAVIES CENTENNIAL PARK LOT 43</v>
      </c>
      <c r="D2892" s="1">
        <v>19.95</v>
      </c>
    </row>
    <row r="2893" spans="1:4" x14ac:dyDescent="0.3">
      <c r="A2893" s="1" t="str">
        <f>"01007745600"</f>
        <v>01007745600</v>
      </c>
      <c r="B2893" s="1" t="str">
        <f>"COMPTON DONALD J"</f>
        <v>COMPTON DONALD J</v>
      </c>
      <c r="C2893" s="1" t="str">
        <f>"BANCROFT ST MULBUR PARK LOT 224"</f>
        <v>BANCROFT ST MULBUR PARK LOT 224</v>
      </c>
      <c r="D2893" s="1">
        <v>88.49</v>
      </c>
    </row>
    <row r="2894" spans="1:4" x14ac:dyDescent="0.3">
      <c r="A2894" s="1" t="str">
        <f>"01007743700"</f>
        <v>01007743700</v>
      </c>
      <c r="B2894" s="1" t="str">
        <f>"COMPTON DONALD J"</f>
        <v>COMPTON DONALD J</v>
      </c>
      <c r="C2894" s="1" t="str">
        <f>"BANCROFT ST MULBUR PARK LOT 223"</f>
        <v>BANCROFT ST MULBUR PARK LOT 223</v>
      </c>
      <c r="D2894" s="1">
        <v>118.83</v>
      </c>
    </row>
    <row r="2895" spans="1:4" x14ac:dyDescent="0.3">
      <c r="A2895" s="1" t="str">
        <f>"01004288000"</f>
        <v>01004288000</v>
      </c>
      <c r="B2895" s="1" t="str">
        <f>"COMPTON DONALD J TR, COMPTON ANNA B TR"</f>
        <v>COMPTON DONALD J TR, COMPTON ANNA B TR</v>
      </c>
      <c r="C2895" s="1" t="str">
        <f>"1209 CLEVELAND AVE DOYLES 1ST LOT 21 PT LOTS 22 &amp; 23"</f>
        <v>1209 CLEVELAND AVE DOYLES 1ST LOT 21 PT LOTS 22 &amp; 23</v>
      </c>
      <c r="D2895" s="1">
        <v>381.24</v>
      </c>
    </row>
    <row r="2896" spans="1:4" x14ac:dyDescent="0.3">
      <c r="A2896" s="1" t="str">
        <f>"24100013200"</f>
        <v>24100013200</v>
      </c>
      <c r="B2896" s="1" t="str">
        <f>"COMPTON OTTIS J JR TR, COMPTON KATHRYN B TR"</f>
        <v>COMPTON OTTIS J JR TR, COMPTON KATHRYN B TR</v>
      </c>
      <c r="C2896" s="1" t="str">
        <f>"6263 FEDER RD .436 ACRE ENT 6636 "</f>
        <v xml:space="preserve">6263 FEDER RD .436 ACRE ENT 6636 </v>
      </c>
      <c r="D2896" s="1">
        <v>596.87</v>
      </c>
    </row>
    <row r="2897" spans="1:4" x14ac:dyDescent="0.3">
      <c r="A2897" s="1" t="str">
        <f>"22200194000"</f>
        <v>22200194000</v>
      </c>
      <c r="B2897" s="1" t="str">
        <f>"COMPUGEN REAL ESTATE HOLDINGS INC"</f>
        <v>COMPUGEN REAL ESTATE HOLDINGS INC</v>
      </c>
      <c r="C2897" s="1" t="str">
        <f>"SOUDER RD R16 T2 1/4T1 7.765 ACRES"</f>
        <v>SOUDER RD R16 T2 1/4T1 7.765 ACRES</v>
      </c>
      <c r="D2897" s="1">
        <v>385853.49</v>
      </c>
    </row>
    <row r="2898" spans="1:4" x14ac:dyDescent="0.3">
      <c r="A2898" s="1" t="str">
        <f>"05000041900"</f>
        <v>05000041900</v>
      </c>
      <c r="B2898" s="1" t="str">
        <f>"COMSTOCK DEENA"</f>
        <v>COMSTOCK DEENA</v>
      </c>
      <c r="C2898" s="1" t="str">
        <f>"3936 LINDA ROAD CONNOR-MC DAVID LOT 8"</f>
        <v>3936 LINDA ROAD CONNOR-MC DAVID LOT 8</v>
      </c>
      <c r="D2898" s="1">
        <v>1518.37</v>
      </c>
    </row>
    <row r="2899" spans="1:4" x14ac:dyDescent="0.3">
      <c r="A2899" s="1" t="str">
        <f>"08000760100"</f>
        <v>08000760100</v>
      </c>
      <c r="B2899" s="1" t="str">
        <f>"CONARD JANICE L"</f>
        <v>CONARD JANICE L</v>
      </c>
      <c r="C2899" s="1" t="str">
        <f>"997 SWANTON CT SPRINGBOROUGH SEC 3 LOT 201"</f>
        <v>997 SWANTON CT SPRINGBOROUGH SEC 3 LOT 201</v>
      </c>
      <c r="D2899" s="1">
        <v>784.97</v>
      </c>
    </row>
    <row r="2900" spans="1:4" x14ac:dyDescent="0.3">
      <c r="A2900" s="1" t="str">
        <f>"25000659200"</f>
        <v>25000659200</v>
      </c>
      <c r="B2900" s="1" t="str">
        <f>"CONAWAY JASON TR"</f>
        <v>CONAWAY JASON TR</v>
      </c>
      <c r="C2900" s="1" t="str">
        <f>"N HIGH ST ACRES 1.25 0 R18 T2 1-4T2 42-43-50-59"</f>
        <v>N HIGH ST ACRES 1.25 0 R18 T2 1-4T2 42-43-50-59</v>
      </c>
      <c r="D2900" s="1">
        <v>364.79</v>
      </c>
    </row>
    <row r="2901" spans="1:4" x14ac:dyDescent="0.3">
      <c r="A2901" s="1" t="str">
        <f>"01008637900"</f>
        <v>01008637900</v>
      </c>
      <c r="B2901" s="1" t="str">
        <f>"CONCHECK VINCENT KARA"</f>
        <v>CONCHECK VINCENT KARA</v>
      </c>
      <c r="C2901" s="1" t="str">
        <f>"NOTTINGHAM RD BEECHWOLD SOUTH LOT 108-109"</f>
        <v>NOTTINGHAM RD BEECHWOLD SOUTH LOT 108-109</v>
      </c>
      <c r="D2901" s="1">
        <v>7166.67</v>
      </c>
    </row>
    <row r="2902" spans="1:4" x14ac:dyDescent="0.3">
      <c r="A2902" s="1" t="str">
        <f>"01003489400"</f>
        <v>01003489400</v>
      </c>
      <c r="B2902" s="1" t="str">
        <f>"CONDE GONZALEZ YILIANI"</f>
        <v>CONDE GONZALEZ YILIANI</v>
      </c>
      <c r="C2902" s="1" t="str">
        <f>"34 S EUREKA AVE BELLAIRE LOTS 102-104"</f>
        <v>34 S EUREKA AVE BELLAIRE LOTS 102-104</v>
      </c>
      <c r="D2902" s="1">
        <v>1216.72</v>
      </c>
    </row>
    <row r="2903" spans="1:4" x14ac:dyDescent="0.3">
      <c r="A2903" s="1" t="str">
        <f>"05000313400"</f>
        <v>05000313400</v>
      </c>
      <c r="B2903" s="1" t="str">
        <f>"CONEFF PATRICK D, FRAMELI-CONEFF MARY L"</f>
        <v>CONEFF PATRICK D, FRAMELI-CONEFF MARY L</v>
      </c>
      <c r="C2903" s="1" t="str">
        <f>"4347 SHIRE COVE RD SHIRE COVE LOT 67"</f>
        <v>4347 SHIRE COVE RD SHIRE COVE LOT 67</v>
      </c>
      <c r="D2903" s="1">
        <v>5179.17</v>
      </c>
    </row>
    <row r="2904" spans="1:4" x14ac:dyDescent="0.3">
      <c r="A2904" s="1" t="str">
        <f>"07001364300"</f>
        <v>07001364300</v>
      </c>
      <c r="B2904" s="1" t="str">
        <f>"CONGER MATTHEW T TTEE"</f>
        <v>CONGER MATTHEW T TTEE</v>
      </c>
      <c r="C2904" s="1" t="str">
        <f>"ARLINGVILLE CONDO BLDG 3 UNIT A "</f>
        <v xml:space="preserve">ARLINGVILLE CONDO BLDG 3 UNIT A </v>
      </c>
      <c r="D2904" s="1">
        <v>280.51</v>
      </c>
    </row>
    <row r="2905" spans="1:4" x14ac:dyDescent="0.3">
      <c r="A2905" s="1" t="str">
        <f>"01023262500"</f>
        <v>01023262500</v>
      </c>
      <c r="B2905" s="1" t="str">
        <f>"CONKEL HOWARD E TR, CONKEL BILLIE D TR"</f>
        <v>CONKEL HOWARD E TR, CONKEL BILLIE D TR</v>
      </c>
      <c r="C2905" s="1" t="str">
        <f>"DOHERTY ROAD CHESAPEAKE ESTATES LOT 6"</f>
        <v>DOHERTY ROAD CHESAPEAKE ESTATES LOT 6</v>
      </c>
      <c r="D2905" s="1">
        <v>375.24</v>
      </c>
    </row>
    <row r="2906" spans="1:4" x14ac:dyDescent="0.3">
      <c r="A2906" s="1" t="str">
        <f>"01010107700"</f>
        <v>01010107700</v>
      </c>
      <c r="B2906" s="1" t="str">
        <f>"CONLEY ANNETTE"</f>
        <v>CONLEY ANNETTE</v>
      </c>
      <c r="C2906" s="1" t="str">
        <f>"PICARD RD BERWICK MANOR LOT 131"</f>
        <v>PICARD RD BERWICK MANOR LOT 131</v>
      </c>
      <c r="D2906" s="1">
        <v>386.78</v>
      </c>
    </row>
    <row r="2907" spans="1:4" x14ac:dyDescent="0.3">
      <c r="A2907" s="1" t="str">
        <f>"01004845400"</f>
        <v>01004845400</v>
      </c>
      <c r="B2907" s="1" t="str">
        <f>"CONLEY GROUP RENTALS LLC"</f>
        <v>CONLEY GROUP RENTALS LLC</v>
      </c>
      <c r="C2907" s="1" t="str">
        <f>"W S LEXINGTON AVE DREXEL PK LOT 225"</f>
        <v>W S LEXINGTON AVE DREXEL PK LOT 225</v>
      </c>
      <c r="D2907" s="1">
        <v>693.78</v>
      </c>
    </row>
    <row r="2908" spans="1:4" x14ac:dyDescent="0.3">
      <c r="A2908" s="1" t="str">
        <f>"53020594900"</f>
        <v>53020594900</v>
      </c>
      <c r="B2908" s="1" t="str">
        <f>"CONLEY JAMES A, CONLEY SANDRA K"</f>
        <v>CONLEY JAMES A, CONLEY SANDRA K</v>
      </c>
      <c r="C2908" s="1" t="str">
        <f>"ARROWSMITH DRIVE INDEPENDENCE VILLAGE SQUARE SEC 1 LOT 6"</f>
        <v>ARROWSMITH DRIVE INDEPENDENCE VILLAGE SQUARE SEC 1 LOT 6</v>
      </c>
      <c r="D2908" s="1">
        <v>330</v>
      </c>
    </row>
    <row r="2909" spans="1:4" x14ac:dyDescent="0.3">
      <c r="A2909" s="1" t="str">
        <f>"08000568900"</f>
        <v>08000568900</v>
      </c>
      <c r="B2909" s="1" t="str">
        <f>"CONLEY KAREN M"</f>
        <v>CONLEY KAREN M</v>
      </c>
      <c r="C2909" s="1" t="str">
        <f>"BELLE MEADE PLACE ANNEHURST VILLAGE 11 LOT 838"</f>
        <v>BELLE MEADE PLACE ANNEHURST VILLAGE 11 LOT 838</v>
      </c>
      <c r="D2909" s="1">
        <v>314.67</v>
      </c>
    </row>
    <row r="2910" spans="1:4" x14ac:dyDescent="0.3">
      <c r="A2910" s="1" t="str">
        <f>"01004055500"</f>
        <v>01004055500</v>
      </c>
      <c r="B2910" s="1" t="str">
        <f>"CONN LORETTA"</f>
        <v>CONN LORETTA</v>
      </c>
      <c r="C2910" s="1" t="str">
        <f>"WILLIAMS RD .201 ACRE PARCEL 11 SEC 4 LOT 5"</f>
        <v>WILLIAMS RD .201 ACRE PARCEL 11 SEC 4 LOT 5</v>
      </c>
      <c r="D2910" s="1">
        <v>6000.6</v>
      </c>
    </row>
    <row r="2911" spans="1:4" x14ac:dyDescent="0.3">
      <c r="A2911" s="1" t="str">
        <f>"01000504000"</f>
        <v>01000504000</v>
      </c>
      <c r="B2911" s="1" t="str">
        <f>"CONNECTED PROPERTIES II LTD, CONNECTED PROPERTIES LTD"</f>
        <v>CONNECTED PROPERTIES II LTD, CONNECTED PROPERTIES LTD</v>
      </c>
      <c r="C2911" s="1" t="str">
        <f>"349 W 8TH AVE MCMILLENS HOMESTEAD LOT 66"</f>
        <v>349 W 8TH AVE MCMILLENS HOMESTEAD LOT 66</v>
      </c>
      <c r="D2911" s="1">
        <v>3079.52</v>
      </c>
    </row>
    <row r="2912" spans="1:4" x14ac:dyDescent="0.3">
      <c r="A2912" s="1" t="str">
        <f>"01026045100"</f>
        <v>01026045100</v>
      </c>
      <c r="B2912" s="1" t="str">
        <f>"CONNELL JEFFREY A, CONNELL MARY J"</f>
        <v>CONNELL JEFFREY A, CONNELL MARY J</v>
      </c>
      <c r="C2912" s="1" t="str">
        <f>"BLENDON CHASE CONDOMINIUM 10TH AMD UNIT 34-6022"</f>
        <v>BLENDON CHASE CONDOMINIUM 10TH AMD UNIT 34-6022</v>
      </c>
      <c r="D2912" s="1">
        <v>2636.73</v>
      </c>
    </row>
    <row r="2913" spans="1:4" x14ac:dyDescent="0.3">
      <c r="A2913" s="1" t="str">
        <f>"16000159900"</f>
        <v>16000159900</v>
      </c>
      <c r="B2913" s="1" t="str">
        <f>"CONNELLY DONNA K TR"</f>
        <v>CONNELLY DONNA K TR</v>
      </c>
      <c r="C2913" s="1" t="str">
        <f>"6060 JACKSON PIKE ENTRY 1105-6115 1.162 ACRES"</f>
        <v>6060 JACKSON PIKE ENTRY 1105-6115 1.162 ACRES</v>
      </c>
      <c r="D2913" s="1">
        <v>1959.98</v>
      </c>
    </row>
    <row r="2914" spans="1:4" x14ac:dyDescent="0.3">
      <c r="A2914" s="1" t="str">
        <f>"06000364500"</f>
        <v>06000364500</v>
      </c>
      <c r="B2914" s="1" t="str">
        <f>"CONNER HAZEL I"</f>
        <v>CONNER HAZEL I</v>
      </c>
      <c r="C2914" s="1" t="str">
        <f>"JONSON COURT AMD LUDLOW 11-11-71 LOT 208"</f>
        <v>JONSON COURT AMD LUDLOW 11-11-71 LOT 208</v>
      </c>
      <c r="D2914" s="1">
        <v>3102.37</v>
      </c>
    </row>
    <row r="2915" spans="1:4" x14ac:dyDescent="0.3">
      <c r="A2915" s="1" t="str">
        <f>"01009240100"</f>
        <v>01009240100</v>
      </c>
      <c r="B2915" s="1" t="str">
        <f>"CONNER JUANITA M"</f>
        <v>CONNER JUANITA M</v>
      </c>
      <c r="C2915" s="1" t="str">
        <f>"13TH AVE CASSADY-PEAKE MEADOW LOT 160"</f>
        <v>13TH AVE CASSADY-PEAKE MEADOW LOT 160</v>
      </c>
      <c r="D2915" s="1">
        <v>432.18</v>
      </c>
    </row>
    <row r="2916" spans="1:4" x14ac:dyDescent="0.3">
      <c r="A2916" s="1" t="str">
        <f>"22000008700"</f>
        <v>22000008700</v>
      </c>
      <c r="B2916" s="1" t="str">
        <f>"CONNOLLY WILLIAM E"</f>
        <v>CONNOLLY WILLIAM E</v>
      </c>
      <c r="C2916" s="1" t="str">
        <f>"PETER HOOVER RD 1. ACRE R1 T2 1/4T1"</f>
        <v>PETER HOOVER RD 1. ACRE R1 T2 1/4T1</v>
      </c>
      <c r="D2916" s="1">
        <v>9533.2999999999993</v>
      </c>
    </row>
    <row r="2917" spans="1:4" x14ac:dyDescent="0.3">
      <c r="A2917" s="1" t="str">
        <f>"01013040900"</f>
        <v>01013040900</v>
      </c>
      <c r="B2917" s="1" t="str">
        <f>"CONRAD THOMAS S, CONRAD MARIE E"</f>
        <v>CONRAD THOMAS S, CONRAD MARIE E</v>
      </c>
      <c r="C2917" s="1" t="str">
        <f>"OLENTANGY RIVER RD THE KNOLLS SEC 1 LOT 5"</f>
        <v>OLENTANGY RIVER RD THE KNOLLS SEC 1 LOT 5</v>
      </c>
      <c r="D2917" s="1">
        <v>378.34</v>
      </c>
    </row>
    <row r="2918" spans="1:4" x14ac:dyDescent="0.3">
      <c r="A2918" s="1" t="str">
        <f>"01013463300"</f>
        <v>01013463300</v>
      </c>
      <c r="B2918" s="1" t="str">
        <f>"CONROY C ADAM"</f>
        <v>CONROY C ADAM</v>
      </c>
      <c r="C2918" s="1" t="str">
        <f>"WEDGEWOOD DR HOLLY HILL 5 LOT 589"</f>
        <v>WEDGEWOOD DR HOLLY HILL 5 LOT 589</v>
      </c>
      <c r="D2918" s="1">
        <v>159.32</v>
      </c>
    </row>
    <row r="2919" spans="1:4" x14ac:dyDescent="0.3">
      <c r="A2919" s="1" t="str">
        <f>"01030710100"</f>
        <v>01030710100</v>
      </c>
      <c r="B2919" s="1" t="str">
        <f>"CONROY MARY"</f>
        <v>CONROY MARY</v>
      </c>
      <c r="C2919" s="1" t="str">
        <f>"WESTWOOD RD WEBSTER ESTATE PT 16' ALLEY (0.044 ACRE)"</f>
        <v>WESTWOOD RD WEBSTER ESTATE PT 16' ALLEY (0.044 ACRE)</v>
      </c>
      <c r="D2919" s="1">
        <v>847.4</v>
      </c>
    </row>
    <row r="2920" spans="1:4" x14ac:dyDescent="0.3">
      <c r="A2920" s="1" t="str">
        <f>"01008659000"</f>
        <v>01008659000</v>
      </c>
      <c r="B2920" s="1" t="str">
        <f>"CONROY MARY M"</f>
        <v>CONROY MARY M</v>
      </c>
      <c r="C2920" s="1" t="str">
        <f>"WESTWOOD RD WEBSTER ESTATE LOT 84"</f>
        <v>WESTWOOD RD WEBSTER ESTATE LOT 84</v>
      </c>
      <c r="D2920" s="1">
        <v>2633.39</v>
      </c>
    </row>
    <row r="2921" spans="1:4" x14ac:dyDescent="0.3">
      <c r="A2921" s="1" t="str">
        <f>"02000074000"</f>
        <v>02000074000</v>
      </c>
      <c r="B2921" s="1" t="str">
        <f>"CONTE SUONG"</f>
        <v>CONTE SUONG</v>
      </c>
      <c r="C2921" s="1" t="str">
        <f>"683  EUCLAIRE AVE RIDERS LOT 19"</f>
        <v>683  EUCLAIRE AVE RIDERS LOT 19</v>
      </c>
      <c r="D2921" s="1">
        <v>3675.94</v>
      </c>
    </row>
    <row r="2922" spans="1:4" x14ac:dyDescent="0.3">
      <c r="A2922" s="1" t="str">
        <f>"12000122600"</f>
        <v>12000122600</v>
      </c>
      <c r="B2922" s="1" t="str">
        <f>"CONTROGUERRA LUCILLE T"</f>
        <v>CONTROGUERRA LUCILLE T</v>
      </c>
      <c r="C2922" s="1" t="str">
        <f>"4261 ABBEY CHASE COURT FINAL PLAT OF ABBEY CHASE LOT 13"</f>
        <v>4261 ABBEY CHASE COURT FINAL PLAT OF ABBEY CHASE LOT 13</v>
      </c>
      <c r="D2922" s="1">
        <v>1207.51</v>
      </c>
    </row>
    <row r="2923" spans="1:4" x14ac:dyDescent="0.3">
      <c r="A2923" s="1" t="str">
        <f>"07001189300"</f>
        <v>07001189300</v>
      </c>
      <c r="B2923" s="1" t="str">
        <f>"CONVERSE CHRISTOPHER C, CONVERSE SUSAN L"</f>
        <v>CONVERSE CHRISTOPHER C, CONVERSE SUSAN L</v>
      </c>
      <c r="C2923" s="1" t="str">
        <f>"4400 SQUIRREL BEND R19 T1 1/4T 1-2 3.066 ACRES"</f>
        <v>4400 SQUIRREL BEND R19 T1 1/4T 1-2 3.066 ACRES</v>
      </c>
      <c r="D2923" s="1">
        <v>12839.68</v>
      </c>
    </row>
    <row r="2924" spans="1:4" x14ac:dyDescent="0.3">
      <c r="A2924" s="1" t="str">
        <f>"01001437000"</f>
        <v>01001437000</v>
      </c>
      <c r="B2924" s="1" t="str">
        <f>"CONVERSE GARY L LLP"</f>
        <v>CONVERSE GARY L LLP</v>
      </c>
      <c r="C2924" s="1" t="str">
        <f>"1553-55 W 7TH AVE GYPSYLAND LOT 68-69-70"</f>
        <v>1553-55 W 7TH AVE GYPSYLAND LOT 68-69-70</v>
      </c>
      <c r="D2924" s="1">
        <v>550</v>
      </c>
    </row>
    <row r="2925" spans="1:4" x14ac:dyDescent="0.3">
      <c r="A2925" s="1" t="str">
        <f>"07000282000"</f>
        <v>07000282000</v>
      </c>
      <c r="B2925" s="1" t="str">
        <f>"CONWAY DANIEL R, CONWAY ROBIN W"</f>
        <v>CONWAY DANIEL R, CONWAY ROBIN W</v>
      </c>
      <c r="C2925" s="1" t="str">
        <f>"WYANDOTTE RD UPPER ARLINGTON LOT 1-2 BLK 153"</f>
        <v>WYANDOTTE RD UPPER ARLINGTON LOT 1-2 BLK 153</v>
      </c>
      <c r="D2925" s="1">
        <v>1095.96</v>
      </c>
    </row>
    <row r="2926" spans="1:4" x14ac:dyDescent="0.3">
      <c r="A2926" s="1" t="str">
        <f>"02500482000"</f>
        <v>02500482000</v>
      </c>
      <c r="B2926" s="1" t="str">
        <f>"CONWAY LAWRENCE D, CONWAY BARBARA C"</f>
        <v>CONWAY LAWRENCE D, CONWAY BARBARA C</v>
      </c>
      <c r="C2926" s="1" t="str">
        <f>"506 TRESHAM ROAD FOXBORO NO 4 LOT 143"</f>
        <v>506 TRESHAM ROAD FOXBORO NO 4 LOT 143</v>
      </c>
      <c r="D2926" s="1">
        <v>6448.44</v>
      </c>
    </row>
    <row r="2927" spans="1:4" x14ac:dyDescent="0.3">
      <c r="A2927" s="1" t="str">
        <f>"27300501200"</f>
        <v>27300501200</v>
      </c>
      <c r="B2927" s="1" t="str">
        <f>"CONWAY SCOTT D"</f>
        <v>CONWAY SCOTT D</v>
      </c>
      <c r="C2927" s="1" t="str">
        <f>"7944 JAYMES STREET TREETOPS AT BRANDON CONDO 2 AMD UNIT 32"</f>
        <v>7944 JAYMES STREET TREETOPS AT BRANDON CONDO 2 AMD UNIT 32</v>
      </c>
      <c r="D2927" s="1">
        <v>334.83</v>
      </c>
    </row>
    <row r="2928" spans="1:4" x14ac:dyDescent="0.3">
      <c r="A2928" s="1" t="str">
        <f>"27300501300"</f>
        <v>27300501300</v>
      </c>
      <c r="B2928" s="1" t="str">
        <f>"CONWAY SCOTT D"</f>
        <v>CONWAY SCOTT D</v>
      </c>
      <c r="C2928" s="1" t="str">
        <f>"7936 JAYMES STREET TREETOPS AT BRANDON CONDO 2 AMD UNIT 33"</f>
        <v>7936 JAYMES STREET TREETOPS AT BRANDON CONDO 2 AMD UNIT 33</v>
      </c>
      <c r="D2928" s="1">
        <v>362.29</v>
      </c>
    </row>
    <row r="2929" spans="1:4" x14ac:dyDescent="0.3">
      <c r="A2929" s="1" t="str">
        <f>"17000259100"</f>
        <v>17000259100</v>
      </c>
      <c r="B2929" s="1" t="str">
        <f>"COOK BRYAN T, COOK MICAH"</f>
        <v>COOK BRYAN T, COOK MICAH</v>
      </c>
      <c r="C2929" s="1" t="str">
        <f>"HAVENS ROAD LOT 14 (1.000 ACRE) HAVENSCOURT PHASE 1"</f>
        <v>HAVENS ROAD LOT 14 (1.000 ACRE) HAVENSCOURT PHASE 1</v>
      </c>
      <c r="D2929" s="1">
        <v>7720.31</v>
      </c>
    </row>
    <row r="2930" spans="1:4" x14ac:dyDescent="0.3">
      <c r="A2930" s="1" t="str">
        <f>"60020652700"</f>
        <v>60020652700</v>
      </c>
      <c r="B2930" s="1" t="str">
        <f>"COOK CHARLES C"</f>
        <v>COOK CHARLES C</v>
      </c>
      <c r="C2930" s="1" t="str">
        <f>"RAVINE AT STRAWBERRY FARMS SEC 3 LOT 69 "</f>
        <v xml:space="preserve">RAVINE AT STRAWBERRY FARMS SEC 3 LOT 69 </v>
      </c>
      <c r="D2930" s="1">
        <v>217.28</v>
      </c>
    </row>
    <row r="2931" spans="1:4" x14ac:dyDescent="0.3">
      <c r="A2931" s="1" t="str">
        <f>"06000751900"</f>
        <v>06000751900</v>
      </c>
      <c r="B2931" s="1" t="str">
        <f>"COOK COUNSELING AND CONSULTING INC"</f>
        <v>COOK COUNSELING AND CONSULTING INC</v>
      </c>
      <c r="C2931" s="1" t="str">
        <f>"SLATE RIDGE OFFICE PARK CONDO 1ST AMD UNIT 7610"</f>
        <v>SLATE RIDGE OFFICE PARK CONDO 1ST AMD UNIT 7610</v>
      </c>
      <c r="D2931" s="1">
        <v>6308.89</v>
      </c>
    </row>
    <row r="2932" spans="1:4" x14ac:dyDescent="0.3">
      <c r="A2932" s="1" t="str">
        <f>"02501225200"</f>
        <v>02501225200</v>
      </c>
      <c r="B2932" s="1" t="str">
        <f>"COOK COUNSELING AND CONSULTING INC"</f>
        <v>COOK COUNSELING AND CONSULTING INC</v>
      </c>
      <c r="C2932" s="1" t="str">
        <f>"CROSSROADS COMMERCE       CENTER BUILDING 1         CONDOMINIUMS UNIT 800D   "</f>
        <v xml:space="preserve">CROSSROADS COMMERCE       CENTER BUILDING 1         CONDOMINIUMS UNIT 800D   </v>
      </c>
      <c r="D2932" s="1">
        <v>4979.18</v>
      </c>
    </row>
    <row r="2933" spans="1:4" x14ac:dyDescent="0.3">
      <c r="A2933" s="1" t="str">
        <f>"22200381700"</f>
        <v>22200381700</v>
      </c>
      <c r="B2933" s="1" t="str">
        <f>"COOK DESIREE"</f>
        <v>COOK DESIREE</v>
      </c>
      <c r="C2933" s="1" t="str">
        <f>"5360 FORT WARD DRIVE      TIDEWATER AT NEW ALBANY   LOT 46                   "</f>
        <v xml:space="preserve">5360 FORT WARD DRIVE      TIDEWATER AT NEW ALBANY   LOT 46                   </v>
      </c>
      <c r="D2933" s="1">
        <v>10675.7</v>
      </c>
    </row>
    <row r="2934" spans="1:4" x14ac:dyDescent="0.3">
      <c r="A2934" s="1" t="str">
        <f>"04000064900"</f>
        <v>04000064900</v>
      </c>
      <c r="B2934" s="1" t="str">
        <f>"COOK KATHY A"</f>
        <v>COOK KATHY A</v>
      </c>
      <c r="C2934" s="1" t="str">
        <f>"ELM STREET SMITH LOTS 6-7"</f>
        <v>ELM STREET SMITH LOTS 6-7</v>
      </c>
      <c r="D2934" s="1">
        <v>1863.53</v>
      </c>
    </row>
    <row r="2935" spans="1:4" x14ac:dyDescent="0.3">
      <c r="A2935" s="1" t="str">
        <f>"01014862900"</f>
        <v>01014862900</v>
      </c>
      <c r="B2935" s="1" t="str">
        <f>"COOK LOUISE V"</f>
        <v>COOK LOUISE V</v>
      </c>
      <c r="C2935" s="1" t="str">
        <f>"BAR HARBOR PLACE BRITTANY HILLS LOT 99"</f>
        <v>BAR HARBOR PLACE BRITTANY HILLS LOT 99</v>
      </c>
      <c r="D2935" s="1">
        <v>2014.79</v>
      </c>
    </row>
    <row r="2936" spans="1:4" x14ac:dyDescent="0.3">
      <c r="A2936" s="1" t="str">
        <f>"01006462400"</f>
        <v>01006462400</v>
      </c>
      <c r="B2936" s="1" t="str">
        <f>"COOK MATT"</f>
        <v>COOK MATT</v>
      </c>
      <c r="C2936" s="1" t="str">
        <f>"HURON AVE BRAODVIEW LOT 14 BLK 12"</f>
        <v>HURON AVE BRAODVIEW LOT 14 BLK 12</v>
      </c>
      <c r="D2936" s="1">
        <v>4112.7700000000004</v>
      </c>
    </row>
    <row r="2937" spans="1:4" x14ac:dyDescent="0.3">
      <c r="A2937" s="1" t="str">
        <f>"01002265200"</f>
        <v>01002265200</v>
      </c>
      <c r="B2937" s="1" t="str">
        <f>"COOK RICKIE"</f>
        <v>COOK RICKIE</v>
      </c>
      <c r="C2937" s="1" t="str">
        <f>"598 MARKISON AVE W MERION EXRS LOT 481"</f>
        <v>598 MARKISON AVE W MERION EXRS LOT 481</v>
      </c>
      <c r="D2937" s="1">
        <v>2128.73</v>
      </c>
    </row>
    <row r="2938" spans="1:4" x14ac:dyDescent="0.3">
      <c r="A2938" s="1" t="str">
        <f>"04000450200"</f>
        <v>04000450200</v>
      </c>
      <c r="B2938" s="1" t="str">
        <f>"COOK ROBERT L, COOK REBECCA A"</f>
        <v>COOK ROBERT L, COOK REBECCA A</v>
      </c>
      <c r="C2938" s="1" t="str">
        <f>"3372 LIBERTY STREET WASHINGTONS SURVEY LOT 54"</f>
        <v>3372 LIBERTY STREET WASHINGTONS SURVEY LOT 54</v>
      </c>
      <c r="D2938" s="1">
        <v>203.91</v>
      </c>
    </row>
    <row r="2939" spans="1:4" x14ac:dyDescent="0.3">
      <c r="A2939" s="1" t="str">
        <f>"22200113100"</f>
        <v>22200113100</v>
      </c>
      <c r="B2939" s="1" t="str">
        <f>"COOK TIMOTHY J JR"</f>
        <v>COOK TIMOTHY J JR</v>
      </c>
      <c r="C2939" s="1" t="str">
        <f>"THE NEW ALBANY COUNTRY CLUB SEC 4 LOT 77"</f>
        <v>THE NEW ALBANY COUNTRY CLUB SEC 4 LOT 77</v>
      </c>
      <c r="D2939" s="1">
        <v>15204.26</v>
      </c>
    </row>
    <row r="2940" spans="1:4" x14ac:dyDescent="0.3">
      <c r="A2940" s="1" t="str">
        <f>"06000084000"</f>
        <v>06000084000</v>
      </c>
      <c r="B2940" s="1" t="str">
        <f>"COOKE MICHAEL SCOTT"</f>
        <v>COOKE MICHAEL SCOTT</v>
      </c>
      <c r="C2940" s="1" t="str">
        <f>"LEBANON COURT BROOKSIDE PK 2  416 "</f>
        <v xml:space="preserve">LEBANON COURT BROOKSIDE PK 2  416 </v>
      </c>
      <c r="D2940" s="1">
        <v>188.06</v>
      </c>
    </row>
    <row r="2941" spans="1:4" x14ac:dyDescent="0.3">
      <c r="A2941" s="1" t="str">
        <f>"57016970300"</f>
        <v>57016970300</v>
      </c>
      <c r="B2941" s="1" t="str">
        <f>"COOK-MEEK WILMA"</f>
        <v>COOK-MEEK WILMA</v>
      </c>
      <c r="C2941" s="1" t="str">
        <f>"ALLENBY COURT AMD LEHNERT FARM 1 LOT 11"</f>
        <v>ALLENBY COURT AMD LEHNERT FARM 1 LOT 11</v>
      </c>
      <c r="D2941" s="1">
        <v>3063.9</v>
      </c>
    </row>
    <row r="2942" spans="1:4" x14ac:dyDescent="0.3">
      <c r="A2942" s="1" t="str">
        <f>"16100106100"</f>
        <v>16100106100</v>
      </c>
      <c r="B2942" s="1" t="str">
        <f>"COOLEY RICHARD E"</f>
        <v>COOLEY RICHARD E</v>
      </c>
      <c r="C2942" s="1" t="str">
        <f>"3RD AVE COOLEYS URBANCREST 2"</f>
        <v>3RD AVE COOLEYS URBANCREST 2</v>
      </c>
      <c r="D2942" s="1">
        <v>62.35</v>
      </c>
    </row>
    <row r="2943" spans="1:4" x14ac:dyDescent="0.3">
      <c r="A2943" s="1" t="str">
        <f>"57015980500"</f>
        <v>57015980500</v>
      </c>
      <c r="B2943" s="1" t="str">
        <f>"COON BRITTANY E, TRENT BRIANNE A"</f>
        <v>COON BRITTANY E, TRENT BRIANNE A</v>
      </c>
      <c r="C2943" s="1" t="str">
        <f>"HARDESTY HEIGHTS CONDOMINIUM G LOT G-14"</f>
        <v>HARDESTY HEIGHTS CONDOMINIUM G LOT G-14</v>
      </c>
      <c r="D2943" s="1">
        <v>103.24</v>
      </c>
    </row>
    <row r="2944" spans="1:4" x14ac:dyDescent="0.3">
      <c r="A2944" s="1" t="str">
        <f>"15100011200"</f>
        <v>15100011200</v>
      </c>
      <c r="B2944" s="1" t="str">
        <f>"COON RALPH E"</f>
        <v>COON RALPH E</v>
      </c>
      <c r="C2944" s="1" t="str">
        <f>"141 COMMERCE ST ES 12&amp;30FT WS 14 12-14"</f>
        <v>141 COMMERCE ST ES 12&amp;30FT WS 14 12-14</v>
      </c>
      <c r="D2944" s="1">
        <v>2585.42</v>
      </c>
    </row>
    <row r="2945" spans="1:4" x14ac:dyDescent="0.3">
      <c r="A2945" s="1" t="str">
        <f>"56021719300"</f>
        <v>56021719300</v>
      </c>
      <c r="B2945" s="1" t="str">
        <f>"COONS CARTER TTEE"</f>
        <v>COONS CARTER TTEE</v>
      </c>
      <c r="C2945" s="1" t="str">
        <f>"SKYTRAIL DRIVE WESTWIND SEC 3 PT 2 LOT 202"</f>
        <v>SKYTRAIL DRIVE WESTWIND SEC 3 PT 2 LOT 202</v>
      </c>
      <c r="D2945" s="1">
        <v>382.68</v>
      </c>
    </row>
    <row r="2946" spans="1:4" x14ac:dyDescent="0.3">
      <c r="A2946" s="1" t="str">
        <f>"01029608900"</f>
        <v>01029608900</v>
      </c>
      <c r="B2946" s="1" t="str">
        <f>"COOPER &amp; BREWER LLC"</f>
        <v>COOPER &amp; BREWER LLC</v>
      </c>
      <c r="C2946" s="1" t="str">
        <f>"ALUM CREEK DRIVE R22 T5 S23-4 1.181 ACRES"</f>
        <v>ALUM CREEK DRIVE R22 T5 S23-4 1.181 ACRES</v>
      </c>
      <c r="D2946" s="1">
        <v>994.67</v>
      </c>
    </row>
    <row r="2947" spans="1:4" x14ac:dyDescent="0.3">
      <c r="A2947" s="1" t="str">
        <f>"04001210900"</f>
        <v>04001210900</v>
      </c>
      <c r="B2947" s="1" t="str">
        <f>"COOPER ELIZABETH"</f>
        <v>COOPER ELIZABETH</v>
      </c>
      <c r="C2947" s="1" t="str">
        <f>"GOLDSTONE DRIVE GRANT RUN ESTATES SEC 3 LOT 97"</f>
        <v>GOLDSTONE DRIVE GRANT RUN ESTATES SEC 3 LOT 97</v>
      </c>
      <c r="D2947" s="1">
        <v>5376.71</v>
      </c>
    </row>
    <row r="2948" spans="1:4" x14ac:dyDescent="0.3">
      <c r="A2948" s="1" t="str">
        <f>"02501068800"</f>
        <v>02501068800</v>
      </c>
      <c r="B2948" s="1" t="str">
        <f>"COOPER ELIZABETH MCCUTCHAN TR"</f>
        <v>COOPER ELIZABETH MCCUTCHAN TR</v>
      </c>
      <c r="C2948" s="1" t="str">
        <f>"THE ESTATES OF ROCKY FORK SECTION 2 LOT 33"</f>
        <v>THE ESTATES OF ROCKY FORK SECTION 2 LOT 33</v>
      </c>
      <c r="D2948" s="1">
        <v>6592.5</v>
      </c>
    </row>
    <row r="2949" spans="1:4" x14ac:dyDescent="0.3">
      <c r="A2949" s="1" t="str">
        <f>"01006001100"</f>
        <v>01006001100</v>
      </c>
      <c r="B2949" s="1" t="str">
        <f>"COOPER JOSEPH, TOWNS PRISCILLA, ESTATE OF BRYAN HOLLOWAY, HOLLOWAY JOHN JR, HOLLOWAY BARBARA, ESTATE OF BRENDA COOPER, COOPER RICKY"</f>
        <v>COOPER JOSEPH, TOWNS PRISCILLA, ESTATE OF BRYAN HOLLOWAY, HOLLOWAY JOHN JR, HOLLOWAY BARBARA, ESTATE OF BRENDA COOPER, COOPER RICKY</v>
      </c>
      <c r="C2949" s="1" t="str">
        <f>"1577 GENESSEE LINDEN LOT 887"</f>
        <v>1577 GENESSEE LINDEN LOT 887</v>
      </c>
      <c r="D2949" s="1">
        <v>1819.86</v>
      </c>
    </row>
    <row r="2950" spans="1:4" x14ac:dyDescent="0.3">
      <c r="A2950" s="1" t="str">
        <f>"57016313800"</f>
        <v>57016313800</v>
      </c>
      <c r="B2950" s="1" t="str">
        <f>"COOPER KIMBERLY"</f>
        <v>COOPER KIMBERLY</v>
      </c>
      <c r="C2950" s="1" t="str">
        <f>"OLD HICKORY DR CRESTWOOD ESTATES LOT 14"</f>
        <v>OLD HICKORY DR CRESTWOOD ESTATES LOT 14</v>
      </c>
      <c r="D2950" s="1">
        <v>2293.41</v>
      </c>
    </row>
    <row r="2951" spans="1:4" x14ac:dyDescent="0.3">
      <c r="A2951" s="1" t="str">
        <f>"01015235200"</f>
        <v>01015235200</v>
      </c>
      <c r="B2951" s="1" t="str">
        <f>"COOPER RANDALL F, COOPER LISA A"</f>
        <v>COOPER RANDALL F, COOPER LISA A</v>
      </c>
      <c r="C2951" s="1" t="str">
        <f>"SAVILLE ROW HYDE PARK PLAT 2 LOT 184"</f>
        <v>SAVILLE ROW HYDE PARK PLAT 2 LOT 184</v>
      </c>
      <c r="D2951" s="1">
        <v>1216.5</v>
      </c>
    </row>
    <row r="2952" spans="1:4" x14ac:dyDescent="0.3">
      <c r="A2952" s="1" t="str">
        <f>"01018683400"</f>
        <v>01018683400</v>
      </c>
      <c r="B2952" s="1" t="str">
        <f>"COOPER TARA L"</f>
        <v>COOPER TARA L</v>
      </c>
      <c r="C2952" s="1" t="str">
        <f>"REDAPPLE RIDGE APPLEWAY EAST CONDO UNIT 5837 BLDG 1"</f>
        <v>REDAPPLE RIDGE APPLEWAY EAST CONDO UNIT 5837 BLDG 1</v>
      </c>
      <c r="D2952" s="1">
        <v>453.35</v>
      </c>
    </row>
    <row r="2953" spans="1:4" x14ac:dyDescent="0.3">
      <c r="A2953" s="1" t="str">
        <f>"08000417700"</f>
        <v>08000417700</v>
      </c>
      <c r="B2953" s="1" t="str">
        <f>"COOPER WILLIAM L, COOPER TERESA M"</f>
        <v>COOPER WILLIAM L, COOPER TERESA M</v>
      </c>
      <c r="C2953" s="1" t="str">
        <f>"BOMBAY AVE HERBERT C HUBER PLAT NO 49 SEC 4 LOT 2213"</f>
        <v>BOMBAY AVE HERBERT C HUBER PLAT NO 49 SEC 4 LOT 2213</v>
      </c>
      <c r="D2953" s="1">
        <v>195.76</v>
      </c>
    </row>
    <row r="2954" spans="1:4" x14ac:dyDescent="0.3">
      <c r="A2954" s="1" t="str">
        <f>"01011270700"</f>
        <v>01011270700</v>
      </c>
      <c r="B2954" s="1" t="str">
        <f>"COPAS PEARL C"</f>
        <v>COPAS PEARL C</v>
      </c>
      <c r="C2954" s="1" t="str">
        <f>"60 BENFIELD AVE SOUTH HIGH ST LOT 103"</f>
        <v>60 BENFIELD AVE SOUTH HIGH ST LOT 103</v>
      </c>
      <c r="D2954" s="1">
        <v>1961.82</v>
      </c>
    </row>
    <row r="2955" spans="1:4" x14ac:dyDescent="0.3">
      <c r="A2955" s="1" t="str">
        <f>"01013102300"</f>
        <v>01013102300</v>
      </c>
      <c r="B2955" s="1" t="str">
        <f>"COPAS WALTER E"</f>
        <v>COPAS WALTER E</v>
      </c>
      <c r="C2955" s="1" t="str">
        <f>"851 HILOCK AVE HIGHLAND ADD LOT 25"</f>
        <v>851 HILOCK AVE HIGHLAND ADD LOT 25</v>
      </c>
      <c r="D2955" s="1">
        <v>1298.3499999999999</v>
      </c>
    </row>
    <row r="2956" spans="1:4" x14ac:dyDescent="0.3">
      <c r="A2956" s="1" t="str">
        <f>"04000162700"</f>
        <v>04000162700</v>
      </c>
      <c r="B2956" s="1" t="str">
        <f>"COPE MICHAEL DONOVAN, COPE DARLENE SUE"</f>
        <v>COPE MICHAEL DONOVAN, COPE DARLENE SUE</v>
      </c>
      <c r="C2956" s="1" t="str">
        <f>"4176 BEECHGROVE DR BROOKGROVE 107 "</f>
        <v xml:space="preserve">4176 BEECHGROVE DR BROOKGROVE 107 </v>
      </c>
      <c r="D2956" s="1">
        <v>1844.19</v>
      </c>
    </row>
    <row r="2957" spans="1:4" x14ac:dyDescent="0.3">
      <c r="A2957" s="1" t="str">
        <f>"01019446600"</f>
        <v>01019446600</v>
      </c>
      <c r="B2957" s="1" t="str">
        <f>"COPELAN EDWARD A"</f>
        <v>COPELAN EDWARD A</v>
      </c>
      <c r="C2957" s="1" t="str">
        <f>"1333B LAKE SHORE DR HIDDEN LK CONO PH3 UNIT 188 BL 12 CP B6"</f>
        <v>1333B LAKE SHORE DR HIDDEN LK CONO PH3 UNIT 188 BL 12 CP B6</v>
      </c>
      <c r="D2957" s="1">
        <v>5588.26</v>
      </c>
    </row>
    <row r="2958" spans="1:4" x14ac:dyDescent="0.3">
      <c r="A2958" s="1" t="str">
        <f>"01014996100"</f>
        <v>01014996100</v>
      </c>
      <c r="B2958" s="1" t="str">
        <f>"COPELAND CHERYL A"</f>
        <v>COPELAND CHERYL A</v>
      </c>
      <c r="C2958" s="1" t="str">
        <f>"CLARKSTON LANE LEXINGTON SECT NO 3 LOT 354"</f>
        <v>CLARKSTON LANE LEXINGTON SECT NO 3 LOT 354</v>
      </c>
      <c r="D2958" s="1">
        <v>1151.4000000000001</v>
      </c>
    </row>
    <row r="2959" spans="1:4" x14ac:dyDescent="0.3">
      <c r="A2959" s="1" t="str">
        <f>"09000144100"</f>
        <v>09000144100</v>
      </c>
      <c r="B2959" s="1" t="str">
        <f>"COPELAND GLEN E, COPELAND JEAN A"</f>
        <v>COPELAND GLEN E, COPELAND JEAN A</v>
      </c>
      <c r="C2959" s="1" t="str">
        <f>"4566 ST ANTHONY LN NORTON FIELD PLAT 2 LOT 536"</f>
        <v>4566 ST ANTHONY LN NORTON FIELD PLAT 2 LOT 536</v>
      </c>
      <c r="D2959" s="1">
        <v>334.02</v>
      </c>
    </row>
    <row r="2960" spans="1:4" x14ac:dyDescent="0.3">
      <c r="A2960" s="1" t="str">
        <f>"01028810600"</f>
        <v>01028810600</v>
      </c>
      <c r="B2960" s="1" t="str">
        <f>"COPLEN PHILLIP"</f>
        <v>COPLEN PHILLIP</v>
      </c>
      <c r="C2960" s="1" t="str">
        <f>"ALBANY RESERVE CONDOMINIUM COMMUNITY 3RD AMD UNIT 6257"</f>
        <v>ALBANY RESERVE CONDOMINIUM COMMUNITY 3RD AMD UNIT 6257</v>
      </c>
      <c r="D2960" s="1">
        <v>163.38999999999999</v>
      </c>
    </row>
    <row r="2961" spans="1:4" x14ac:dyDescent="0.3">
      <c r="A2961" s="1" t="str">
        <f>"01019752000"</f>
        <v>01019752000</v>
      </c>
      <c r="B2961" s="1" t="str">
        <f>"COPLEY ELIZA"</f>
        <v>COPLEY ELIZA</v>
      </c>
      <c r="C2961" s="1" t="str">
        <f>"FOX CHAPLE DR WALNUT BLUFF 6 LOT 1315"</f>
        <v>FOX CHAPLE DR WALNUT BLUFF 6 LOT 1315</v>
      </c>
      <c r="D2961" s="1">
        <v>136.78</v>
      </c>
    </row>
    <row r="2962" spans="1:4" x14ac:dyDescent="0.3">
      <c r="A2962" s="1" t="str">
        <f>"15300056000"</f>
        <v>15300056000</v>
      </c>
      <c r="B2962" s="1" t="str">
        <f>"COPLEY PALMER, COPLEY LINDA"</f>
        <v>COPLEY PALMER, COPLEY LINDA</v>
      </c>
      <c r="C2962" s="1" t="str">
        <f>"BRIDLEWOOD BLVD BRIDLEWOOD NO II LOT 147"</f>
        <v>BRIDLEWOOD BLVD BRIDLEWOOD NO II LOT 147</v>
      </c>
      <c r="D2962" s="1">
        <v>167.76</v>
      </c>
    </row>
    <row r="2963" spans="1:4" x14ac:dyDescent="0.3">
      <c r="A2963" s="1" t="str">
        <f>"01018524100"</f>
        <v>01018524100</v>
      </c>
      <c r="B2963" s="1" t="str">
        <f>"COPPESS JORDAN E, COPPESS MICHELE R"</f>
        <v>COPPESS JORDAN E, COPPESS MICHELE R</v>
      </c>
      <c r="C2963" s="1" t="str">
        <f>"MORSETOWN CT BRENTWOOD CONDO UNIT 3055 BLDG 3"</f>
        <v>MORSETOWN CT BRENTWOOD CONDO UNIT 3055 BLDG 3</v>
      </c>
      <c r="D2963" s="1">
        <v>1088.26</v>
      </c>
    </row>
    <row r="2964" spans="1:4" x14ac:dyDescent="0.3">
      <c r="A2964" s="1" t="str">
        <f>"10000204700"</f>
        <v>10000204700</v>
      </c>
      <c r="B2964" s="1" t="str">
        <f>"COPSEY LINDA"</f>
        <v>COPSEY LINDA</v>
      </c>
      <c r="C2964" s="1" t="str">
        <f>"228 PINGREE DR WORTHINGTON PK 1 LOT 48"</f>
        <v>228 PINGREE DR WORTHINGTON PK 1 LOT 48</v>
      </c>
      <c r="D2964" s="1">
        <v>3456.39</v>
      </c>
    </row>
    <row r="2965" spans="1:4" x14ac:dyDescent="0.3">
      <c r="A2965" s="1" t="str">
        <f>"57015547000"</f>
        <v>57015547000</v>
      </c>
      <c r="B2965" s="1" t="str">
        <f>"CORBETT DAVID S, CORBETT BARBARA E"</f>
        <v>CORBETT DAVID S, CORBETT BARBARA E</v>
      </c>
      <c r="C2965" s="1" t="str">
        <f>"LONDONBERRY AVE IRISH HILLS LOT 76"</f>
        <v>LONDONBERRY AVE IRISH HILLS LOT 76</v>
      </c>
      <c r="D2965" s="1">
        <v>141.49</v>
      </c>
    </row>
    <row r="2966" spans="1:4" x14ac:dyDescent="0.3">
      <c r="A2966" s="1" t="str">
        <f>"25000560900"</f>
        <v>25000560900</v>
      </c>
      <c r="B2966" s="1" t="str">
        <f>"CORBITT CHESTER R, CORBITT DICKIE N"</f>
        <v>CORBITT CHESTER R, CORBITT DICKIE N</v>
      </c>
      <c r="C2966" s="1" t="str">
        <f>"MELYERS COURT FLINT RIDGE TERRACE LOT 14"</f>
        <v>MELYERS COURT FLINT RIDGE TERRACE LOT 14</v>
      </c>
      <c r="D2966" s="1">
        <v>8805.86</v>
      </c>
    </row>
    <row r="2967" spans="1:4" x14ac:dyDescent="0.3">
      <c r="A2967" s="1" t="str">
        <f>"02500403300"</f>
        <v>02500403300</v>
      </c>
      <c r="B2967" s="1" t="str">
        <f>"CORDER DONALD J"</f>
        <v>CORDER DONALD J</v>
      </c>
      <c r="C2967" s="1" t="str">
        <f>"612 JONSOL CT CLARMAN HEIGHTS 2 LOT 44"</f>
        <v>612 JONSOL CT CLARMAN HEIGHTS 2 LOT 44</v>
      </c>
      <c r="D2967" s="1">
        <v>322.43</v>
      </c>
    </row>
    <row r="2968" spans="1:4" x14ac:dyDescent="0.3">
      <c r="A2968" s="1" t="str">
        <f>"01014954900"</f>
        <v>01014954900</v>
      </c>
      <c r="B2968" s="1" t="str">
        <f>"CORDER JEFFREY L, CORDER REGINA M"</f>
        <v>CORDER JEFFREY L, CORDER REGINA M</v>
      </c>
      <c r="C2968" s="1" t="str">
        <f>"KINDERLY DR LEXINGTON SECTION #1 LOT 111"</f>
        <v>KINDERLY DR LEXINGTON SECTION #1 LOT 111</v>
      </c>
      <c r="D2968" s="1">
        <v>2750.1</v>
      </c>
    </row>
    <row r="2969" spans="1:4" x14ac:dyDescent="0.3">
      <c r="A2969" s="1" t="str">
        <f>"60026390300"</f>
        <v>60026390300</v>
      </c>
      <c r="B2969" s="1" t="str">
        <f>"CORDERO GRETCHEN G"</f>
        <v>CORDERO GRETCHEN G</v>
      </c>
      <c r="C2969" s="1" t="str">
        <f>"KENSINGTON WOODS CONDOMINIUM 3RD AMD BLDG 1 UNIT 3945"</f>
        <v>KENSINGTON WOODS CONDOMINIUM 3RD AMD BLDG 1 UNIT 3945</v>
      </c>
      <c r="D2969" s="1">
        <v>2950.33</v>
      </c>
    </row>
    <row r="2970" spans="1:4" x14ac:dyDescent="0.3">
      <c r="A2970" s="1" t="str">
        <f>"57015406500"</f>
        <v>57015406500</v>
      </c>
      <c r="B2970" s="1" t="str">
        <f>"CORDIAL DOUGLAS J"</f>
        <v>CORDIAL DOUGLAS J</v>
      </c>
      <c r="C2970" s="1" t="str">
        <f>"RIPPLE BROOK RD RIVER BEND SEC 4 LOT 482"</f>
        <v>RIPPLE BROOK RD RIVER BEND SEC 4 LOT 482</v>
      </c>
      <c r="D2970" s="1">
        <v>3539.4</v>
      </c>
    </row>
    <row r="2971" spans="1:4" x14ac:dyDescent="0.3">
      <c r="A2971" s="1" t="str">
        <f>"01013845500"</f>
        <v>01013845500</v>
      </c>
      <c r="B2971" s="1" t="str">
        <f>"CORDIAL LOWELL G, CORDIAL PAMELA S"</f>
        <v>CORDIAL LOWELL G, CORDIAL PAMELA S</v>
      </c>
      <c r="C2971" s="1" t="str">
        <f>"LEXMONT RD HOLLY HILL 8 LOT 691"</f>
        <v>LEXMONT RD HOLLY HILL 8 LOT 691</v>
      </c>
      <c r="D2971" s="1">
        <v>131.82</v>
      </c>
    </row>
    <row r="2972" spans="1:4" x14ac:dyDescent="0.3">
      <c r="A2972" s="1" t="str">
        <f>"13000190700"</f>
        <v>13000190700</v>
      </c>
      <c r="B2972" s="1" t="str">
        <f>"CORDIANO ANGELA D"</f>
        <v>CORDIANO ANGELA D</v>
      </c>
      <c r="C2972" s="1" t="str">
        <f>"FERRIS RD NORTH LINDEN 1 274 "</f>
        <v xml:space="preserve">FERRIS RD NORTH LINDEN 1 274 </v>
      </c>
      <c r="D2972" s="1">
        <v>152.93</v>
      </c>
    </row>
    <row r="2973" spans="1:4" x14ac:dyDescent="0.3">
      <c r="A2973" s="1" t="str">
        <f>"02501287700"</f>
        <v>02501287700</v>
      </c>
      <c r="B2973" s="1" t="str">
        <f>"CORDIANO WANDA J TTEE, CORDIANO JOSEPH D TTEE"</f>
        <v>CORDIANO WANDA J TTEE, CORDIANO JOSEPH D TTEE</v>
      </c>
      <c r="C2973" s="1" t="str">
        <f>"179 STONEGATE CIRCLE STONEGATE LOT 2"</f>
        <v>179 STONEGATE CIRCLE STONEGATE LOT 2</v>
      </c>
      <c r="D2973" s="1">
        <v>466.29</v>
      </c>
    </row>
    <row r="2974" spans="1:4" x14ac:dyDescent="0.3">
      <c r="A2974" s="1" t="str">
        <f>"01012390400"</f>
        <v>01012390400</v>
      </c>
      <c r="B2974" s="1" t="str">
        <f>"CORDLE BEATRICE"</f>
        <v>CORDLE BEATRICE</v>
      </c>
      <c r="C2974" s="1" t="str">
        <f>"CULLMAN RD HILLGATE 3 LOT 134"</f>
        <v>CULLMAN RD HILLGATE 3 LOT 134</v>
      </c>
      <c r="D2974" s="1">
        <v>91.23</v>
      </c>
    </row>
    <row r="2975" spans="1:4" x14ac:dyDescent="0.3">
      <c r="A2975" s="1" t="str">
        <f>"01007813300"</f>
        <v>01007813300</v>
      </c>
      <c r="B2975" s="1" t="str">
        <f>"CORDOBA M A DEJESUS MONTERO"</f>
        <v>CORDOBA M A DEJESUS MONTERO</v>
      </c>
      <c r="C2975" s="1" t="str">
        <f>"708 S S WAYNE AVE WESTLAND EXT LOT 158"</f>
        <v>708 S S WAYNE AVE WESTLAND EXT LOT 158</v>
      </c>
      <c r="D2975" s="1">
        <v>1420.36</v>
      </c>
    </row>
    <row r="2976" spans="1:4" x14ac:dyDescent="0.3">
      <c r="A2976" s="1" t="str">
        <f>"01016106900"</f>
        <v>01016106900</v>
      </c>
      <c r="B2976" s="1" t="str">
        <f>"CORDOVA DOUGLAS MENJIVAR"</f>
        <v>CORDOVA DOUGLAS MENJIVAR</v>
      </c>
      <c r="C2976" s="1" t="str">
        <f>"WOODBROOK CR N WOODBROOK VILLAGE CONDO UNIT 103"</f>
        <v>WOODBROOK CR N WOODBROOK VILLAGE CONDO UNIT 103</v>
      </c>
      <c r="D2976" s="1">
        <v>1667.36</v>
      </c>
    </row>
    <row r="2977" spans="1:4" x14ac:dyDescent="0.3">
      <c r="A2977" s="1" t="str">
        <f>"06000431000"</f>
        <v>06000431000</v>
      </c>
      <c r="B2977" s="1" t="str">
        <f>"CORE MICHAEL P"</f>
        <v>CORE MICHAEL P</v>
      </c>
      <c r="C2977" s="1" t="str">
        <f>"BLACKOAK DR TREEBOURNE VILLAGE LOT 4"</f>
        <v>BLACKOAK DR TREEBOURNE VILLAGE LOT 4</v>
      </c>
      <c r="D2977" s="1">
        <v>4652.41</v>
      </c>
    </row>
    <row r="2978" spans="1:4" x14ac:dyDescent="0.3">
      <c r="A2978" s="1" t="str">
        <f>"06000156300"</f>
        <v>06000156300</v>
      </c>
      <c r="B2978" s="1" t="str">
        <f>"CORE MICHAEL P SU TR"</f>
        <v>CORE MICHAEL P SU TR</v>
      </c>
      <c r="C2978" s="1" t="str">
        <f>"SARATOGA AVE BROOKSIDE PARK 3 LOT 527"</f>
        <v>SARATOGA AVE BROOKSIDE PARK 3 LOT 527</v>
      </c>
      <c r="D2978" s="1">
        <v>3764.54</v>
      </c>
    </row>
    <row r="2979" spans="1:4" x14ac:dyDescent="0.3">
      <c r="A2979" s="1" t="str">
        <f>"01007099500"</f>
        <v>01007099500</v>
      </c>
      <c r="B2979" s="1" t="str">
        <f>"CORI LLC"</f>
        <v>CORI LLC</v>
      </c>
      <c r="C2979" s="1" t="str">
        <f>"UNION AVE LINKES &amp; SCHMIDTS LOT 11"</f>
        <v>UNION AVE LINKES &amp; SCHMIDTS LOT 11</v>
      </c>
      <c r="D2979" s="1">
        <v>1503.65</v>
      </c>
    </row>
    <row r="2980" spans="1:4" x14ac:dyDescent="0.3">
      <c r="A2980" s="1" t="str">
        <f>"51528696800"</f>
        <v>51528696800</v>
      </c>
      <c r="B2980" s="1" t="str">
        <f>"CORIA DANIELA ROSAS"</f>
        <v>CORIA DANIELA ROSAS</v>
      </c>
      <c r="C2980" s="1" t="str">
        <f>"WAGGONER PARK             CONDOMINIUM 25TH AMD      BLDG 77 UNIT 261         "</f>
        <v xml:space="preserve">WAGGONER PARK             CONDOMINIUM 25TH AMD      BLDG 77 UNIT 261         </v>
      </c>
      <c r="D2980" s="1">
        <v>4087.49</v>
      </c>
    </row>
    <row r="2981" spans="1:4" x14ac:dyDescent="0.3">
      <c r="A2981" s="1" t="str">
        <f>"22200026500"</f>
        <v>22200026500</v>
      </c>
      <c r="B2981" s="1" t="str">
        <f>"CORNERSTONE COMMISSARY OH LLC"</f>
        <v>CORNERSTONE COMMISSARY OH LLC</v>
      </c>
      <c r="C2981" s="1" t="str">
        <f>"ZARLEY STREET ZARLEY INDUSTRIAL PK LOT 5"</f>
        <v>ZARLEY STREET ZARLEY INDUSTRIAL PK LOT 5</v>
      </c>
      <c r="D2981" s="1">
        <v>13596.51</v>
      </c>
    </row>
    <row r="2982" spans="1:4" x14ac:dyDescent="0.3">
      <c r="A2982" s="1" t="str">
        <f>"01009887400"</f>
        <v>01009887400</v>
      </c>
      <c r="B2982" s="1" t="str">
        <f>"CORNERSTONE PENTECOSTAL CHURCH"</f>
        <v>CORNERSTONE PENTECOSTAL CHURCH</v>
      </c>
      <c r="C2982" s="1" t="str">
        <f>"DUXBERRY 113.5'ES LOT 226 &amp; 113.5' X 17'SOUTHEAST PT LOT 227"</f>
        <v>DUXBERRY 113.5'ES LOT 226 &amp; 113.5' X 17'SOUTHEAST PT LOT 227</v>
      </c>
      <c r="D2982" s="1">
        <v>1653.1</v>
      </c>
    </row>
    <row r="2983" spans="1:4" x14ac:dyDescent="0.3">
      <c r="A2983" s="1" t="str">
        <f>"56024499000"</f>
        <v>56024499000</v>
      </c>
      <c r="B2983" s="1" t="str">
        <f>"CORNETT MICHAEL R, CORNETT BRENDA C"</f>
        <v>CORNETT MICHAEL R, CORNETT BRENDA C</v>
      </c>
      <c r="C2983" s="1" t="str">
        <f>"SHADY KNOLL LANE WESTBROOKE SECTION 5 PART 2 LOT 327"</f>
        <v>SHADY KNOLL LANE WESTBROOKE SECTION 5 PART 2 LOT 327</v>
      </c>
      <c r="D2983" s="1">
        <v>346.63</v>
      </c>
    </row>
    <row r="2984" spans="1:4" x14ac:dyDescent="0.3">
      <c r="A2984" s="1" t="str">
        <f>"02501136700"</f>
        <v>02501136700</v>
      </c>
      <c r="B2984" s="1" t="str">
        <f>"CORNETT RONALD D, CORNETT TERESA A"</f>
        <v>CORNETT RONALD D, CORNETT TERESA A</v>
      </c>
      <c r="C2984" s="1" t="str">
        <f>"POLO CLUB VILLAS CONDOMINIUM 4TH AMD UNIT 16-546"</f>
        <v>POLO CLUB VILLAS CONDOMINIUM 4TH AMD UNIT 16-546</v>
      </c>
      <c r="D2984" s="1">
        <v>213.82</v>
      </c>
    </row>
    <row r="2985" spans="1:4" x14ac:dyDescent="0.3">
      <c r="A2985" s="1" t="str">
        <f>"01015309300"</f>
        <v>01015309300</v>
      </c>
      <c r="B2985" s="1" t="str">
        <f>"CORNETT WILLIE L"</f>
        <v>CORNETT WILLIE L</v>
      </c>
      <c r="C2985" s="1" t="str">
        <f>"EDENBURGH DR S BRITTANY HILLS SEC 2 LOT 140"</f>
        <v>EDENBURGH DR S BRITTANY HILLS SEC 2 LOT 140</v>
      </c>
      <c r="D2985" s="1">
        <v>67.78</v>
      </c>
    </row>
    <row r="2986" spans="1:4" x14ac:dyDescent="0.3">
      <c r="A2986" s="1" t="str">
        <f>"07000568000"</f>
        <v>07000568000</v>
      </c>
      <c r="B2986" s="1" t="str">
        <f>"CORNWELL ANDREW PATRICK, HOOVER ANDREA XAVIER"</f>
        <v>CORNWELL ANDREW PATRICK, HOOVER ANDREA XAVIER</v>
      </c>
      <c r="C2986" s="1" t="str">
        <f>"LEEDS RD LAKIN WOODS 6 BLK 258"</f>
        <v>LEEDS RD LAKIN WOODS 6 BLK 258</v>
      </c>
      <c r="D2986" s="1">
        <v>12519.97</v>
      </c>
    </row>
    <row r="2987" spans="1:4" x14ac:dyDescent="0.3">
      <c r="A2987" s="1" t="str">
        <f>"01027866000"</f>
        <v>01027866000</v>
      </c>
      <c r="B2987" s="1" t="str">
        <f>"CORNWELL BOBBIE SUE"</f>
        <v>CORNWELL BOBBIE SUE</v>
      </c>
      <c r="C2987" s="1" t="str">
        <f>"VILLAGE AT GENDER CONDOMINIUM 2ND AMD BLDG 70 UNIT 70 A"</f>
        <v>VILLAGE AT GENDER CONDOMINIUM 2ND AMD BLDG 70 UNIT 70 A</v>
      </c>
      <c r="D2987" s="1">
        <v>416.56</v>
      </c>
    </row>
    <row r="2988" spans="1:4" x14ac:dyDescent="0.3">
      <c r="A2988" s="1" t="str">
        <f>"01011191500"</f>
        <v>01011191500</v>
      </c>
      <c r="B2988" s="1" t="str">
        <f>"CORONA ANGELICA, GARCIA MARTIN"</f>
        <v>CORONA ANGELICA, GARCIA MARTIN</v>
      </c>
      <c r="C2988" s="1" t="str">
        <f>"MARKINSON AVE R22 T5 S27 102S 40 1.234 ACRES"</f>
        <v>MARKINSON AVE R22 T5 S27 102S 40 1.234 ACRES</v>
      </c>
      <c r="D2988" s="1">
        <v>4529.17</v>
      </c>
    </row>
    <row r="2989" spans="1:4" x14ac:dyDescent="0.3">
      <c r="A2989" s="1" t="str">
        <f>"60015862900"</f>
        <v>60015862900</v>
      </c>
      <c r="B2989" s="1" t="str">
        <f>"CORPORATE EXCHANGE GROUP LLC"</f>
        <v>CORPORATE EXCHANGE GROUP LLC</v>
      </c>
      <c r="C2989" s="1" t="str">
        <f>"CLEVELAND AVE R17 T2 1/4T2 LOT 1 1.681 ACRES"</f>
        <v>CLEVELAND AVE R17 T2 1/4T2 LOT 1 1.681 ACRES</v>
      </c>
      <c r="D2989" s="1">
        <v>20465.009999999998</v>
      </c>
    </row>
    <row r="2990" spans="1:4" x14ac:dyDescent="0.3">
      <c r="A2990" s="1" t="str">
        <f>"18400148100"</f>
        <v>18400148100</v>
      </c>
      <c r="B2990" s="1" t="str">
        <f>"CORRELL BRIAN D, CORRELL BRENDA L"</f>
        <v>CORRELL BRIAN D, CORRELL BRENDA L</v>
      </c>
      <c r="C2990" s="1" t="str">
        <f>"THE VILLAGES AT WESTCHESTER SEC1 PH2 LOT 103"</f>
        <v>THE VILLAGES AT WESTCHESTER SEC1 PH2 LOT 103</v>
      </c>
      <c r="D2990" s="1">
        <v>329.72</v>
      </c>
    </row>
    <row r="2991" spans="1:4" x14ac:dyDescent="0.3">
      <c r="A2991" s="1" t="str">
        <f>"01008235000"</f>
        <v>01008235000</v>
      </c>
      <c r="B2991" s="1" t="str">
        <f>"CORROTHERS THOMAS P"</f>
        <v>CORROTHERS THOMAS P</v>
      </c>
      <c r="C2991" s="1" t="str">
        <f>"HARDESTY VILLAGE CONDOMINIUM NO U UNIT U-7"</f>
        <v>HARDESTY VILLAGE CONDOMINIUM NO U UNIT U-7</v>
      </c>
      <c r="D2991" s="1">
        <v>210.26</v>
      </c>
    </row>
    <row r="2992" spans="1:4" x14ac:dyDescent="0.3">
      <c r="A2992" s="1" t="str">
        <f>"57021155400"</f>
        <v>57021155400</v>
      </c>
      <c r="B2992" s="1" t="str">
        <f>"CORRY JOHN H"</f>
        <v>CORRY JOHN H</v>
      </c>
      <c r="C2992" s="1" t="str">
        <f>"CHERRY CREEK SECTION 8 LOT 438"</f>
        <v>CHERRY CREEK SECTION 8 LOT 438</v>
      </c>
      <c r="D2992" s="1">
        <v>1551.58</v>
      </c>
    </row>
    <row r="2993" spans="1:4" x14ac:dyDescent="0.3">
      <c r="A2993" s="1" t="str">
        <f>"04001489200"</f>
        <v>04001489200</v>
      </c>
      <c r="B2993" s="1" t="str">
        <f>"CORSAIR 899 LLC"</f>
        <v>CORSAIR 899 LLC</v>
      </c>
      <c r="C2993" s="1" t="str">
        <f>"RESUB LTS 404-426, RES AA PINNACLE CLUB SECTION 3   LOT 841                  "</f>
        <v xml:space="preserve">RESUB LTS 404-426, RES AA PINNACLE CLUB SECTION 3   LOT 841                  </v>
      </c>
      <c r="D2993" s="1">
        <v>4025.43</v>
      </c>
    </row>
    <row r="2994" spans="1:4" x14ac:dyDescent="0.3">
      <c r="A2994" s="1" t="str">
        <f>"01008049500"</f>
        <v>01008049500</v>
      </c>
      <c r="B2994" s="1" t="str">
        <f>"CORTELLESI CHESTER J"</f>
        <v>CORTELLESI CHESTER J</v>
      </c>
      <c r="C2994" s="1" t="str">
        <f>"455 WREXHAM AVE OQ 2000 ENTRY 2668 LOT 30"</f>
        <v>455 WREXHAM AVE OQ 2000 ENTRY 2668 LOT 30</v>
      </c>
      <c r="D2994" s="1">
        <v>931.88</v>
      </c>
    </row>
    <row r="2995" spans="1:4" x14ac:dyDescent="0.3">
      <c r="A2995" s="1" t="str">
        <f>"01015282800"</f>
        <v>01015282800</v>
      </c>
      <c r="B2995" s="1" t="str">
        <f>"CORTES PABLO G, CORTES BERNARDA E"</f>
        <v>CORTES PABLO G, CORTES BERNARDA E</v>
      </c>
      <c r="C2995" s="1" t="str">
        <f>"WALDEN DR FOREST PARK E SEC 9 LOT 1334"</f>
        <v>WALDEN DR FOREST PARK E SEC 9 LOT 1334</v>
      </c>
      <c r="D2995" s="1">
        <v>212.65</v>
      </c>
    </row>
    <row r="2996" spans="1:4" x14ac:dyDescent="0.3">
      <c r="A2996" s="1" t="str">
        <f>"24000433200"</f>
        <v>24000433200</v>
      </c>
      <c r="B2996" s="1" t="str">
        <f>"CORTEZ JAIME E TTEE"</f>
        <v>CORTEZ JAIME E TTEE</v>
      </c>
      <c r="C2996" s="1" t="str">
        <f>"DARIEN AVE LINCOLN VILLAGE SO 169"</f>
        <v>DARIEN AVE LINCOLN VILLAGE SO 169</v>
      </c>
      <c r="D2996" s="1">
        <v>1964.64</v>
      </c>
    </row>
    <row r="2997" spans="1:4" x14ac:dyDescent="0.3">
      <c r="A2997" s="1" t="str">
        <f>"01028582700"</f>
        <v>01028582700</v>
      </c>
      <c r="B2997" s="1" t="str">
        <f>"CORTEZ JOHN M TR"</f>
        <v>CORTEZ JOHN M TR</v>
      </c>
      <c r="C2997" s="1" t="str">
        <f>"BRITTANY PLACE CONDOMINIUM COMMUNITY 3RD AMD UNIT 5039"</f>
        <v>BRITTANY PLACE CONDOMINIUM COMMUNITY 3RD AMD UNIT 5039</v>
      </c>
      <c r="D2997" s="1">
        <v>88</v>
      </c>
    </row>
    <row r="2998" spans="1:4" x14ac:dyDescent="0.3">
      <c r="A2998" s="1" t="str">
        <f>"01011573200"</f>
        <v>01011573200</v>
      </c>
      <c r="B2998" s="1" t="str">
        <f>"CORTEZ SHIRLEY J"</f>
        <v>CORTEZ SHIRLEY J</v>
      </c>
      <c r="C2998" s="1" t="str">
        <f>"3156 LEWIS ROAD ACRE .102 LOT 2 URP"</f>
        <v>3156 LEWIS ROAD ACRE .102 LOT 2 URP</v>
      </c>
      <c r="D2998" s="1">
        <v>1896.32</v>
      </c>
    </row>
    <row r="2999" spans="1:4" x14ac:dyDescent="0.3">
      <c r="A2999" s="1" t="str">
        <f>"13000181300"</f>
        <v>13000181300</v>
      </c>
      <c r="B2999" s="1" t="str">
        <f>"CORWIN SUSAN C TR"</f>
        <v>CORWIN SUSAN C TR</v>
      </c>
      <c r="C2999" s="1" t="str">
        <f>"921 11TH AVE VU 2 157 "</f>
        <v xml:space="preserve">921 11TH AVE VU 2 157 </v>
      </c>
      <c r="D2999" s="1">
        <v>3252.04</v>
      </c>
    </row>
    <row r="3000" spans="1:4" x14ac:dyDescent="0.3">
      <c r="A3000" s="1" t="str">
        <f>"27400141900"</f>
        <v>27400141900</v>
      </c>
      <c r="B3000" s="1" t="str">
        <f>"COSGRAYROAD LTD"</f>
        <v>COSGRAYROAD LTD</v>
      </c>
      <c r="C3000" s="1" t="str">
        <f>"COSGRAY 98.71 ACRES O Q 1180 ENT 6953"</f>
        <v>COSGRAY 98.71 ACRES O Q 1180 ENT 6953</v>
      </c>
      <c r="D3000" s="1">
        <v>7757.9</v>
      </c>
    </row>
    <row r="3001" spans="1:4" x14ac:dyDescent="0.3">
      <c r="A3001" s="1" t="str">
        <f>"07001153900"</f>
        <v>07001153900</v>
      </c>
      <c r="B3001" s="1" t="str">
        <f>"COTTER JEROLINE A TOD"</f>
        <v>COTTER JEROLINE A TOD</v>
      </c>
      <c r="C3001" s="1" t="str">
        <f>"4635 MEEKISON DRIVE DUNBAR TERRACE LOT 65"</f>
        <v>4635 MEEKISON DRIVE DUNBAR TERRACE LOT 65</v>
      </c>
      <c r="D3001" s="1">
        <v>6173.41</v>
      </c>
    </row>
    <row r="3002" spans="1:4" x14ac:dyDescent="0.3">
      <c r="A3002" s="1" t="str">
        <f>"01012857900"</f>
        <v>01012857900</v>
      </c>
      <c r="B3002" s="1" t="str">
        <f>"COTTER S MAHAR TTEE"</f>
        <v>COTTER S MAHAR TTEE</v>
      </c>
      <c r="C3002" s="1" t="str">
        <f>"MOORES &amp; DALES 5 LOT 52 "</f>
        <v xml:space="preserve">MOORES &amp; DALES 5 LOT 52 </v>
      </c>
      <c r="D3002" s="1">
        <v>266.08</v>
      </c>
    </row>
    <row r="3003" spans="1:4" x14ac:dyDescent="0.3">
      <c r="A3003" s="1" t="str">
        <f>"01007954200"</f>
        <v>01007954200</v>
      </c>
      <c r="B3003" s="1" t="str">
        <f>"COTTON PEGGY ANN"</f>
        <v>COTTON PEGGY ANN</v>
      </c>
      <c r="C3003" s="1" t="str">
        <f>"TWENTY FOURTH AVE CLEVEMONT LOT 40 &amp; 1FT WS LOT 39"</f>
        <v>TWENTY FOURTH AVE CLEVEMONT LOT 40 &amp; 1FT WS LOT 39</v>
      </c>
      <c r="D3003" s="1">
        <v>56</v>
      </c>
    </row>
    <row r="3004" spans="1:4" x14ac:dyDescent="0.3">
      <c r="A3004" s="1" t="str">
        <f>"06000314800"</f>
        <v>06000314800</v>
      </c>
      <c r="B3004" s="1" t="str">
        <f>"COUK KATHY ANN, COUK AMY JO"</f>
        <v>COUK KATHY ANN, COUK AMY JO</v>
      </c>
      <c r="C3004" s="1" t="str">
        <f>"WANAMAKER DR H C HUBER PL 36 SEC 4 LOT 722"</f>
        <v>WANAMAKER DR H C HUBER PL 36 SEC 4 LOT 722</v>
      </c>
      <c r="D3004" s="1">
        <v>2228.46</v>
      </c>
    </row>
    <row r="3005" spans="1:4" x14ac:dyDescent="0.3">
      <c r="A3005" s="1" t="str">
        <f>"49523264000"</f>
        <v>49523264000</v>
      </c>
      <c r="B3005" s="1" t="str">
        <f>"COUNTS BECKY LYNN"</f>
        <v>COUNTS BECKY LYNN</v>
      </c>
      <c r="C3005" s="1" t="str">
        <f>"LOCKBOURNE RD R22 T3 S2-10-11 47.227 ACRES"</f>
        <v>LOCKBOURNE RD R22 T3 S2-10-11 47.227 ACRES</v>
      </c>
      <c r="D3005" s="1">
        <v>409.16</v>
      </c>
    </row>
    <row r="3006" spans="1:4" x14ac:dyDescent="0.3">
      <c r="A3006" s="1" t="str">
        <f>"01007894900"</f>
        <v>01007894900</v>
      </c>
      <c r="B3006" s="1" t="str">
        <f>"COUP STEPHEN J, COUP JO ANNE"</f>
        <v>COUP STEPHEN J, COUP JO ANNE</v>
      </c>
      <c r="C3006" s="1" t="str">
        <f>"150 ALGONQUIN WESTGATE PARK LOT 435"</f>
        <v>150 ALGONQUIN WESTGATE PARK LOT 435</v>
      </c>
      <c r="D3006" s="1">
        <v>1000</v>
      </c>
    </row>
    <row r="3007" spans="1:4" x14ac:dyDescent="0.3">
      <c r="A3007" s="1" t="str">
        <f>"24000535700"</f>
        <v>24000535700</v>
      </c>
      <c r="B3007" s="1" t="str">
        <f>"COURTRIGHT EDWARD W III, COURTRIGHT BRITTANY M"</f>
        <v>COURTRIGHT EDWARD W III, COURTRIGHT BRITTANY M</v>
      </c>
      <c r="C3007" s="1" t="str">
        <f>"8676 EDGEWATER AVE LAKE DARBY EST 1 ES LOT 142"</f>
        <v>8676 EDGEWATER AVE LAKE DARBY EST 1 ES LOT 142</v>
      </c>
      <c r="D3007" s="1">
        <v>3749.61</v>
      </c>
    </row>
    <row r="3008" spans="1:4" x14ac:dyDescent="0.3">
      <c r="A3008" s="1" t="str">
        <f>"11000333300"</f>
        <v>11000333300</v>
      </c>
      <c r="B3008" s="1" t="str">
        <f>"COUSINS EDWARD L, COUSINS SYLVIA L"</f>
        <v>COUSINS EDWARD L, COUSINS SYLVIA L</v>
      </c>
      <c r="C3008" s="1" t="str">
        <f>"3599 PANAMA DR H C HUBER PLAT 48 SEC 3 1401"</f>
        <v>3599 PANAMA DR H C HUBER PLAT 48 SEC 3 1401</v>
      </c>
      <c r="D3008" s="1">
        <v>3784.4</v>
      </c>
    </row>
    <row r="3009" spans="1:4" x14ac:dyDescent="0.3">
      <c r="A3009" s="1" t="str">
        <f>"01002535000"</f>
        <v>01002535000</v>
      </c>
      <c r="B3009" s="1" t="str">
        <f>"COVARRUBIAS DARLENE CARDONA"</f>
        <v>COVARRUBIAS DARLENE CARDONA</v>
      </c>
      <c r="C3009" s="1" t="str">
        <f>"120CLARENDON AVE WESTWOOD HTS LOT 57"</f>
        <v>120CLARENDON AVE WESTWOOD HTS LOT 57</v>
      </c>
      <c r="D3009" s="1">
        <v>1079.94</v>
      </c>
    </row>
    <row r="3010" spans="1:4" x14ac:dyDescent="0.3">
      <c r="A3010" s="1" t="str">
        <f>"01001069600"</f>
        <v>01001069600</v>
      </c>
      <c r="B3010" s="1" t="str">
        <f>"COVARRUBIAS DARLENE CARDONA"</f>
        <v>COVARRUBIAS DARLENE CARDONA</v>
      </c>
      <c r="C3010" s="1" t="str">
        <f>"129 N WHEATLAND AVE HIGHLAND PARK LOT 34"</f>
        <v>129 N WHEATLAND AVE HIGHLAND PARK LOT 34</v>
      </c>
      <c r="D3010" s="1">
        <v>894.77</v>
      </c>
    </row>
    <row r="3011" spans="1:4" x14ac:dyDescent="0.3">
      <c r="A3011" s="1" t="str">
        <f>"01000113200"</f>
        <v>01000113200</v>
      </c>
      <c r="B3011" s="1" t="str">
        <f>"COVARRUBIAS DARLENE CARDONA"</f>
        <v>COVARRUBIAS DARLENE CARDONA</v>
      </c>
      <c r="C3011" s="1" t="str">
        <f>"77 N HARRIS AVE VANSICKLE LOT 16"</f>
        <v>77 N HARRIS AVE VANSICKLE LOT 16</v>
      </c>
      <c r="D3011" s="1">
        <v>795.66</v>
      </c>
    </row>
    <row r="3012" spans="1:4" x14ac:dyDescent="0.3">
      <c r="A3012" s="1" t="str">
        <f>"01025561100"</f>
        <v>01025561100</v>
      </c>
      <c r="B3012" s="1" t="str">
        <f>"COVERDALE ELIZABETH M"</f>
        <v>COVERDALE ELIZABETH M</v>
      </c>
      <c r="C3012" s="1" t="str">
        <f>"HOMESTEAD AT THE PRESERVE CONDOMINIUM UNIT 3749 BLDG 24"</f>
        <v>HOMESTEAD AT THE PRESERVE CONDOMINIUM UNIT 3749 BLDG 24</v>
      </c>
      <c r="D3012" s="1">
        <v>264.33</v>
      </c>
    </row>
    <row r="3013" spans="1:4" x14ac:dyDescent="0.3">
      <c r="A3013" s="1" t="str">
        <f>"01012896300"</f>
        <v>01012896300</v>
      </c>
      <c r="B3013" s="1" t="str">
        <f>"COVINGTON LARRY J, COVINGTON REATHER K"</f>
        <v>COVINGTON LARRY J, COVINGTON REATHER K</v>
      </c>
      <c r="C3013" s="1" t="str">
        <f>"PAGE RD MILLBROOK LOT 101-102"</f>
        <v>PAGE RD MILLBROOK LOT 101-102</v>
      </c>
      <c r="D3013" s="1">
        <v>1073.94</v>
      </c>
    </row>
    <row r="3014" spans="1:4" x14ac:dyDescent="0.3">
      <c r="A3014" s="1" t="str">
        <f>"01012840100"</f>
        <v>01012840100</v>
      </c>
      <c r="B3014" s="1" t="str">
        <f>"COX DARYL R"</f>
        <v>COX DARYL R</v>
      </c>
      <c r="C3014" s="1" t="str">
        <f>"SAVANNAH DR HOLLY HILL 2 LOT 256"</f>
        <v>SAVANNAH DR HOLLY HILL 2 LOT 256</v>
      </c>
      <c r="D3014" s="1">
        <v>1487.67</v>
      </c>
    </row>
    <row r="3015" spans="1:4" x14ac:dyDescent="0.3">
      <c r="A3015" s="1" t="str">
        <f>"01000206300"</f>
        <v>01000206300</v>
      </c>
      <c r="B3015" s="1" t="str">
        <f>"COX DEVORAH J"</f>
        <v>COX DEVORAH J</v>
      </c>
      <c r="C3015" s="1" t="str">
        <f>"689 KELTON AVE KENT 2ND. SUB 72"</f>
        <v>689 KELTON AVE KENT 2ND. SUB 72</v>
      </c>
      <c r="D3015" s="1">
        <v>2808.87</v>
      </c>
    </row>
    <row r="3016" spans="1:4" x14ac:dyDescent="0.3">
      <c r="A3016" s="1" t="str">
        <f>"56021551700"</f>
        <v>56021551700</v>
      </c>
      <c r="B3016" s="1" t="str">
        <f>"COY BRITTANY, COY NATHAN"</f>
        <v>COY BRITTANY, COY NATHAN</v>
      </c>
      <c r="C3016" s="1" t="str">
        <f>"CROSS CREEK VILLAGE SECTION 4 LOT 345"</f>
        <v>CROSS CREEK VILLAGE SECTION 4 LOT 345</v>
      </c>
      <c r="D3016" s="1">
        <v>173.66</v>
      </c>
    </row>
    <row r="3017" spans="1:4" x14ac:dyDescent="0.3">
      <c r="A3017" s="1" t="str">
        <f>"57025522200"</f>
        <v>57025522200</v>
      </c>
      <c r="B3017" s="1" t="str">
        <f>"COZY HAVEN HOME LLC"</f>
        <v>COZY HAVEN HOME LLC</v>
      </c>
      <c r="C3017" s="1" t="str">
        <f>"IRIS TRAIL DRIVE GALLOWAY RIDGE SECTION 4 PART 2 LOT 344"</f>
        <v>IRIS TRAIL DRIVE GALLOWAY RIDGE SECTION 4 PART 2 LOT 344</v>
      </c>
      <c r="D3017" s="1">
        <v>4495.05</v>
      </c>
    </row>
    <row r="3018" spans="1:4" x14ac:dyDescent="0.3">
      <c r="A3018" s="1" t="str">
        <f>"60015796500"</f>
        <v>60015796500</v>
      </c>
      <c r="B3018" s="1" t="str">
        <f>"CP PARTNERS HOLDINGS LLC"</f>
        <v>CP PARTNERS HOLDINGS LLC</v>
      </c>
      <c r="C3018" s="1" t="str">
        <f>"BLENDON PIKE R17 T2 1/4T3 2.036 ACRES  LOT 4"</f>
        <v>BLENDON PIKE R17 T2 1/4T3 2.036 ACRES  LOT 4</v>
      </c>
      <c r="D3018" s="1">
        <v>11157.67</v>
      </c>
    </row>
    <row r="3019" spans="1:4" x14ac:dyDescent="0.3">
      <c r="A3019" s="1" t="str">
        <f>"57017458700"</f>
        <v>57017458700</v>
      </c>
      <c r="B3019" s="1" t="str">
        <f>"CPT-ASL SFR PROPCO LLC"</f>
        <v>CPT-ASL SFR PROPCO LLC</v>
      </c>
      <c r="C3019" s="1" t="str">
        <f>"WILLOW PARK RD WILLOW CREEK SEC 5 LOT 397"</f>
        <v>WILLOW PARK RD WILLOW CREEK SEC 5 LOT 397</v>
      </c>
      <c r="D3019" s="1">
        <v>3041.6</v>
      </c>
    </row>
    <row r="3020" spans="1:4" x14ac:dyDescent="0.3">
      <c r="A3020" s="1" t="str">
        <f>"01014325700"</f>
        <v>01014325700</v>
      </c>
      <c r="B3020" s="1" t="str">
        <f>"CPT-ASL SFR PROPCO LLC"</f>
        <v>CPT-ASL SFR PROPCO LLC</v>
      </c>
      <c r="C3020" s="1" t="str">
        <f>"HIGBEE DR N SOUTHERN PINES 7 LOT 500"</f>
        <v>HIGBEE DR N SOUTHERN PINES 7 LOT 500</v>
      </c>
      <c r="D3020" s="1">
        <v>131.86000000000001</v>
      </c>
    </row>
    <row r="3021" spans="1:4" x14ac:dyDescent="0.3">
      <c r="A3021" s="1" t="str">
        <f>"15100014200"</f>
        <v>15100014200</v>
      </c>
      <c r="B3021" s="1" t="str">
        <f>"CRABTREE CRYSTAL R"</f>
        <v>CRABTREE CRYSTAL R</v>
      </c>
      <c r="C3021" s="1" t="str">
        <f>"69 LANDIS ST VILLAGE OF LOCKBOURNE LOT 41"</f>
        <v>69 LANDIS ST VILLAGE OF LOCKBOURNE LOT 41</v>
      </c>
      <c r="D3021" s="1">
        <v>4962.7299999999996</v>
      </c>
    </row>
    <row r="3022" spans="1:4" x14ac:dyDescent="0.3">
      <c r="A3022" s="1" t="str">
        <f>"15200035000"</f>
        <v>15200035000</v>
      </c>
      <c r="B3022" s="1" t="str">
        <f>"CRABTREE HEATHER"</f>
        <v>CRABTREE HEATHER</v>
      </c>
      <c r="C3022" s="1" t="str">
        <f>"1951 SEDAN AVE .682 ACS T4 SEC 13 NE NW &amp; SW QR"</f>
        <v>1951 SEDAN AVE .682 ACS T4 SEC 13 NE NW &amp; SW QR</v>
      </c>
      <c r="D3022" s="1">
        <v>6610.55</v>
      </c>
    </row>
    <row r="3023" spans="1:4" x14ac:dyDescent="0.3">
      <c r="A3023" s="1" t="str">
        <f>"01012094200"</f>
        <v>01012094200</v>
      </c>
      <c r="B3023" s="1" t="str">
        <f>"CRABTREE MARIE K"</f>
        <v>CRABTREE MARIE K</v>
      </c>
      <c r="C3023" s="1" t="str">
        <f>"HILLGATE NO 2 LOT 45 "</f>
        <v xml:space="preserve">HILLGATE NO 2 LOT 45 </v>
      </c>
      <c r="D3023" s="1">
        <v>2063.31</v>
      </c>
    </row>
    <row r="3024" spans="1:4" x14ac:dyDescent="0.3">
      <c r="A3024" s="1" t="str">
        <f>"24000202700"</f>
        <v>24000202700</v>
      </c>
      <c r="B3024" s="1" t="str">
        <f>"CRABTREE MICKEY"</f>
        <v>CRABTREE MICKEY</v>
      </c>
      <c r="C3024" s="1" t="str">
        <f>"KOEBEL-SUYDAM RD ENTRY 2684-2887 ACRES .275"</f>
        <v>KOEBEL-SUYDAM RD ENTRY 2684-2887 ACRES .275</v>
      </c>
      <c r="D3024" s="1">
        <v>1811.45</v>
      </c>
    </row>
    <row r="3025" spans="1:4" x14ac:dyDescent="0.3">
      <c r="A3025" s="1" t="str">
        <f>"01011960300"</f>
        <v>01011960300</v>
      </c>
      <c r="B3025" s="1" t="str">
        <f>"CRABTREE RICHARD W, CRABTREE DEBORAH S"</f>
        <v>CRABTREE RICHARD W, CRABTREE DEBORAH S</v>
      </c>
      <c r="C3025" s="1" t="str">
        <f>"PARSONS AVE HILLGATE LOT 21"</f>
        <v>PARSONS AVE HILLGATE LOT 21</v>
      </c>
      <c r="D3025" s="1">
        <v>153.02000000000001</v>
      </c>
    </row>
    <row r="3026" spans="1:4" x14ac:dyDescent="0.3">
      <c r="A3026" s="1" t="str">
        <f>"18400105000"</f>
        <v>18400105000</v>
      </c>
      <c r="B3026" s="1" t="str">
        <f>"CRACE JEFFREY P TTEE"</f>
        <v>CRACE JEFFREY P TTEE</v>
      </c>
      <c r="C3026" s="1" t="str">
        <f>"DONNER PASS DR WALNUT BROOK EST LOT 44"</f>
        <v>DONNER PASS DR WALNUT BROOK EST LOT 44</v>
      </c>
      <c r="D3026" s="1">
        <v>3919.76</v>
      </c>
    </row>
    <row r="3027" spans="1:4" x14ac:dyDescent="0.3">
      <c r="A3027" s="1" t="str">
        <f>"01024693200"</f>
        <v>01024693200</v>
      </c>
      <c r="B3027" s="1" t="str">
        <f>"CRAFT MICHELE A, CRAFT ANDREW M, CRAFT SHAWN B"</f>
        <v>CRAFT MICHELE A, CRAFT ANDREW M, CRAFT SHAWN B</v>
      </c>
      <c r="C3027" s="1" t="str">
        <f>"BERKHARD DRIVE WESTMEADOW SECTION 2 LOT 62"</f>
        <v>BERKHARD DRIVE WESTMEADOW SECTION 2 LOT 62</v>
      </c>
      <c r="D3027" s="1">
        <v>11984.44</v>
      </c>
    </row>
    <row r="3028" spans="1:4" x14ac:dyDescent="0.3">
      <c r="A3028" s="1" t="str">
        <f>"01007809200"</f>
        <v>01007809200</v>
      </c>
      <c r="B3028" s="1" t="str">
        <f>"CRAFT ROSCOE C II"</f>
        <v>CRAFT ROSCOE C II</v>
      </c>
      <c r="C3028" s="1" t="str">
        <f>"575 S OAKLEY AVE WESTLAND LOT 117"</f>
        <v>575 S OAKLEY AVE WESTLAND LOT 117</v>
      </c>
      <c r="D3028" s="1">
        <v>72.180000000000007</v>
      </c>
    </row>
    <row r="3029" spans="1:4" x14ac:dyDescent="0.3">
      <c r="A3029" s="1" t="str">
        <f>"01002559000"</f>
        <v>01002559000</v>
      </c>
      <c r="B3029" s="1" t="str">
        <f>"CRAFTER GREGORY B"</f>
        <v>CRAFTER GREGORY B</v>
      </c>
      <c r="C3029" s="1" t="str">
        <f>"844TO48 E MAIN ST ALSO 849 E CHERRY ST PARSONS 2ND LOT 28"</f>
        <v>844TO48 E MAIN ST ALSO 849 E CHERRY ST PARSONS 2ND LOT 28</v>
      </c>
      <c r="D3029" s="1">
        <v>3178.74</v>
      </c>
    </row>
    <row r="3030" spans="1:4" x14ac:dyDescent="0.3">
      <c r="A3030" s="1" t="str">
        <f>"01001959000"</f>
        <v>01001959000</v>
      </c>
      <c r="B3030" s="1" t="str">
        <f>"CRAFTER GREGORY B"</f>
        <v>CRAFTER GREGORY B</v>
      </c>
      <c r="C3030" s="1" t="str">
        <f>"451-61 S MILLER AVE 119FT SE OF E1/2 T MILLER LOT 5"</f>
        <v>451-61 S MILLER AVE 119FT SE OF E1/2 T MILLER LOT 5</v>
      </c>
      <c r="D3030" s="1">
        <v>4221.91</v>
      </c>
    </row>
    <row r="3031" spans="1:4" x14ac:dyDescent="0.3">
      <c r="A3031" s="1" t="str">
        <f>"57021996200"</f>
        <v>57021996200</v>
      </c>
      <c r="B3031" s="1" t="str">
        <f>"CRAFTON MIRANDA"</f>
        <v>CRAFTON MIRANDA</v>
      </c>
      <c r="C3031" s="1" t="str">
        <f>"LECLERC PLACE EPERNAY LOT 13"</f>
        <v>LECLERC PLACE EPERNAY LOT 13</v>
      </c>
      <c r="D3031" s="1">
        <v>1915.69</v>
      </c>
    </row>
    <row r="3032" spans="1:4" x14ac:dyDescent="0.3">
      <c r="A3032" s="1" t="str">
        <f>"01011456500"</f>
        <v>01011456500</v>
      </c>
      <c r="B3032" s="1" t="str">
        <f>"CRAIG BESSIE M"</f>
        <v>CRAIG BESSIE M</v>
      </c>
      <c r="C3032" s="1" t="str">
        <f>"STAMBAUGH AVE SOUTH GATE LOT 63"</f>
        <v>STAMBAUGH AVE SOUTH GATE LOT 63</v>
      </c>
      <c r="D3032" s="1">
        <v>659.97</v>
      </c>
    </row>
    <row r="3033" spans="1:4" x14ac:dyDescent="0.3">
      <c r="A3033" s="1" t="str">
        <f>"01013663000"</f>
        <v>01013663000</v>
      </c>
      <c r="B3033" s="1" t="str">
        <f>"CRAIG BESSIE M"</f>
        <v>CRAIG BESSIE M</v>
      </c>
      <c r="C3033" s="1" t="str">
        <f>"ALVASON AVE ARGYLE PARK LOT 14"</f>
        <v>ALVASON AVE ARGYLE PARK LOT 14</v>
      </c>
      <c r="D3033" s="1">
        <v>1932.81</v>
      </c>
    </row>
    <row r="3034" spans="1:4" x14ac:dyDescent="0.3">
      <c r="A3034" s="1" t="str">
        <f>"01027725200"</f>
        <v>01027725200</v>
      </c>
      <c r="B3034" s="1" t="str">
        <f>"CRAIG CAMERON BRYCE, CRAIG TRACY JENINE"</f>
        <v>CRAIG CAMERON BRYCE, CRAIG TRACY JENINE</v>
      </c>
      <c r="C3034" s="1" t="str">
        <f>"RAVINES OF MCNAUGHTEN CONDOMINIUM 7TH AMD UNIT 5954"</f>
        <v>RAVINES OF MCNAUGHTEN CONDOMINIUM 7TH AMD UNIT 5954</v>
      </c>
      <c r="D3034" s="1">
        <v>1890.2</v>
      </c>
    </row>
    <row r="3035" spans="1:4" x14ac:dyDescent="0.3">
      <c r="A3035" s="1" t="str">
        <f>"01014663400"</f>
        <v>01014663400</v>
      </c>
      <c r="B3035" s="1" t="str">
        <f>"CRAIG FRANK D SR, CRAIG MARILYN L"</f>
        <v>CRAIG FRANK D SR, CRAIG MARILYN L</v>
      </c>
      <c r="C3035" s="1" t="str">
        <f>"3742 MONTCLAIR DR BRUNSWICK ESTATES LOT 3"</f>
        <v>3742 MONTCLAIR DR BRUNSWICK ESTATES LOT 3</v>
      </c>
      <c r="D3035" s="1">
        <v>206.07</v>
      </c>
    </row>
    <row r="3036" spans="1:4" x14ac:dyDescent="0.3">
      <c r="A3036" s="1" t="str">
        <f>"18600007300"</f>
        <v>18600007300</v>
      </c>
      <c r="B3036" s="1" t="str">
        <f>"CRAIG M JENALLE, CRABTREE MICHAEL T"</f>
        <v>CRAIG M JENALLE, CRABTREE MICHAEL T</v>
      </c>
      <c r="C3036" s="1" t="str">
        <f>"DRAKE AVENUE FAIRCHILD ESTATES SECTION 2 LOT 37"</f>
        <v>DRAKE AVENUE FAIRCHILD ESTATES SECTION 2 LOT 37</v>
      </c>
      <c r="D3036" s="1">
        <v>3769.17</v>
      </c>
    </row>
    <row r="3037" spans="1:4" x14ac:dyDescent="0.3">
      <c r="A3037" s="1" t="str">
        <f>"01006588500"</f>
        <v>01006588500</v>
      </c>
      <c r="B3037" s="1" t="str">
        <f>"CRAIG PAMELA S"</f>
        <v>CRAIG PAMELA S</v>
      </c>
      <c r="C3037" s="1" t="str">
        <f>"560 WHEATLAND AVE EDGEWOOD PLC LOT 52-53"</f>
        <v>560 WHEATLAND AVE EDGEWOOD PLC LOT 52-53</v>
      </c>
      <c r="D3037" s="1">
        <v>1033.71</v>
      </c>
    </row>
    <row r="3038" spans="1:4" x14ac:dyDescent="0.3">
      <c r="A3038" s="1" t="str">
        <f>"01028445500"</f>
        <v>01028445500</v>
      </c>
      <c r="B3038" s="1" t="str">
        <f>"CRAIG ROGER A"</f>
        <v>CRAIG ROGER A</v>
      </c>
      <c r="C3038" s="1" t="str">
        <f>"THE CONDOMINIUMS AT       NORTH BANK PARK           UNIT PS-10               "</f>
        <v xml:space="preserve">THE CONDOMINIUMS AT       NORTH BANK PARK           UNIT PS-10               </v>
      </c>
      <c r="D3038" s="1">
        <v>287.72000000000003</v>
      </c>
    </row>
    <row r="3039" spans="1:4" x14ac:dyDescent="0.3">
      <c r="A3039" s="1" t="str">
        <f>"01016701700"</f>
        <v>01016701700</v>
      </c>
      <c r="B3039" s="1" t="str">
        <f>"CRAIG TERRELL E"</f>
        <v>CRAIG TERRELL E</v>
      </c>
      <c r="C3039" s="1" t="str">
        <f>"2217 SAGAMORE ROAD AMVET HOMESTEAD 2 LOT 23 BLK P"</f>
        <v>2217 SAGAMORE ROAD AMVET HOMESTEAD 2 LOT 23 BLK P</v>
      </c>
      <c r="D3039" s="1">
        <v>41.75</v>
      </c>
    </row>
    <row r="3040" spans="1:4" x14ac:dyDescent="0.3">
      <c r="A3040" s="1" t="str">
        <f>"61019213500"</f>
        <v>61019213500</v>
      </c>
      <c r="B3040" s="1" t="str">
        <f>"CRAIG W SCOTT"</f>
        <v>CRAIG W SCOTT</v>
      </c>
      <c r="C3040" s="1" t="str">
        <f>"7835 STONEFORD DR RESUB PT SUMMERWOOD SEC 2 LOT 289"</f>
        <v>7835 STONEFORD DR RESUB PT SUMMERWOOD SEC 2 LOT 289</v>
      </c>
      <c r="D3040" s="1">
        <v>5669.9</v>
      </c>
    </row>
    <row r="3041" spans="1:4" x14ac:dyDescent="0.3">
      <c r="A3041" s="1" t="str">
        <f>"13000204900"</f>
        <v>13000204900</v>
      </c>
      <c r="B3041" s="1" t="str">
        <f>"CRAMER PATRICIA L"</f>
        <v>CRAMER PATRICIA L</v>
      </c>
      <c r="C3041" s="1" t="str">
        <f>"WARD ROAD 50FT ES NORTH LINDEN 1 LOT 416"</f>
        <v>WARD ROAD 50FT ES NORTH LINDEN 1 LOT 416</v>
      </c>
      <c r="D3041" s="1">
        <v>901.08</v>
      </c>
    </row>
    <row r="3042" spans="1:4" x14ac:dyDescent="0.3">
      <c r="A3042" s="1" t="str">
        <f>"04000981700"</f>
        <v>04000981700</v>
      </c>
      <c r="B3042" s="1" t="str">
        <f>"CRAMER SUSAN B TR"</f>
        <v>CRAMER SUSAN B TR</v>
      </c>
      <c r="C3042" s="1" t="str">
        <f>"LAKE MEAD DRIVE CONCORD LAKES SECTION 3 LOT 123"</f>
        <v>LAKE MEAD DRIVE CONCORD LAKES SECTION 3 LOT 123</v>
      </c>
      <c r="D3042" s="1">
        <v>649.54</v>
      </c>
    </row>
    <row r="3043" spans="1:4" x14ac:dyDescent="0.3">
      <c r="A3043" s="1" t="str">
        <f>"01001864400"</f>
        <v>01001864400</v>
      </c>
      <c r="B3043" s="1" t="str">
        <f>"CRAMER TRISTA A, CRAMER JOHN M"</f>
        <v>CRAMER TRISTA A, CRAMER JOHN M</v>
      </c>
      <c r="C3043" s="1" t="str">
        <f>"127 BREVOORT RD 110 FT NE OAKLAND PK LOT 397"</f>
        <v>127 BREVOORT RD 110 FT NE OAKLAND PK LOT 397</v>
      </c>
      <c r="D3043" s="1">
        <v>353.44</v>
      </c>
    </row>
    <row r="3044" spans="1:4" x14ac:dyDescent="0.3">
      <c r="A3044" s="1" t="str">
        <f>"01011177100"</f>
        <v>01011177100</v>
      </c>
      <c r="B3044" s="1" t="str">
        <f>"CRAVEN MICHAEL"</f>
        <v>CRAVEN MICHAEL</v>
      </c>
      <c r="C3044" s="1" t="str">
        <f>"LAWRENCE DR DELLBOURNE LOT 45"</f>
        <v>LAWRENCE DR DELLBOURNE LOT 45</v>
      </c>
      <c r="D3044" s="1">
        <v>2504.16</v>
      </c>
    </row>
    <row r="3045" spans="1:4" x14ac:dyDescent="0.3">
      <c r="A3045" s="1" t="str">
        <f>"07000723600"</f>
        <v>07000723600</v>
      </c>
      <c r="B3045" s="1" t="str">
        <f>"CRAWFORD DANIEL, SABO LAUREN A"</f>
        <v>CRAWFORD DANIEL, SABO LAUREN A</v>
      </c>
      <c r="C3045" s="1" t="str">
        <f>"KENYON RD TREMONT PLACE 42 "</f>
        <v xml:space="preserve">KENYON RD TREMONT PLACE 42 </v>
      </c>
      <c r="D3045" s="1">
        <v>400.82</v>
      </c>
    </row>
    <row r="3046" spans="1:4" x14ac:dyDescent="0.3">
      <c r="A3046" s="1" t="str">
        <f>"01006951400"</f>
        <v>01006951400</v>
      </c>
      <c r="B3046" s="1" t="str">
        <f>"CRAWFORD JOHN GARFIELD"</f>
        <v>CRAWFORD JOHN GARFIELD</v>
      </c>
      <c r="C3046" s="1" t="str">
        <f>"EAST LINDEN PARK PL LOT 27 "</f>
        <v xml:space="preserve">EAST LINDEN PARK PL LOT 27 </v>
      </c>
      <c r="D3046" s="1">
        <v>2322.84</v>
      </c>
    </row>
    <row r="3047" spans="1:4" x14ac:dyDescent="0.3">
      <c r="A3047" s="1" t="str">
        <f>"01004921600"</f>
        <v>01004921600</v>
      </c>
      <c r="B3047" s="1" t="str">
        <f>"CRAWFORD JOHN GARFIELD"</f>
        <v>CRAWFORD JOHN GARFIELD</v>
      </c>
      <c r="C3047" s="1" t="str">
        <f>"ABERDEEN AVE EAST LINDEN PARK LOT 26"</f>
        <v>ABERDEEN AVE EAST LINDEN PARK LOT 26</v>
      </c>
      <c r="D3047" s="1">
        <v>295.8</v>
      </c>
    </row>
    <row r="3048" spans="1:4" x14ac:dyDescent="0.3">
      <c r="A3048" s="1" t="str">
        <f>"01007631000"</f>
        <v>01007631000</v>
      </c>
      <c r="B3048" s="1" t="str">
        <f>"CRAWFORD PAULA M"</f>
        <v>CRAWFORD PAULA M</v>
      </c>
      <c r="C3048" s="1" t="str">
        <f>"19TH AVE HIGHLAND PLC LOT 40"</f>
        <v>19TH AVE HIGHLAND PLC LOT 40</v>
      </c>
      <c r="D3048" s="1">
        <v>1232.9000000000001</v>
      </c>
    </row>
    <row r="3049" spans="1:4" x14ac:dyDescent="0.3">
      <c r="A3049" s="1" t="str">
        <f>"01023437600"</f>
        <v>01023437600</v>
      </c>
      <c r="B3049" s="1" t="str">
        <f>"CRAWFORD RICHARD C TR"</f>
        <v>CRAWFORD RICHARD C TR</v>
      </c>
      <c r="C3049" s="1" t="str">
        <f>"THE VILLAGE AT WILLOW BROOK CONDO 8TH AMD UNIT 904"</f>
        <v>THE VILLAGE AT WILLOW BROOK CONDO 8TH AMD UNIT 904</v>
      </c>
      <c r="D3049" s="1">
        <v>2845.19</v>
      </c>
    </row>
    <row r="3050" spans="1:4" x14ac:dyDescent="0.3">
      <c r="A3050" s="1" t="str">
        <f>"13000268500"</f>
        <v>13000268500</v>
      </c>
      <c r="B3050" s="1" t="str">
        <f>"CRAWFORD ROSEMARY"</f>
        <v>CRAWFORD ROSEMARY</v>
      </c>
      <c r="C3050" s="1" t="str">
        <f>"DRESDEN ST DRESDEN HTS 40 "</f>
        <v xml:space="preserve">DRESDEN ST DRESDEN HTS 40 </v>
      </c>
      <c r="D3050" s="1">
        <v>2770.54</v>
      </c>
    </row>
    <row r="3051" spans="1:4" x14ac:dyDescent="0.3">
      <c r="A3051" s="1" t="str">
        <f>"01015735800"</f>
        <v>01015735800</v>
      </c>
      <c r="B3051" s="1" t="str">
        <f>"CRAWFORD THOMAS J"</f>
        <v>CRAWFORD THOMAS J</v>
      </c>
      <c r="C3051" s="1" t="str">
        <f>"RAMBLEWOOD AV THE GABLES WEST LOT 84"</f>
        <v>RAMBLEWOOD AV THE GABLES WEST LOT 84</v>
      </c>
      <c r="D3051" s="1">
        <v>234.46</v>
      </c>
    </row>
    <row r="3052" spans="1:4" x14ac:dyDescent="0.3">
      <c r="A3052" s="1" t="str">
        <f>"23000271800"</f>
        <v>23000271800</v>
      </c>
      <c r="B3052" s="1" t="str">
        <f>"CRAWFORD WANDA F, CRAWFORD EVAN W"</f>
        <v>CRAWFORD WANDA F, CRAWFORD EVAN W</v>
      </c>
      <c r="C3052" s="1" t="str">
        <f>"6735 LONDON GROVEPORT RD ENTRY 978 2.224 ACRES"</f>
        <v>6735 LONDON GROVEPORT RD ENTRY 978 2.224 ACRES</v>
      </c>
      <c r="D3052" s="1">
        <v>186.67</v>
      </c>
    </row>
    <row r="3053" spans="1:4" x14ac:dyDescent="0.3">
      <c r="A3053" s="1" t="str">
        <f>"56022560300"</f>
        <v>56022560300</v>
      </c>
      <c r="B3053" s="1" t="str">
        <f>"CRAWFORD WILLIAM V, CRAWFORD SUSAN K"</f>
        <v>CRAWFORD WILLIAM V, CRAWFORD SUSAN K</v>
      </c>
      <c r="C3053" s="1" t="str">
        <f>"THORNAPPLE GROVE SECTION 1 PART 1 LOT 30"</f>
        <v>THORNAPPLE GROVE SECTION 1 PART 1 LOT 30</v>
      </c>
      <c r="D3053" s="1">
        <v>3244.18</v>
      </c>
    </row>
    <row r="3054" spans="1:4" x14ac:dyDescent="0.3">
      <c r="A3054" s="1" t="str">
        <f>"01009104300"</f>
        <v>01009104300</v>
      </c>
      <c r="B3054" s="1" t="str">
        <f>"CREAMER MARK E TTEE"</f>
        <v>CREAMER MARK E TTEE</v>
      </c>
      <c r="C3054" s="1" t="str">
        <f>"504 EASTMOOR BLVD EASTMOOR LOT 461"</f>
        <v>504 EASTMOOR BLVD EASTMOOR LOT 461</v>
      </c>
      <c r="D3054" s="1">
        <v>2955.83</v>
      </c>
    </row>
    <row r="3055" spans="1:4" x14ac:dyDescent="0.3">
      <c r="A3055" s="1" t="str">
        <f>"23000103400"</f>
        <v>23000103400</v>
      </c>
      <c r="B3055" s="1" t="str">
        <f>"CRECELIUS KRISTA A"</f>
        <v>CRECELIUS KRISTA A</v>
      </c>
      <c r="C3055" s="1" t="str">
        <f>"LONDON&amp;LOCKBOURNE RD ENTRY 978 5.654 ACRES"</f>
        <v>LONDON&amp;LOCKBOURNE RD ENTRY 978 5.654 ACRES</v>
      </c>
      <c r="D3055" s="1">
        <v>429.66</v>
      </c>
    </row>
    <row r="3056" spans="1:4" x14ac:dyDescent="0.3">
      <c r="A3056" s="1" t="str">
        <f>"01006064600"</f>
        <v>01006064600</v>
      </c>
      <c r="B3056" s="1" t="str">
        <f>"CREDLE JEANETTE M"</f>
        <v>CREDLE JEANETTE M</v>
      </c>
      <c r="C3056" s="1" t="str">
        <f>"19TH AVE WALDEMERE LOT 419"</f>
        <v>19TH AVE WALDEMERE LOT 419</v>
      </c>
      <c r="D3056" s="1">
        <v>1623.7</v>
      </c>
    </row>
    <row r="3057" spans="1:4" x14ac:dyDescent="0.3">
      <c r="A3057" s="1" t="str">
        <f>"01006065900"</f>
        <v>01006065900</v>
      </c>
      <c r="B3057" s="1" t="str">
        <f>"CREDLE JEANNETTE M"</f>
        <v>CREDLE JEANNETTE M</v>
      </c>
      <c r="C3057" s="1" t="str">
        <f>"1418 18TH AVE WALDEMERE LOT 432"</f>
        <v>1418 18TH AVE WALDEMERE LOT 432</v>
      </c>
      <c r="D3057" s="1">
        <v>1393.7</v>
      </c>
    </row>
    <row r="3058" spans="1:4" x14ac:dyDescent="0.3">
      <c r="A3058" s="1" t="str">
        <f>"01012526500"</f>
        <v>01012526500</v>
      </c>
      <c r="B3058" s="1" t="str">
        <f>"CREDLE JEANNETTE M"</f>
        <v>CREDLE JEANNETTE M</v>
      </c>
      <c r="C3058" s="1" t="str">
        <f>"DURHAM DR. SOUTHFIELD 2ND. LOT 70"</f>
        <v>DURHAM DR. SOUTHFIELD 2ND. LOT 70</v>
      </c>
      <c r="D3058" s="1">
        <v>1707.73</v>
      </c>
    </row>
    <row r="3059" spans="1:4" x14ac:dyDescent="0.3">
      <c r="A3059" s="1" t="str">
        <f>"06000287400"</f>
        <v>06000287400</v>
      </c>
      <c r="B3059" s="1" t="str">
        <f>"CREECH BARBARA J, MASTERSON DEBORAH K"</f>
        <v>CREECH BARBARA J, MASTERSON DEBORAH K</v>
      </c>
      <c r="C3059" s="1" t="str">
        <f>"DEAN COURT H C HUBER PL 36 SEC 4 448"</f>
        <v>DEAN COURT H C HUBER PL 36 SEC 4 448</v>
      </c>
      <c r="D3059" s="1">
        <v>134.6</v>
      </c>
    </row>
    <row r="3060" spans="1:4" x14ac:dyDescent="0.3">
      <c r="A3060" s="1" t="str">
        <f>"01003915400"</f>
        <v>01003915400</v>
      </c>
      <c r="B3060" s="1" t="str">
        <f>"CREED KENNETH"</f>
        <v>CREED KENNETH</v>
      </c>
      <c r="C3060" s="1" t="str">
        <f>"93-95 N YALE AVE FRANKLIN 2 LOT 57"</f>
        <v>93-95 N YALE AVE FRANKLIN 2 LOT 57</v>
      </c>
      <c r="D3060" s="1">
        <v>1227.5</v>
      </c>
    </row>
    <row r="3061" spans="1:4" x14ac:dyDescent="0.3">
      <c r="A3061" s="1" t="str">
        <f>"01012176300"</f>
        <v>01012176300</v>
      </c>
      <c r="B3061" s="1" t="str">
        <f>"CREEDON BRIAN R"</f>
        <v>CREEDON BRIAN R</v>
      </c>
      <c r="C3061" s="1" t="str">
        <f>"EAKIN RD RAINBOW LOT 44"</f>
        <v>EAKIN RD RAINBOW LOT 44</v>
      </c>
      <c r="D3061" s="1">
        <v>81.99</v>
      </c>
    </row>
    <row r="3062" spans="1:4" x14ac:dyDescent="0.3">
      <c r="A3062" s="1" t="str">
        <f>"57020882400"</f>
        <v>57020882400</v>
      </c>
      <c r="B3062" s="1" t="str">
        <f>"CREEKSEDGE LLC"</f>
        <v>CREEKSEDGE LLC</v>
      </c>
      <c r="C3062" s="1" t="str">
        <f>"CREEKSEDGE VILLAGE CONDO PHASE 1 BLDG 2 UNIT A"</f>
        <v>CREEKSEDGE VILLAGE CONDO PHASE 1 BLDG 2 UNIT A</v>
      </c>
      <c r="D3062" s="1">
        <v>500.67</v>
      </c>
    </row>
    <row r="3063" spans="1:4" x14ac:dyDescent="0.3">
      <c r="A3063" s="1" t="str">
        <f>"57020882600"</f>
        <v>57020882600</v>
      </c>
      <c r="B3063" s="1" t="str">
        <f>"CREEKSEDGE LLC"</f>
        <v>CREEKSEDGE LLC</v>
      </c>
      <c r="C3063" s="1" t="str">
        <f>"CREEDSEDGE VILLAGE CONDO PHASE 1 BLDG 3 UNIT A"</f>
        <v>CREEDSEDGE VILLAGE CONDO PHASE 1 BLDG 3 UNIT A</v>
      </c>
      <c r="D3063" s="1">
        <v>500.67</v>
      </c>
    </row>
    <row r="3064" spans="1:4" x14ac:dyDescent="0.3">
      <c r="A3064" s="1" t="str">
        <f>"14000129600"</f>
        <v>14000129600</v>
      </c>
      <c r="B3064" s="1" t="str">
        <f>"CREIGHTON NICOLE AMBER"</f>
        <v>CREIGHTON NICOLE AMBER</v>
      </c>
      <c r="C3064" s="1" t="str">
        <f>"1747 BELMEAD AVE GIBSON PARK PLACE LOT 330"</f>
        <v>1747 BELMEAD AVE GIBSON PARK PLACE LOT 330</v>
      </c>
      <c r="D3064" s="1">
        <v>1801.67</v>
      </c>
    </row>
    <row r="3065" spans="1:4" x14ac:dyDescent="0.3">
      <c r="A3065" s="1" t="str">
        <f>"57018213900"</f>
        <v>57018213900</v>
      </c>
      <c r="B3065" s="1" t="str">
        <f>"CREIGHTON TERRENCE, CREIGHTON MARGARET"</f>
        <v>CREIGHTON TERRENCE, CREIGHTON MARGARET</v>
      </c>
      <c r="C3065" s="1" t="str">
        <f>"TILIA CT LAUREL GREENE 4 PH 2 LOT 599"</f>
        <v>TILIA CT LAUREL GREENE 4 PH 2 LOT 599</v>
      </c>
      <c r="D3065" s="1">
        <v>179.53</v>
      </c>
    </row>
    <row r="3066" spans="1:4" x14ac:dyDescent="0.3">
      <c r="A3066" s="1" t="str">
        <f>"01001910100"</f>
        <v>01001910100</v>
      </c>
      <c r="B3066" s="1" t="str">
        <f>"CREMATION CENTER OF OHIO LLC, DFS ENTERPRISES LLC"</f>
        <v>CREMATION CENTER OF OHIO LLC, DFS ENTERPRISES LLC</v>
      </c>
      <c r="C3066" s="1" t="str">
        <f>"ALUM CREEK DR R22 T5 S25 1/2 S36-37 1.3588 ACRES"</f>
        <v>ALUM CREEK DR R22 T5 S25 1/2 S36-37 1.3588 ACRES</v>
      </c>
      <c r="D3066" s="1">
        <v>7479.03</v>
      </c>
    </row>
    <row r="3067" spans="1:4" x14ac:dyDescent="0.3">
      <c r="A3067" s="1" t="str">
        <f>"01028236400"</f>
        <v>01028236400</v>
      </c>
      <c r="B3067" s="1" t="str">
        <f>"CRESSON RENTALS LLC"</f>
        <v>CRESSON RENTALS LLC</v>
      </c>
      <c r="C3067" s="1" t="str">
        <f>"TRADITIONS AT CREEKVIEW CONDOMINIUMS 4TH AMD BLDG 1 UNIT 189"</f>
        <v>TRADITIONS AT CREEKVIEW CONDOMINIUMS 4TH AMD BLDG 1 UNIT 189</v>
      </c>
      <c r="D3067" s="1">
        <v>2565.19</v>
      </c>
    </row>
    <row r="3068" spans="1:4" x14ac:dyDescent="0.3">
      <c r="A3068" s="1" t="str">
        <f>"01010508400"</f>
        <v>01010508400</v>
      </c>
      <c r="B3068" s="1" t="str">
        <f>"CRESSON RENTALS LLC"</f>
        <v>CRESSON RENTALS LLC</v>
      </c>
      <c r="C3068" s="1" t="str">
        <f>"MINERVA AVE CHASELAND MANOR LOT 307"</f>
        <v>MINERVA AVE CHASELAND MANOR LOT 307</v>
      </c>
      <c r="D3068" s="1">
        <v>3142.71</v>
      </c>
    </row>
    <row r="3069" spans="1:4" x14ac:dyDescent="0.3">
      <c r="A3069" s="1" t="str">
        <f>"01012945800"</f>
        <v>01012945800</v>
      </c>
      <c r="B3069" s="1" t="str">
        <f>"CRESTWOOD VILLAGE TOWNHOMES TH LLC"</f>
        <v>CRESTWOOD VILLAGE TOWNHOMES TH LLC</v>
      </c>
      <c r="C3069" s="1" t="str">
        <f>"CLAIRPOINT COURT SCOTTWOOD 2 LOT 148"</f>
        <v>CLAIRPOINT COURT SCOTTWOOD 2 LOT 148</v>
      </c>
      <c r="D3069" s="1">
        <v>7560.52</v>
      </c>
    </row>
    <row r="3070" spans="1:4" x14ac:dyDescent="0.3">
      <c r="A3070" s="1" t="str">
        <f>"01012945900"</f>
        <v>01012945900</v>
      </c>
      <c r="B3070" s="1" t="str">
        <f>"CRESTWOOD VILLAGE TOWNHOMES TH LLC"</f>
        <v>CRESTWOOD VILLAGE TOWNHOMES TH LLC</v>
      </c>
      <c r="C3070" s="1" t="str">
        <f>"CLAIRPOINT COURT SCOTTWOOD 2 LOT 149"</f>
        <v>CLAIRPOINT COURT SCOTTWOOD 2 LOT 149</v>
      </c>
      <c r="D3070" s="1">
        <v>7699.95</v>
      </c>
    </row>
    <row r="3071" spans="1:4" x14ac:dyDescent="0.3">
      <c r="A3071" s="1" t="str">
        <f>"01012946000"</f>
        <v>01012946000</v>
      </c>
      <c r="B3071" s="1" t="str">
        <f>"CRESTWOOD VILLAGE TOWNHOMES TH LLC"</f>
        <v>CRESTWOOD VILLAGE TOWNHOMES TH LLC</v>
      </c>
      <c r="C3071" s="1" t="str">
        <f>"CLAIRPOINT COURT SCOTTWOOD 2 LOT 150"</f>
        <v>CLAIRPOINT COURT SCOTTWOOD 2 LOT 150</v>
      </c>
      <c r="D3071" s="1">
        <v>8566.84</v>
      </c>
    </row>
    <row r="3072" spans="1:4" x14ac:dyDescent="0.3">
      <c r="A3072" s="1" t="str">
        <f>"01012946100"</f>
        <v>01012946100</v>
      </c>
      <c r="B3072" s="1" t="str">
        <f>"CRESTWOOD VILLAGE TOWNHOMES TH LLC"</f>
        <v>CRESTWOOD VILLAGE TOWNHOMES TH LLC</v>
      </c>
      <c r="C3072" s="1" t="str">
        <f>"CLAIRPOINT COURT SCOTTWOOD 2 LOT 151"</f>
        <v>CLAIRPOINT COURT SCOTTWOOD 2 LOT 151</v>
      </c>
      <c r="D3072" s="1">
        <v>7687.82</v>
      </c>
    </row>
    <row r="3073" spans="1:4" x14ac:dyDescent="0.3">
      <c r="A3073" s="1" t="str">
        <f>"01012946200"</f>
        <v>01012946200</v>
      </c>
      <c r="B3073" s="1" t="str">
        <f>"CRESTWOOD VILLAGE TOWNHOMES TH LLC"</f>
        <v>CRESTWOOD VILLAGE TOWNHOMES TH LLC</v>
      </c>
      <c r="C3073" s="1" t="str">
        <f>"CLAIRPONT COURT SCOTTWOOD 2 LOT 152"</f>
        <v>CLAIRPONT COURT SCOTTWOOD 2 LOT 152</v>
      </c>
      <c r="D3073" s="1">
        <v>8287.98</v>
      </c>
    </row>
    <row r="3074" spans="1:4" x14ac:dyDescent="0.3">
      <c r="A3074" s="1" t="str">
        <f>"01012946300"</f>
        <v>01012946300</v>
      </c>
      <c r="B3074" s="1" t="str">
        <f>"CRESTWOOD VILLAGE TOWNHOMES TH LLC"</f>
        <v>CRESTWOOD VILLAGE TOWNHOMES TH LLC</v>
      </c>
      <c r="C3074" s="1" t="str">
        <f>"CLAIRPOINT COURT SCOTTWOOD 2 LOT 153"</f>
        <v>CLAIRPOINT COURT SCOTTWOOD 2 LOT 153</v>
      </c>
      <c r="D3074" s="1">
        <v>13097.95</v>
      </c>
    </row>
    <row r="3075" spans="1:4" x14ac:dyDescent="0.3">
      <c r="A3075" s="1" t="str">
        <f>"01012946400"</f>
        <v>01012946400</v>
      </c>
      <c r="B3075" s="1" t="str">
        <f>"CRESTWOOD VILLAGE TOWNHOMES TH LLC"</f>
        <v>CRESTWOOD VILLAGE TOWNHOMES TH LLC</v>
      </c>
      <c r="C3075" s="1" t="str">
        <f>"CLAIRPOINT COURT SCOTTWOOD 2 LOT 154"</f>
        <v>CLAIRPOINT COURT SCOTTWOOD 2 LOT 154</v>
      </c>
      <c r="D3075" s="1">
        <v>13556.07</v>
      </c>
    </row>
    <row r="3076" spans="1:4" x14ac:dyDescent="0.3">
      <c r="A3076" s="1" t="str">
        <f>"01001935800"</f>
        <v>01001935800</v>
      </c>
      <c r="B3076" s="1" t="str">
        <f>"CRETER THOMAS, MCMILLIN STEPHANY"</f>
        <v>CRETER THOMAS, MCMILLIN STEPHANY</v>
      </c>
      <c r="C3076" s="1" t="str">
        <f>"1064 FRANKLIN AVE HOFFMAN &amp; MC GREW LOT 182"</f>
        <v>1064 FRANKLIN AVE HOFFMAN &amp; MC GREW LOT 182</v>
      </c>
      <c r="D3076" s="1">
        <v>3356.93</v>
      </c>
    </row>
    <row r="3077" spans="1:4" x14ac:dyDescent="0.3">
      <c r="A3077" s="1" t="str">
        <f>"16100018600"</f>
        <v>16100018600</v>
      </c>
      <c r="B3077" s="1" t="str">
        <f>"CREWS DONNA J, CREWS WILLIAM, CREWS CHARISSE J, CREWS CANDACE L"</f>
        <v>CREWS DONNA J, CREWS WILLIAM, CREWS CHARISSE J, CREWS CANDACE L</v>
      </c>
      <c r="C3077" s="1" t="str">
        <f>"URBANCREST 7 BLK LOTS 6-8 &amp; W PT LOT 9"</f>
        <v>URBANCREST 7 BLK LOTS 6-8 &amp; W PT LOT 9</v>
      </c>
      <c r="D3077" s="1">
        <v>252.29</v>
      </c>
    </row>
    <row r="3078" spans="1:4" x14ac:dyDescent="0.3">
      <c r="A3078" s="1" t="str">
        <f>"01029427000"</f>
        <v>01029427000</v>
      </c>
      <c r="B3078" s="1" t="str">
        <f>"CRI OUTPARCELS LLC"</f>
        <v>CRI OUTPARCELS LLC</v>
      </c>
      <c r="C3078" s="1" t="str">
        <f>"HAMILTON RD R16 T2 1/4T3 0.958 ACRE"</f>
        <v>HAMILTON RD R16 T2 1/4T3 0.958 ACRE</v>
      </c>
      <c r="D3078" s="1">
        <v>23815.95</v>
      </c>
    </row>
    <row r="3079" spans="1:4" x14ac:dyDescent="0.3">
      <c r="A3079" s="1" t="str">
        <f>"11000588400"</f>
        <v>11000588400</v>
      </c>
      <c r="B3079" s="1" t="str">
        <f>"CRI OUTPARCELS LLC"</f>
        <v>CRI OUTPARCELS LLC</v>
      </c>
      <c r="C3079" s="1" t="s">
        <v>6</v>
      </c>
      <c r="D3079" s="1">
        <v>16412.63</v>
      </c>
    </row>
    <row r="3080" spans="1:4" x14ac:dyDescent="0.3">
      <c r="A3080" s="1" t="str">
        <f>"11000241900"</f>
        <v>11000241900</v>
      </c>
      <c r="B3080" s="1" t="str">
        <f>"CRIM-BIGNEY STEPHANIE L TR"</f>
        <v>CRIM-BIGNEY STEPHANIE L TR</v>
      </c>
      <c r="C3080" s="1" t="str">
        <f>"ABINGTON RD CLEVELAND HTS 113 "</f>
        <v xml:space="preserve">ABINGTON RD CLEVELAND HTS 113 </v>
      </c>
      <c r="D3080" s="1">
        <v>40.869999999999997</v>
      </c>
    </row>
    <row r="3081" spans="1:4" x14ac:dyDescent="0.3">
      <c r="A3081" s="1" t="str">
        <f>"08000456800"</f>
        <v>08000456800</v>
      </c>
      <c r="B3081" s="1" t="str">
        <f>"CRIM-GIBNEY STEPHANIE L TR"</f>
        <v>CRIM-GIBNEY STEPHANIE L TR</v>
      </c>
      <c r="C3081" s="1" t="str">
        <f>"BURNS DRIVE LAKELAND SUB DIVISION 4 LOT 184"</f>
        <v>BURNS DRIVE LAKELAND SUB DIVISION 4 LOT 184</v>
      </c>
      <c r="D3081" s="1">
        <v>276.26</v>
      </c>
    </row>
    <row r="3082" spans="1:4" x14ac:dyDescent="0.3">
      <c r="A3082" s="1" t="str">
        <f>"11000241600"</f>
        <v>11000241600</v>
      </c>
      <c r="B3082" s="1" t="str">
        <f>"CRIM-GIBNEY STEPHANIE L TR"</f>
        <v>CRIM-GIBNEY STEPHANIE L TR</v>
      </c>
      <c r="C3082" s="1" t="str">
        <f>"ABINGTON RD CLEVELAND HTS 110 "</f>
        <v xml:space="preserve">ABINGTON RD CLEVELAND HTS 110 </v>
      </c>
      <c r="D3082" s="1">
        <v>40.869999999999997</v>
      </c>
    </row>
    <row r="3083" spans="1:4" x14ac:dyDescent="0.3">
      <c r="A3083" s="1" t="str">
        <f>"11000241700"</f>
        <v>11000241700</v>
      </c>
      <c r="B3083" s="1" t="str">
        <f>"CRIM-GIBNEY STEPHANIE L TR"</f>
        <v>CRIM-GIBNEY STEPHANIE L TR</v>
      </c>
      <c r="C3083" s="1" t="str">
        <f>"2588 ABINGTON ROAD CLEVELAND HTS 111 "</f>
        <v xml:space="preserve">2588 ABINGTON ROAD CLEVELAND HTS 111 </v>
      </c>
      <c r="D3083" s="1">
        <v>180.54</v>
      </c>
    </row>
    <row r="3084" spans="1:4" x14ac:dyDescent="0.3">
      <c r="A3084" s="1" t="str">
        <f>"11000241800"</f>
        <v>11000241800</v>
      </c>
      <c r="B3084" s="1" t="str">
        <f>"CRIM-GIBNEY STEPHANIE L TR"</f>
        <v>CRIM-GIBNEY STEPHANIE L TR</v>
      </c>
      <c r="C3084" s="1" t="str">
        <f>"ABINGTON RD CLEVELAND HTS 112 "</f>
        <v xml:space="preserve">ABINGTON RD CLEVELAND HTS 112 </v>
      </c>
      <c r="D3084" s="1">
        <v>40.869999999999997</v>
      </c>
    </row>
    <row r="3085" spans="1:4" x14ac:dyDescent="0.3">
      <c r="A3085" s="1" t="str">
        <f>"61019994600"</f>
        <v>61019994600</v>
      </c>
      <c r="B3085" s="1" t="str">
        <f>"CRINER LARRY"</f>
        <v>CRINER LARRY</v>
      </c>
      <c r="C3085" s="1" t="str">
        <f>"WORTHINGTON WOODS WEST CONDO 3 UNIT 7 B"</f>
        <v>WORTHINGTON WOODS WEST CONDO 3 UNIT 7 B</v>
      </c>
      <c r="D3085" s="1">
        <v>3900.88</v>
      </c>
    </row>
    <row r="3086" spans="1:4" x14ac:dyDescent="0.3">
      <c r="A3086" s="1" t="str">
        <f>"01006895000"</f>
        <v>01006895000</v>
      </c>
      <c r="B3086" s="1" t="str">
        <f>"CRIST RONALD J, CRIST PATRICIA A"</f>
        <v>CRIST RONALD J, CRIST PATRICIA A</v>
      </c>
      <c r="C3086" s="1" t="str">
        <f>"CHESTERSHIRE RD WILSHIRE HEIGHTS LOT 5 BLK 24 &amp;1/2 4"</f>
        <v>CHESTERSHIRE RD WILSHIRE HEIGHTS LOT 5 BLK 24 &amp;1/2 4</v>
      </c>
      <c r="D3086" s="1">
        <v>3130.7</v>
      </c>
    </row>
    <row r="3087" spans="1:4" x14ac:dyDescent="0.3">
      <c r="A3087" s="1" t="str">
        <f>"01010157800"</f>
        <v>01010157800</v>
      </c>
      <c r="B3087" s="1" t="str">
        <f>"CRISTOFANI KENNETH A"</f>
        <v>CRISTOFANI KENNETH A</v>
      </c>
      <c r="C3087" s="1" t="str">
        <f>"COTTINGHAM CT EAST BERWICK HTS. 2 LOT 221"</f>
        <v>COTTINGHAM CT EAST BERWICK HTS. 2 LOT 221</v>
      </c>
      <c r="D3087" s="1">
        <v>322.51</v>
      </c>
    </row>
    <row r="3088" spans="1:4" x14ac:dyDescent="0.3">
      <c r="A3088" s="1" t="str">
        <f>"57010512200"</f>
        <v>57010512200</v>
      </c>
      <c r="B3088" s="1" t="str">
        <f>"CRL LEASING LLC"</f>
        <v>CRL LEASING LLC</v>
      </c>
      <c r="C3088" s="1" t="str">
        <f>"HARDY PARKWAY ST FRANK RD IND PK 3 0.903 AC LOT RES 1"</f>
        <v>HARDY PARKWAY ST FRANK RD IND PK 3 0.903 AC LOT RES 1</v>
      </c>
      <c r="D3088" s="1">
        <v>470.74</v>
      </c>
    </row>
    <row r="3089" spans="1:4" x14ac:dyDescent="0.3">
      <c r="A3089" s="1" t="str">
        <f>"01012167800"</f>
        <v>01012167800</v>
      </c>
      <c r="B3089" s="1" t="str">
        <f>"CRNKOVICH ANTHONY J, CRNKOVICH VICTORIA"</f>
        <v>CRNKOVICH ANTHONY J, CRNKOVICH VICTORIA</v>
      </c>
      <c r="C3089" s="1" t="str">
        <f>"OLENTANGY RIVER RD R18 T1 1-4T2 LOTS 2 &amp; 16"</f>
        <v>OLENTANGY RIVER RD R18 T1 1-4T2 LOTS 2 &amp; 16</v>
      </c>
      <c r="D3089" s="1">
        <v>142.99</v>
      </c>
    </row>
    <row r="3090" spans="1:4" x14ac:dyDescent="0.3">
      <c r="A3090" s="1" t="str">
        <f>"23000223300"</f>
        <v>23000223300</v>
      </c>
      <c r="B3090" s="1" t="str">
        <f>"CROCKETT JACK W, SHEETS DEANNA M"</f>
        <v>CROCKETT JACK W, SHEETS DEANNA M</v>
      </c>
      <c r="C3090" s="1" t="str">
        <f>"HARRISBURG PK ENTRY 6178 5.1316 ACRES"</f>
        <v>HARRISBURG PK ENTRY 6178 5.1316 ACRES</v>
      </c>
      <c r="D3090" s="1">
        <v>2109</v>
      </c>
    </row>
    <row r="3091" spans="1:4" x14ac:dyDescent="0.3">
      <c r="A3091" s="1" t="str">
        <f>"01006973800"</f>
        <v>01006973800</v>
      </c>
      <c r="B3091" s="1" t="str">
        <f>"CROCKETT JACQUELINE Y"</f>
        <v>CROCKETT JACQUELINE Y</v>
      </c>
      <c r="C3091" s="1" t="str">
        <f>"1181 E 18TH AVE WILLARD CLEVELAND HTS LOT 64"</f>
        <v>1181 E 18TH AVE WILLARD CLEVELAND HTS LOT 64</v>
      </c>
      <c r="D3091" s="1">
        <v>1035.8499999999999</v>
      </c>
    </row>
    <row r="3092" spans="1:4" x14ac:dyDescent="0.3">
      <c r="A3092" s="1" t="str">
        <f>"53028258100"</f>
        <v>53028258100</v>
      </c>
      <c r="B3092" s="1" t="str">
        <f>"CROCKETT KEEYANNA M TR"</f>
        <v>CROCKETT KEEYANNA M TR</v>
      </c>
      <c r="C3092" s="1" t="str">
        <f>"5776 MOUZON DRIVE TRAILS AT CHATTERTON EAST SECTION 1 PART 1 LOT 9"</f>
        <v>5776 MOUZON DRIVE TRAILS AT CHATTERTON EAST SECTION 1 PART 1 LOT 9</v>
      </c>
      <c r="D3092" s="1">
        <v>2940.47</v>
      </c>
    </row>
    <row r="3093" spans="1:4" x14ac:dyDescent="0.3">
      <c r="A3093" s="1" t="str">
        <f>"01014175100"</f>
        <v>01014175100</v>
      </c>
      <c r="B3093" s="1" t="str">
        <f>"CROCKETT KEEYANNA M TR"</f>
        <v>CROCKETT KEEYANNA M TR</v>
      </c>
      <c r="C3093" s="1" t="str">
        <f>"GATEWOOD RD SOMERSET 1 LOT 283"</f>
        <v>GATEWOOD RD SOMERSET 1 LOT 283</v>
      </c>
      <c r="D3093" s="1">
        <v>2136.2800000000002</v>
      </c>
    </row>
    <row r="3094" spans="1:4" x14ac:dyDescent="0.3">
      <c r="A3094" s="1" t="str">
        <f>"01006655400"</f>
        <v>01006655400</v>
      </c>
      <c r="B3094" s="1" t="str">
        <f>"CROCKETT KEEYANNA M TR"</f>
        <v>CROCKETT KEEYANNA M TR</v>
      </c>
      <c r="C3094" s="1" t="str">
        <f>"TAYLOR AVE MULBUR PARK LOT 66"</f>
        <v>TAYLOR AVE MULBUR PARK LOT 66</v>
      </c>
      <c r="D3094" s="1">
        <v>1251.99</v>
      </c>
    </row>
    <row r="3095" spans="1:4" x14ac:dyDescent="0.3">
      <c r="A3095" s="1" t="str">
        <f>"01010925400"</f>
        <v>01010925400</v>
      </c>
      <c r="B3095" s="1" t="str">
        <f>"CROCKETT KEEYANNA M TTEE"</f>
        <v>CROCKETT KEEYANNA M TTEE</v>
      </c>
      <c r="C3095" s="1" t="str">
        <f>"WOODLAND AVE ARLINGTON PARK TRACT 2 LOT 13 BLK T"</f>
        <v>WOODLAND AVE ARLINGTON PARK TRACT 2 LOT 13 BLK T</v>
      </c>
      <c r="D3095" s="1">
        <v>1249.77</v>
      </c>
    </row>
    <row r="3096" spans="1:4" x14ac:dyDescent="0.3">
      <c r="A3096" s="1" t="str">
        <f>"01003881300"</f>
        <v>01003881300</v>
      </c>
      <c r="B3096" s="1" t="str">
        <f>"CROCKETT MARILYN M"</f>
        <v>CROCKETT MARILYN M</v>
      </c>
      <c r="C3096" s="1" t="str">
        <f>"2233 MARGARET AVE 80 X 104.4 FT BAKERS SUB 1"</f>
        <v>2233 MARGARET AVE 80 X 104.4 FT BAKERS SUB 1</v>
      </c>
      <c r="D3096" s="1">
        <v>3588.86</v>
      </c>
    </row>
    <row r="3097" spans="1:4" x14ac:dyDescent="0.3">
      <c r="A3097" s="1" t="str">
        <f>"01009504500"</f>
        <v>01009504500</v>
      </c>
      <c r="B3097" s="1" t="str">
        <f>"CROCKETT TOMMICKO"</f>
        <v>CROCKETT TOMMICKO</v>
      </c>
      <c r="C3097" s="1" t="str">
        <f>"1243-5 FOREST ST 50 FT WE OF EACH STUDER LOT 170-1"</f>
        <v>1243-5 FOREST ST 50 FT WE OF EACH STUDER LOT 170-1</v>
      </c>
      <c r="D3097" s="1">
        <v>796.23</v>
      </c>
    </row>
    <row r="3098" spans="1:4" x14ac:dyDescent="0.3">
      <c r="A3098" s="1" t="str">
        <f>"01005176300"</f>
        <v>01005176300</v>
      </c>
      <c r="B3098" s="1" t="str">
        <f>"CROCKETT TOMMICKO"</f>
        <v>CROCKETT TOMMICKO</v>
      </c>
      <c r="C3098" s="1" t="str">
        <f>"994 LINWOOD AVE STUDER AMD LOT 194-5"</f>
        <v>994 LINWOOD AVE STUDER AMD LOT 194-5</v>
      </c>
      <c r="D3098" s="1">
        <v>3878.42</v>
      </c>
    </row>
    <row r="3099" spans="1:4" x14ac:dyDescent="0.3">
      <c r="A3099" s="1" t="str">
        <f>"19000406900"</f>
        <v>19000406900</v>
      </c>
      <c r="B3099" s="1" t="str">
        <f>"CROCKETT TOMMICKO"</f>
        <v>CROCKETT TOMMICKO</v>
      </c>
      <c r="C3099" s="1" t="str">
        <f>"N FERRIS PK DR FERRIS PK 49 "</f>
        <v xml:space="preserve">N FERRIS PK DR FERRIS PK 49 </v>
      </c>
      <c r="D3099" s="1">
        <v>3602.2</v>
      </c>
    </row>
    <row r="3100" spans="1:4" x14ac:dyDescent="0.3">
      <c r="A3100" s="1" t="str">
        <f>"06000568100"</f>
        <v>06000568100</v>
      </c>
      <c r="B3100" s="1" t="str">
        <f>"CROCKRON DAISY L"</f>
        <v>CROCKRON DAISY L</v>
      </c>
      <c r="C3100" s="1" t="str">
        <f>"2202 BELLTREE DRIVE EASTSHIRE LOT 22"</f>
        <v>2202 BELLTREE DRIVE EASTSHIRE LOT 22</v>
      </c>
      <c r="D3100" s="1">
        <v>4614.9399999999996</v>
      </c>
    </row>
    <row r="3101" spans="1:4" x14ac:dyDescent="0.3">
      <c r="A3101" s="1" t="str">
        <f>"01011958900"</f>
        <v>01011958900</v>
      </c>
      <c r="B3101" s="1" t="str">
        <f>"CROMLEY TINA, PATTERSON DONEETA"</f>
        <v>CROMLEY TINA, PATTERSON DONEETA</v>
      </c>
      <c r="C3101" s="1" t="str">
        <f>"HILLGATE LOT 7 "</f>
        <v xml:space="preserve">HILLGATE LOT 7 </v>
      </c>
      <c r="D3101" s="1">
        <v>129.72999999999999</v>
      </c>
    </row>
    <row r="3102" spans="1:4" x14ac:dyDescent="0.3">
      <c r="A3102" s="1" t="str">
        <f>"01014153800"</f>
        <v>01014153800</v>
      </c>
      <c r="B3102" s="1" t="str">
        <f>"CROOM MARIE"</f>
        <v>CROOM MARIE</v>
      </c>
      <c r="C3102" s="1" t="str">
        <f>"HASKELL DR SOMERSET 1 LOT 70"</f>
        <v>HASKELL DR SOMERSET 1 LOT 70</v>
      </c>
      <c r="D3102" s="1">
        <v>2058.3200000000002</v>
      </c>
    </row>
    <row r="3103" spans="1:4" x14ac:dyDescent="0.3">
      <c r="A3103" s="1" t="str">
        <f>"17000050100"</f>
        <v>17000050100</v>
      </c>
      <c r="B3103" s="1" t="str">
        <f>"CROSBY ROSELLA R TOD"</f>
        <v>CROSBY ROSELLA R TOD</v>
      </c>
      <c r="C3103" s="1" t="str">
        <f>"6750 CLARK ST RD R16 T1 URP LOT 6 2.816 ACRES"</f>
        <v>6750 CLARK ST RD R16 T1 URP LOT 6 2.816 ACRES</v>
      </c>
      <c r="D3103" s="1">
        <v>273.63</v>
      </c>
    </row>
    <row r="3104" spans="1:4" x14ac:dyDescent="0.3">
      <c r="A3104" s="1" t="str">
        <f>"08000250700"</f>
        <v>08000250700</v>
      </c>
      <c r="B3104" s="1" t="str">
        <f>"CROSIER JOHANNA R, CROSIER AARON L"</f>
        <v>CROSIER JOHANNA R, CROSIER AARON L</v>
      </c>
      <c r="C3104" s="1" t="str">
        <f>"230 E WALNUT ST ALL 130 &amp; W 1/2 131 LLEWELLYN PK 130 131"</f>
        <v>230 E WALNUT ST ALL 130 &amp; W 1/2 131 LLEWELLYN PK 130 131</v>
      </c>
      <c r="D3104" s="1">
        <v>2405.81</v>
      </c>
    </row>
    <row r="3105" spans="1:4" x14ac:dyDescent="0.3">
      <c r="A3105" s="1" t="str">
        <f>"01007048100"</f>
        <v>01007048100</v>
      </c>
      <c r="B3105" s="1" t="str">
        <f>"CROSKY RUSSELL L, HARVEY KARIN P"</f>
        <v>CROSKY RUSSELL L, HARVEY KARIN P</v>
      </c>
      <c r="C3105" s="1" t="str">
        <f>"WESTGATE AVE WESTGATE LOT 47"</f>
        <v>WESTGATE AVE WESTGATE LOT 47</v>
      </c>
      <c r="D3105" s="1">
        <v>1508.8</v>
      </c>
    </row>
    <row r="3106" spans="1:4" x14ac:dyDescent="0.3">
      <c r="A3106" s="1" t="str">
        <f>"09000256500"</f>
        <v>09000256500</v>
      </c>
      <c r="B3106" s="1" t="str">
        <f>"CROSS COLLEEN A TTEE"</f>
        <v>CROSS COLLEEN A TTEE</v>
      </c>
      <c r="C3106" s="1" t="str">
        <f>"4070 MAYFLOWER BLVD PINEWOOD LOT 99"</f>
        <v>4070 MAYFLOWER BLVD PINEWOOD LOT 99</v>
      </c>
      <c r="D3106" s="1">
        <v>348.78</v>
      </c>
    </row>
    <row r="3107" spans="1:4" x14ac:dyDescent="0.3">
      <c r="A3107" s="1" t="str">
        <f>"01009648500"</f>
        <v>01009648500</v>
      </c>
      <c r="B3107" s="1" t="str">
        <f>"CROSS DAVID A"</f>
        <v>CROSS DAVID A</v>
      </c>
      <c r="C3107" s="1" t="str">
        <f>"DUXBERRY AVE HAMILTON SCHOOL LOT 5"</f>
        <v>DUXBERRY AVE HAMILTON SCHOOL LOT 5</v>
      </c>
      <c r="D3107" s="1">
        <v>867.88</v>
      </c>
    </row>
    <row r="3108" spans="1:4" x14ac:dyDescent="0.3">
      <c r="A3108" s="1" t="str">
        <f>"09000416900"</f>
        <v>09000416900</v>
      </c>
      <c r="B3108" s="1" t="str">
        <f>"CROSS RICHARD L"</f>
        <v>CROSS RICHARD L</v>
      </c>
      <c r="C3108" s="1" t="str">
        <f>"857 ERICKSON AVE GLENCOE LOT 373 "</f>
        <v xml:space="preserve">857 ERICKSON AVE GLENCOE LOT 373 </v>
      </c>
      <c r="D3108" s="1">
        <v>192.22</v>
      </c>
    </row>
    <row r="3109" spans="1:4" x14ac:dyDescent="0.3">
      <c r="A3109" s="1" t="str">
        <f>"09000416800"</f>
        <v>09000416800</v>
      </c>
      <c r="B3109" s="1" t="str">
        <f>"CROSS RICHARD L"</f>
        <v>CROSS RICHARD L</v>
      </c>
      <c r="C3109" s="1" t="str">
        <f>"ERICKSON AVE GLENCOE LOT 372 "</f>
        <v xml:space="preserve">ERICKSON AVE GLENCOE LOT 372 </v>
      </c>
      <c r="D3109" s="1">
        <v>60.29</v>
      </c>
    </row>
    <row r="3110" spans="1:4" x14ac:dyDescent="0.3">
      <c r="A3110" s="1" t="str">
        <f>"19000480500"</f>
        <v>19000480500</v>
      </c>
      <c r="B3110" s="1" t="str">
        <f>"CROSS RUFUS G"</f>
        <v>CROSS RUFUS G</v>
      </c>
      <c r="C3110" s="1" t="str">
        <f>"WOODLAND AVE S 1-2 98-54.33FT SS E LINDEN 3RD 98"</f>
        <v>WOODLAND AVE S 1-2 98-54.33FT SS E LINDEN 3RD 98</v>
      </c>
      <c r="D3110" s="1">
        <v>3625.86</v>
      </c>
    </row>
    <row r="3111" spans="1:4" x14ac:dyDescent="0.3">
      <c r="A3111" s="1" t="str">
        <f>"01011598600"</f>
        <v>01011598600</v>
      </c>
      <c r="B3111" s="1" t="str">
        <f>"CROSS STACEY ANN"</f>
        <v>CROSS STACEY ANN</v>
      </c>
      <c r="C3111" s="1" t="str">
        <f>"KOEBEL RD ACRES .231 PAR 2 URP"</f>
        <v>KOEBEL RD ACRES .231 PAR 2 URP</v>
      </c>
      <c r="D3111" s="1">
        <v>1468.58</v>
      </c>
    </row>
    <row r="3112" spans="1:4" x14ac:dyDescent="0.3">
      <c r="A3112" s="1" t="str">
        <f>"01010297000"</f>
        <v>01010297000</v>
      </c>
      <c r="B3112" s="1" t="str">
        <f>"CROSS TAMARA S"</f>
        <v>CROSS TAMARA S</v>
      </c>
      <c r="C3112" s="1" t="str">
        <f>"GERALDINE AVE WOODLAND TERRACE LOT 16"</f>
        <v>GERALDINE AVE WOODLAND TERRACE LOT 16</v>
      </c>
      <c r="D3112" s="1">
        <v>610.66999999999996</v>
      </c>
    </row>
    <row r="3113" spans="1:4" x14ac:dyDescent="0.3">
      <c r="A3113" s="1" t="str">
        <f>"01011899500"</f>
        <v>01011899500</v>
      </c>
      <c r="B3113" s="1" t="str">
        <f>"CROSS THOMAS E, CROSS SHERDINIA D"</f>
        <v>CROSS THOMAS E, CROSS SHERDINIA D</v>
      </c>
      <c r="C3113" s="1" t="str">
        <f>"SOUTHFIELD LOT 18 "</f>
        <v xml:space="preserve">SOUTHFIELD LOT 18 </v>
      </c>
      <c r="D3113" s="1">
        <v>1648.69</v>
      </c>
    </row>
    <row r="3114" spans="1:4" x14ac:dyDescent="0.3">
      <c r="A3114" s="1" t="str">
        <f>"01012373100"</f>
        <v>01012373100</v>
      </c>
      <c r="B3114" s="1" t="str">
        <f>"CROSSIN ROBERT P, KAREN L WYMER"</f>
        <v>CROSSIN ROBERT P, KAREN L WYMER</v>
      </c>
      <c r="C3114" s="1" t="str">
        <f>"LAMBETH DR BRENTWOOD PARK LOT 85"</f>
        <v>LAMBETH DR BRENTWOOD PARK LOT 85</v>
      </c>
      <c r="D3114" s="1">
        <v>1160.6199999999999</v>
      </c>
    </row>
    <row r="3115" spans="1:4" x14ac:dyDescent="0.3">
      <c r="A3115" s="1" t="str">
        <f>"01006033600"</f>
        <v>01006033600</v>
      </c>
      <c r="B3115" s="1" t="str">
        <f>"CROSSOVER CHURCH TEMPLE OF RESTORATION MINISTRIES INTERNATIONAL"</f>
        <v>CROSSOVER CHURCH TEMPLE OF RESTORATION MINISTRIES INTERNATIONAL</v>
      </c>
      <c r="C3115" s="1" t="str">
        <f>"1922-24 CLEVELAND WALDEMERE LOT 28"</f>
        <v>1922-24 CLEVELAND WALDEMERE LOT 28</v>
      </c>
      <c r="D3115" s="1">
        <v>256.45</v>
      </c>
    </row>
    <row r="3116" spans="1:4" x14ac:dyDescent="0.3">
      <c r="A3116" s="1" t="str">
        <f>"01008118500"</f>
        <v>01008118500</v>
      </c>
      <c r="B3116" s="1" t="str">
        <f>"CROSSROADS CAPITAL PROPERTIES LLC"</f>
        <v>CROSSROADS CAPITAL PROPERTIES LLC</v>
      </c>
      <c r="C3116" s="1" t="str">
        <f>"274 WREXHAM AVE W 1/2 LOT 41 MOLING &amp; LECHNER"</f>
        <v>274 WREXHAM AVE W 1/2 LOT 41 MOLING &amp; LECHNER</v>
      </c>
      <c r="D3116" s="1">
        <v>2012.55</v>
      </c>
    </row>
    <row r="3117" spans="1:4" x14ac:dyDescent="0.3">
      <c r="A3117" s="1" t="str">
        <f>"61012822900"</f>
        <v>61012822900</v>
      </c>
      <c r="B3117" s="1" t="str">
        <f>"CROSSROADS COMMUNITY CHURCH INC"</f>
        <v>CROSSROADS COMMUNITY CHURCH INC</v>
      </c>
      <c r="C3117" s="1" t="str">
        <f>"7343 WORTHINGTON GALENA R18 T2 1/4T1 0.821 ACRE LOT 4-5"</f>
        <v>7343 WORTHINGTON GALENA R18 T2 1/4T1 0.821 ACRE LOT 4-5</v>
      </c>
      <c r="D3117" s="1">
        <v>16354.23</v>
      </c>
    </row>
    <row r="3118" spans="1:4" x14ac:dyDescent="0.3">
      <c r="A3118" s="1" t="str">
        <f>"01001361800"</f>
        <v>01001361800</v>
      </c>
      <c r="B3118" s="1" t="str">
        <f>"CROSSSHORE LLC"</f>
        <v>CROSSSHORE LLC</v>
      </c>
      <c r="C3118" s="1" t="str">
        <f>"482 WHITTIER ST KAMPMAN &amp; BUEHL LOT 47-8"</f>
        <v>482 WHITTIER ST KAMPMAN &amp; BUEHL LOT 47-8</v>
      </c>
      <c r="D3118" s="1">
        <v>8069.84</v>
      </c>
    </row>
    <row r="3119" spans="1:4" x14ac:dyDescent="0.3">
      <c r="A3119" s="1" t="str">
        <f>"01013339200"</f>
        <v>01013339200</v>
      </c>
      <c r="B3119" s="1" t="str">
        <f>"CROSTON TRACI L, TAYLOR AUTUMN"</f>
        <v>CROSTON TRACI L, TAYLOR AUTUMN</v>
      </c>
      <c r="C3119" s="1" t="str">
        <f>"FELIX DR SOUTHFIELD 3 LOT 291"</f>
        <v>FELIX DR SOUTHFIELD 3 LOT 291</v>
      </c>
      <c r="D3119" s="1">
        <v>2185.79</v>
      </c>
    </row>
    <row r="3120" spans="1:4" x14ac:dyDescent="0.3">
      <c r="A3120" s="1" t="str">
        <f>"15100004400"</f>
        <v>15100004400</v>
      </c>
      <c r="B3120" s="1" t="str">
        <f>"CROUSE ROBERTA L"</f>
        <v>CROUSE ROBERTA L</v>
      </c>
      <c r="C3120" s="1" t="str">
        <f>"60 WILLIAMS ST VLG OF LOCKBOURNE LOTS 123 &amp; 124"</f>
        <v>60 WILLIAMS ST VLG OF LOCKBOURNE LOTS 123 &amp; 124</v>
      </c>
      <c r="D3120" s="1">
        <v>2637.69</v>
      </c>
    </row>
    <row r="3121" spans="1:4" x14ac:dyDescent="0.3">
      <c r="A3121" s="1" t="str">
        <f>"15100004300"</f>
        <v>15100004300</v>
      </c>
      <c r="B3121" s="1" t="str">
        <f>"CROUSE ROBERTA LOUISE"</f>
        <v>CROUSE ROBERTA LOUISE</v>
      </c>
      <c r="C3121" s="1" t="str">
        <f>"WILLIAMS ST LOCKBOURNE LOT 122"</f>
        <v>WILLIAMS ST LOCKBOURNE LOT 122</v>
      </c>
      <c r="D3121" s="1">
        <v>1760.75</v>
      </c>
    </row>
    <row r="3122" spans="1:4" x14ac:dyDescent="0.3">
      <c r="A3122" s="1" t="str">
        <f>"01013374300"</f>
        <v>01013374300</v>
      </c>
      <c r="B3122" s="1" t="str">
        <f>"CROWDER JUDY"</f>
        <v>CROWDER JUDY</v>
      </c>
      <c r="C3122" s="1" t="str">
        <f>"LIV-MOOR DR MILTWOOD LOT 14"</f>
        <v>LIV-MOOR DR MILTWOOD LOT 14</v>
      </c>
      <c r="D3122" s="1">
        <v>2004.71</v>
      </c>
    </row>
    <row r="3123" spans="1:4" x14ac:dyDescent="0.3">
      <c r="A3123" s="1" t="str">
        <f>"01002267800"</f>
        <v>01002267800</v>
      </c>
      <c r="B3123" s="1" t="str">
        <f>"CROWDER MAURICE"</f>
        <v>CROWDER MAURICE</v>
      </c>
      <c r="C3123" s="1" t="str">
        <f>"1800 E RICH ST 32.40 FT ES MARTIN&amp;STAGES LOT 30"</f>
        <v>1800 E RICH ST 32.40 FT ES MARTIN&amp;STAGES LOT 30</v>
      </c>
      <c r="D3123" s="1">
        <v>2565.3000000000002</v>
      </c>
    </row>
    <row r="3124" spans="1:4" x14ac:dyDescent="0.3">
      <c r="A3124" s="1" t="str">
        <f>"01001412100"</f>
        <v>01001412100</v>
      </c>
      <c r="B3124" s="1" t="str">
        <f>"CROWDER WILLIE Z JR"</f>
        <v>CROWDER WILLIE Z JR</v>
      </c>
      <c r="C3124" s="1" t="str">
        <f>"1929 SO 9TH ST 20TH CENTURY LOT 161"</f>
        <v>1929 SO 9TH ST 20TH CENTURY LOT 161</v>
      </c>
      <c r="D3124" s="1">
        <v>3225.37</v>
      </c>
    </row>
    <row r="3125" spans="1:4" x14ac:dyDescent="0.3">
      <c r="A3125" s="1" t="str">
        <f>"07000778000"</f>
        <v>07000778000</v>
      </c>
      <c r="B3125" s="1" t="str">
        <f>"CROWE MICHAEL R"</f>
        <v>CROWE MICHAEL R</v>
      </c>
      <c r="C3125" s="1" t="str">
        <f>"1870 MCCOY RD .421 ACRES RG 19 T1 1-4T 1"</f>
        <v>1870 MCCOY RD .421 ACRES RG 19 T1 1-4T 1</v>
      </c>
      <c r="D3125" s="1">
        <v>5805.29</v>
      </c>
    </row>
    <row r="3126" spans="1:4" x14ac:dyDescent="0.3">
      <c r="A3126" s="1" t="str">
        <f>"07001097000"</f>
        <v>07001097000</v>
      </c>
      <c r="B3126" s="1" t="str">
        <f>"CROWE MICHAEL R TTEE (CONNIE I CROWE TRUST)"</f>
        <v>CROWE MICHAEL R TTEE (CONNIE I CROWE TRUST)</v>
      </c>
      <c r="C3126" s="1" t="str">
        <f>"1620 ARDWICK RD REEDBURY LOT 12 "</f>
        <v xml:space="preserve">1620 ARDWICK RD REEDBURY LOT 12 </v>
      </c>
      <c r="D3126" s="1">
        <v>6306.2</v>
      </c>
    </row>
    <row r="3127" spans="1:4" x14ac:dyDescent="0.3">
      <c r="A3127" s="1" t="str">
        <f>"01020846400"</f>
        <v>01020846400</v>
      </c>
      <c r="B3127" s="1" t="str">
        <f>"CROWELL ALONDA P"</f>
        <v>CROWELL ALONDA P</v>
      </c>
      <c r="C3127" s="1" t="str">
        <f>"NORTHLAND SENIOR VILLAGE CONDO 3 UNIT 223"</f>
        <v>NORTHLAND SENIOR VILLAGE CONDO 3 UNIT 223</v>
      </c>
      <c r="D3127" s="1">
        <v>674.47</v>
      </c>
    </row>
    <row r="3128" spans="1:4" x14ac:dyDescent="0.3">
      <c r="A3128" s="1" t="str">
        <f>"27400063600"</f>
        <v>27400063600</v>
      </c>
      <c r="B3128" s="1" t="str">
        <f>"CROWELL LARRY A, CROWELL DEBORAH A"</f>
        <v>CROWELL LARRY A, CROWELL DEBORAH A</v>
      </c>
      <c r="C3128" s="1" t="str">
        <f>"BALLENTRAE LOOP BALLANTRAE SECTION 2 PART 3 LOT 273"</f>
        <v>BALLENTRAE LOOP BALLANTRAE SECTION 2 PART 3 LOT 273</v>
      </c>
      <c r="D3128" s="1">
        <v>674.28</v>
      </c>
    </row>
    <row r="3129" spans="1:4" x14ac:dyDescent="0.3">
      <c r="A3129" s="1" t="str">
        <f>"01006038300"</f>
        <v>01006038300</v>
      </c>
      <c r="B3129" s="1" t="str">
        <f>"CROWLEY JAMES J, PHILLIPS SYLVIA, GILLIS ANNETTA, CROWLEY LAURA"</f>
        <v>CROWLEY JAMES J, PHILLIPS SYLVIA, GILLIS ANNETTA, CROWLEY LAURA</v>
      </c>
      <c r="C3129" s="1" t="str">
        <f>"24TH AVE WALDEMERE LOT 97"</f>
        <v>24TH AVE WALDEMERE LOT 97</v>
      </c>
      <c r="D3129" s="1">
        <v>1006.56</v>
      </c>
    </row>
    <row r="3130" spans="1:4" x14ac:dyDescent="0.3">
      <c r="A3130" s="1" t="str">
        <f>"01002973800"</f>
        <v>01002973800</v>
      </c>
      <c r="B3130" s="1" t="str">
        <f>"CROWN TRIPOD INVESTMENT LLC"</f>
        <v>CROWN TRIPOD INVESTMENT LLC</v>
      </c>
      <c r="C3130" s="1" t="str">
        <f>"385 S RICHARDSON AVE BRONX LOT 127"</f>
        <v>385 S RICHARDSON AVE BRONX LOT 127</v>
      </c>
      <c r="D3130" s="1">
        <v>2011.41</v>
      </c>
    </row>
    <row r="3131" spans="1:4" x14ac:dyDescent="0.3">
      <c r="A3131" s="1" t="str">
        <f>"01002103500"</f>
        <v>01002103500</v>
      </c>
      <c r="B3131" s="1" t="str">
        <f>"CROY ROBERT"</f>
        <v>CROY ROBERT</v>
      </c>
      <c r="C3131" s="1" t="str">
        <f>"129 N OAKLEY AVE HIGHLAND PARK LOT 94"</f>
        <v>129 N OAKLEY AVE HIGHLAND PARK LOT 94</v>
      </c>
      <c r="D3131" s="1">
        <v>795.8</v>
      </c>
    </row>
    <row r="3132" spans="1:4" x14ac:dyDescent="0.3">
      <c r="A3132" s="1" t="str">
        <f>"01010275400"</f>
        <v>01010275400</v>
      </c>
      <c r="B3132" s="1" t="str">
        <f>"CRUCIAL HOLDINGS LTD"</f>
        <v>CRUCIAL HOLDINGS LTD</v>
      </c>
      <c r="C3132" s="1" t="str">
        <f>"EAKIN RD MIRIAM 4 LOT 13 BLK 17"</f>
        <v>EAKIN RD MIRIAM 4 LOT 13 BLK 17</v>
      </c>
      <c r="D3132" s="1">
        <v>4218.22</v>
      </c>
    </row>
    <row r="3133" spans="1:4" x14ac:dyDescent="0.3">
      <c r="A3133" s="1" t="str">
        <f>"01021336200"</f>
        <v>01021336200</v>
      </c>
      <c r="B3133" s="1" t="str">
        <f>"CRUM CATHERINE W"</f>
        <v>CRUM CATHERINE W</v>
      </c>
      <c r="C3133" s="1" t="str">
        <f>"NORTHLAND SENIOR VILLAGE CONDO IV UNIT 326"</f>
        <v>NORTHLAND SENIOR VILLAGE CONDO IV UNIT 326</v>
      </c>
      <c r="D3133" s="1">
        <v>686.7</v>
      </c>
    </row>
    <row r="3134" spans="1:4" x14ac:dyDescent="0.3">
      <c r="A3134" s="1" t="str">
        <f>"15300033500"</f>
        <v>15300033500</v>
      </c>
      <c r="B3134" s="1" t="str">
        <f>"CRUM DORA V"</f>
        <v>CRUM DORA V</v>
      </c>
      <c r="C3134" s="1" t="str">
        <f>"MAUREEN BLVD N ELKS ACRES SEC 2 LOT 65"</f>
        <v>MAUREEN BLVD N ELKS ACRES SEC 2 LOT 65</v>
      </c>
      <c r="D3134" s="1">
        <v>646.69000000000005</v>
      </c>
    </row>
    <row r="3135" spans="1:4" x14ac:dyDescent="0.3">
      <c r="A3135" s="1" t="str">
        <f>"20000191800"</f>
        <v>20000191800</v>
      </c>
      <c r="B3135" s="1" t="str">
        <f>"CRUM JOSHUA TR"</f>
        <v>CRUM JOSHUA TR</v>
      </c>
      <c r="C3135" s="1" t="str">
        <f>"VALLEY CREST DR TIMBERBROOK EXT 2 LOT 52"</f>
        <v>VALLEY CREST DR TIMBERBROOK EXT 2 LOT 52</v>
      </c>
      <c r="D3135" s="1">
        <v>326.83999999999997</v>
      </c>
    </row>
    <row r="3136" spans="1:4" x14ac:dyDescent="0.3">
      <c r="A3136" s="1" t="str">
        <f>"01004043200"</f>
        <v>01004043200</v>
      </c>
      <c r="B3136" s="1" t="str">
        <f>"CRUMIELL DARRYL T"</f>
        <v>CRUMIELL DARRYL T</v>
      </c>
      <c r="C3136" s="1" t="str">
        <f>"2387 LOUDEN AVE OAKLEY LOT 128"</f>
        <v>2387 LOUDEN AVE OAKLEY LOT 128</v>
      </c>
      <c r="D3136" s="1">
        <v>2205.64</v>
      </c>
    </row>
    <row r="3137" spans="1:4" x14ac:dyDescent="0.3">
      <c r="A3137" s="1" t="str">
        <f>"53025723900"</f>
        <v>53025723900</v>
      </c>
      <c r="B3137" s="1" t="str">
        <f>"CRUMLEY CHARMONETTE L"</f>
        <v>CRUMLEY CHARMONETTE L</v>
      </c>
      <c r="C3137" s="1" t="str">
        <f>"VILLAGE AT WILLIAMS CREEK S-F HOMES CONDO 1ST AMD HOME DESIGNATION 36"</f>
        <v>VILLAGE AT WILLIAMS CREEK S-F HOMES CONDO 1ST AMD HOME DESIGNATION 36</v>
      </c>
      <c r="D3137" s="1">
        <v>121.85</v>
      </c>
    </row>
    <row r="3138" spans="1:4" x14ac:dyDescent="0.3">
      <c r="A3138" s="1" t="str">
        <f>"01008181500"</f>
        <v>01008181500</v>
      </c>
      <c r="B3138" s="1" t="str">
        <f>"CRUM-LOUDEN SHEILA, LOUDEN LAMONT"</f>
        <v>CRUM-LOUDEN SHEILA, LOUDEN LAMONT</v>
      </c>
      <c r="C3138" s="1" t="str">
        <f>"837 SUNBURY RD SHEPARD HTS LOT 60"</f>
        <v>837 SUNBURY RD SHEPARD HTS LOT 60</v>
      </c>
      <c r="D3138" s="1">
        <v>1589.32</v>
      </c>
    </row>
    <row r="3139" spans="1:4" x14ac:dyDescent="0.3">
      <c r="A3139" s="1" t="str">
        <f>"01012149200"</f>
        <v>01012149200</v>
      </c>
      <c r="B3139" s="1" t="str">
        <f>"CRUMP ERIC, CRUMP CHOME R"</f>
        <v>CRUMP ERIC, CRUMP CHOME R</v>
      </c>
      <c r="C3139" s="1" t="str">
        <f>"WILTON DR THUNDERBIRD ACRES 2 LOT 224"</f>
        <v>WILTON DR THUNDERBIRD ACRES 2 LOT 224</v>
      </c>
      <c r="D3139" s="1">
        <v>2060.1999999999998</v>
      </c>
    </row>
    <row r="3140" spans="1:4" x14ac:dyDescent="0.3">
      <c r="A3140" s="1" t="str">
        <f>"09000093700"</f>
        <v>09000093700</v>
      </c>
      <c r="B3140" s="1" t="str">
        <f>"CRUZ ALBERTO ALVAREZ, ORELLANA ZULMA"</f>
        <v>CRUZ ALBERTO ALVAREZ, ORELLANA ZULMA</v>
      </c>
      <c r="C3140" s="1" t="str">
        <f>"REAR ROBINWOOD AVE 42.31X238.53FT NE COR 353 LOWRIE BROS SUBD"</f>
        <v>REAR ROBINWOOD AVE 42.31X238.53FT NE COR 353 LOWRIE BROS SUBD</v>
      </c>
      <c r="D3140" s="1">
        <v>503.9</v>
      </c>
    </row>
    <row r="3141" spans="1:4" x14ac:dyDescent="0.3">
      <c r="A3141" s="1" t="str">
        <f>"57023990200"</f>
        <v>57023990200</v>
      </c>
      <c r="B3141" s="1" t="str">
        <f>"CRUZ CRUZ VICTOR"</f>
        <v>CRUZ CRUZ VICTOR</v>
      </c>
      <c r="C3141" s="1" t="str">
        <f>"PARKWICK DRIVE PARKVIEW SECTION 2 LOT 102"</f>
        <v>PARKWICK DRIVE PARKVIEW SECTION 2 LOT 102</v>
      </c>
      <c r="D3141" s="1">
        <v>335.54</v>
      </c>
    </row>
    <row r="3142" spans="1:4" x14ac:dyDescent="0.3">
      <c r="A3142" s="1" t="str">
        <f>"09000142000"</f>
        <v>09000142000</v>
      </c>
      <c r="B3142" s="1" t="str">
        <f>"CRUZ ERICA LEMUS"</f>
        <v>CRUZ ERICA LEMUS</v>
      </c>
      <c r="C3142" s="1" t="str">
        <f>"ST ANTHONY LANE NORTON FIELD PLAT 2 LOT 517"</f>
        <v>ST ANTHONY LANE NORTON FIELD PLAT 2 LOT 517</v>
      </c>
      <c r="D3142" s="1">
        <v>421.46</v>
      </c>
    </row>
    <row r="3143" spans="1:4" x14ac:dyDescent="0.3">
      <c r="A3143" s="1" t="str">
        <f>"24000187100"</f>
        <v>24000187100</v>
      </c>
      <c r="B3143" s="1" t="str">
        <f>"CRUZ JEANET ARACEN"</f>
        <v>CRUZ JEANET ARACEN</v>
      </c>
      <c r="C3143" s="1" t="str">
        <f>"WOODLAWN AVE ROME AMNOR 77-78 "</f>
        <v xml:space="preserve">WOODLAWN AVE ROME AMNOR 77-78 </v>
      </c>
      <c r="D3143" s="1">
        <v>2371.1799999999998</v>
      </c>
    </row>
    <row r="3144" spans="1:4" x14ac:dyDescent="0.3">
      <c r="A3144" s="1" t="str">
        <f>"56022398600"</f>
        <v>56022398600</v>
      </c>
      <c r="B3144" s="1" t="str">
        <f>"CRUZ MIJANGOS JHONNY DANIEL"</f>
        <v>CRUZ MIJANGOS JHONNY DANIEL</v>
      </c>
      <c r="C3144" s="1" t="str">
        <f>"HILLIARD VILLAGE CONDOMINIUM 5TH AMD UNIT 38B"</f>
        <v>HILLIARD VILLAGE CONDOMINIUM 5TH AMD UNIT 38B</v>
      </c>
      <c r="D3144" s="1">
        <v>4440.9799999999996</v>
      </c>
    </row>
    <row r="3145" spans="1:4" x14ac:dyDescent="0.3">
      <c r="A3145" s="1" t="str">
        <f>"01013768100"</f>
        <v>01013768100</v>
      </c>
      <c r="B3145" s="1" t="str">
        <f>"CRUZ PEREZ AMOS"</f>
        <v>CRUZ PEREZ AMOS</v>
      </c>
      <c r="C3145" s="1" t="str">
        <f>"EDENDALE RD SOUTHERN PINES SEC 1 LOT 68"</f>
        <v>EDENDALE RD SOUTHERN PINES SEC 1 LOT 68</v>
      </c>
      <c r="D3145" s="1">
        <v>2649.74</v>
      </c>
    </row>
    <row r="3146" spans="1:4" x14ac:dyDescent="0.3">
      <c r="A3146" s="1" t="str">
        <f>"01002080400"</f>
        <v>01002080400</v>
      </c>
      <c r="B3146" s="1" t="str">
        <f>"CRUZ VENTURA JOSE MANUEL"</f>
        <v>CRUZ VENTURA JOSE MANUEL</v>
      </c>
      <c r="C3146" s="1" t="str">
        <f>"1380 E FULTON ST T F MILLER W1/2 LOT 29"</f>
        <v>1380 E FULTON ST T F MILLER W1/2 LOT 29</v>
      </c>
      <c r="D3146" s="1">
        <v>2469.83</v>
      </c>
    </row>
    <row r="3147" spans="1:4" x14ac:dyDescent="0.3">
      <c r="A3147" s="1" t="str">
        <f>"01025039100"</f>
        <v>01025039100</v>
      </c>
      <c r="B3147" s="1" t="str">
        <f>"CRUZADO LUIS, CRUZADO ROSA"</f>
        <v>CRUZADO LUIS, CRUZADO ROSA</v>
      </c>
      <c r="C3147" s="1" t="str">
        <f>"HAWTHORNE LAKES CONDOMINIUMS GARAGE UNIT G71"</f>
        <v>HAWTHORNE LAKES CONDOMINIUMS GARAGE UNIT G71</v>
      </c>
      <c r="D3147" s="1">
        <v>196.98</v>
      </c>
    </row>
    <row r="3148" spans="1:4" x14ac:dyDescent="0.3">
      <c r="A3148" s="1" t="str">
        <f>"01025025700"</f>
        <v>01025025700</v>
      </c>
      <c r="B3148" s="1" t="str">
        <f>"CRUZADO LUIS, CRUZADO ROSA"</f>
        <v>CRUZADO LUIS, CRUZADO ROSA</v>
      </c>
      <c r="C3148" s="1" t="str">
        <f>"HAWTHORNE LAKES CONDOMINIUMS UNIT 5437"</f>
        <v>HAWTHORNE LAKES CONDOMINIUMS UNIT 5437</v>
      </c>
      <c r="D3148" s="1">
        <v>1656.08</v>
      </c>
    </row>
    <row r="3149" spans="1:4" x14ac:dyDescent="0.3">
      <c r="A3149" s="1" t="str">
        <f>"01025039200"</f>
        <v>01025039200</v>
      </c>
      <c r="B3149" s="1" t="str">
        <f>"CRUZADO LUIS, CRUZADO ROSA"</f>
        <v>CRUZADO LUIS, CRUZADO ROSA</v>
      </c>
      <c r="C3149" s="1" t="str">
        <f>"HAWTHORNE LAKES CONDOMINIUMS GARAGE UNIT G72"</f>
        <v>HAWTHORNE LAKES CONDOMINIUMS GARAGE UNIT G72</v>
      </c>
      <c r="D3149" s="1">
        <v>87.59</v>
      </c>
    </row>
    <row r="3150" spans="1:4" x14ac:dyDescent="0.3">
      <c r="A3150" s="1" t="str">
        <f>"01006819900"</f>
        <v>01006819900</v>
      </c>
      <c r="B3150" s="1" t="str">
        <f>"CRYSTAL &amp; HERITAGE PROPERTIES LLC"</f>
        <v>CRYSTAL &amp; HERITAGE PROPERTIES LLC</v>
      </c>
      <c r="C3150" s="1" t="str">
        <f>"606 WOODBURY AVE HILLTONIA ANNEX BLK 17 LOT 7"</f>
        <v>606 WOODBURY AVE HILLTONIA ANNEX BLK 17 LOT 7</v>
      </c>
      <c r="D3150" s="1">
        <v>1199.3499999999999</v>
      </c>
    </row>
    <row r="3151" spans="1:4" x14ac:dyDescent="0.3">
      <c r="A3151" s="1" t="str">
        <f>"01028702200"</f>
        <v>01028702200</v>
      </c>
      <c r="B3151" s="1" t="str">
        <f>"CRYSTAL FALLS DUBLIN LLC"</f>
        <v>CRYSTAL FALLS DUBLIN LLC</v>
      </c>
      <c r="C3151" s="1" t="str">
        <f>"THE FALLS AT HAYDEN RUN   CONDOMINIUM 12TH AMD      BLDG 65 UNIT 65-5580     "</f>
        <v xml:space="preserve">THE FALLS AT HAYDEN RUN   CONDOMINIUM 12TH AMD      BLDG 65 UNIT 65-5580     </v>
      </c>
      <c r="D3151" s="1">
        <v>261.66000000000003</v>
      </c>
    </row>
    <row r="3152" spans="1:4" x14ac:dyDescent="0.3">
      <c r="A3152" s="1" t="str">
        <f>"15000085600"</f>
        <v>15000085600</v>
      </c>
      <c r="B3152" s="1" t="str">
        <f>"CSLKB1 LLC"</f>
        <v>CSLKB1 LLC</v>
      </c>
      <c r="C3152" s="1" t="str">
        <f>"4960 PARSONS AVE R22 T4 S27 0.5965 ACRE"</f>
        <v>4960 PARSONS AVE R22 T4 S27 0.5965 ACRE</v>
      </c>
      <c r="D3152" s="1">
        <v>4439.41</v>
      </c>
    </row>
    <row r="3153" spans="1:4" x14ac:dyDescent="0.3">
      <c r="A3153" s="1" t="str">
        <f>"01012571500"</f>
        <v>01012571500</v>
      </c>
      <c r="B3153" s="1" t="str">
        <f>"CUDDY PEGGY E TTEE, HOLLOWAY CAROL S TTEE"</f>
        <v>CUDDY PEGGY E TTEE, HOLLOWAY CAROL S TTEE</v>
      </c>
      <c r="C3153" s="1" t="str">
        <f>"NORTHERN PINE STREET BLENDON PARK LOT 66"</f>
        <v>NORTHERN PINE STREET BLENDON PARK LOT 66</v>
      </c>
      <c r="D3153" s="1">
        <v>550</v>
      </c>
    </row>
    <row r="3154" spans="1:4" x14ac:dyDescent="0.3">
      <c r="A3154" s="1" t="str">
        <f>"01010925000"</f>
        <v>01010925000</v>
      </c>
      <c r="B3154" s="1" t="str">
        <f>"CUELLAR VICTOR"</f>
        <v>CUELLAR VICTOR</v>
      </c>
      <c r="C3154" s="1" t="str">
        <f>"HANNA DR ARLINGTON PK TRACT 2 LOT 9 BLK T"</f>
        <v>HANNA DR ARLINGTON PK TRACT 2 LOT 9 BLK T</v>
      </c>
      <c r="D3154" s="1">
        <v>2469.83</v>
      </c>
    </row>
    <row r="3155" spans="1:4" x14ac:dyDescent="0.3">
      <c r="A3155" s="1" t="str">
        <f>"01005600700"</f>
        <v>01005600700</v>
      </c>
      <c r="B3155" s="1" t="str">
        <f>"CUELLO MARIO"</f>
        <v>CUELLO MARIO</v>
      </c>
      <c r="C3155" s="1" t="str">
        <f>"201 HAYDEN AVE THOS E KNAUSS LOT 1 TO 78"</f>
        <v>201 HAYDEN AVE THOS E KNAUSS LOT 1 TO 78</v>
      </c>
      <c r="D3155" s="1">
        <v>696</v>
      </c>
    </row>
    <row r="3156" spans="1:4" x14ac:dyDescent="0.3">
      <c r="A3156" s="1" t="str">
        <f>"01000347200"</f>
        <v>01000347200</v>
      </c>
      <c r="B3156" s="1" t="str">
        <f>"CUELLO MARIO"</f>
        <v>CUELLO MARIO</v>
      </c>
      <c r="C3156" s="1" t="str">
        <f>"318 S WARREN AVE WICKLOW LOT 320"</f>
        <v>318 S WARREN AVE WICKLOW LOT 320</v>
      </c>
      <c r="D3156" s="1">
        <v>1228.47</v>
      </c>
    </row>
    <row r="3157" spans="1:4" x14ac:dyDescent="0.3">
      <c r="A3157" s="1" t="str">
        <f>"61022012700"</f>
        <v>61022012700</v>
      </c>
      <c r="B3157" s="1" t="str">
        <f>"CUEVAS-MARTINEZ MARCO A, GARCIA-DURAN MARIA D"</f>
        <v>CUEVAS-MARTINEZ MARCO A, GARCIA-DURAN MARIA D</v>
      </c>
      <c r="C3157" s="1" t="str">
        <f>"WORTHINGTON GLEN NORTH CONDO 6TH AMD UNIT 19A"</f>
        <v>WORTHINGTON GLEN NORTH CONDO 6TH AMD UNIT 19A</v>
      </c>
      <c r="D3157" s="1">
        <v>1341.03</v>
      </c>
    </row>
    <row r="3158" spans="1:4" x14ac:dyDescent="0.3">
      <c r="A3158" s="1" t="str">
        <f>"59020607000"</f>
        <v>59020607000</v>
      </c>
      <c r="B3158" s="1" t="str">
        <f>"CULBERTSON WAYNE D, CULBERTSON HATSUE"</f>
        <v>CULBERTSON WAYNE D, CULBERTSON HATSUE</v>
      </c>
      <c r="C3158" s="1" t="str">
        <f>"BALLYMEAD BLVD NORTHBRIDGE VILLAGE SECTION 2 LOT 14"</f>
        <v>BALLYMEAD BLVD NORTHBRIDGE VILLAGE SECTION 2 LOT 14</v>
      </c>
      <c r="D3158" s="1">
        <v>3742.45</v>
      </c>
    </row>
    <row r="3159" spans="1:4" x14ac:dyDescent="0.3">
      <c r="A3159" s="1" t="str">
        <f>"02000229400"</f>
        <v>02000229400</v>
      </c>
      <c r="B3159" s="1" t="str">
        <f>"CULLER CRAFT LLC"</f>
        <v>CULLER CRAFT LLC</v>
      </c>
      <c r="C3159" s="1" t="str">
        <f>"782 S REMINGTON RD ZIMMER &amp; MANLEY AMD LOT 392"</f>
        <v>782 S REMINGTON RD ZIMMER &amp; MANLEY AMD LOT 392</v>
      </c>
      <c r="D3159" s="1">
        <v>2359.89</v>
      </c>
    </row>
    <row r="3160" spans="1:4" x14ac:dyDescent="0.3">
      <c r="A3160" s="1" t="str">
        <f>"01010981700"</f>
        <v>01010981700</v>
      </c>
      <c r="B3160" s="1" t="str">
        <f>"CUMMINGS LELAND WILSON TTEE, CUMMINGS BRIANNA ROSE, CUMMINGS KATHRYN ANN TTEE"</f>
        <v>CUMMINGS LELAND WILSON TTEE, CUMMINGS BRIANNA ROSE, CUMMINGS KATHRYN ANN TTEE</v>
      </c>
      <c r="C3160" s="1" t="str">
        <f>"GIRARD ROAD DELAWANDA LOT 190"</f>
        <v>GIRARD ROAD DELAWANDA LOT 190</v>
      </c>
      <c r="D3160" s="1">
        <v>227.3</v>
      </c>
    </row>
    <row r="3161" spans="1:4" x14ac:dyDescent="0.3">
      <c r="A3161" s="1" t="str">
        <f>"27300582500"</f>
        <v>27300582500</v>
      </c>
      <c r="B3161" s="1" t="str">
        <f>"CUMMINGS RICHARD D, CUMMINGS DEIRDRE B"</f>
        <v>CUMMINGS RICHARD D, CUMMINGS DEIRDRE B</v>
      </c>
      <c r="C3161" s="1" t="str">
        <f>"WISMER CIRCLE WYNDHAM VILLAGE SEC1 LOT 13"</f>
        <v>WISMER CIRCLE WYNDHAM VILLAGE SEC1 LOT 13</v>
      </c>
      <c r="D3161" s="1">
        <v>466.06</v>
      </c>
    </row>
    <row r="3162" spans="1:4" x14ac:dyDescent="0.3">
      <c r="A3162" s="1" t="str">
        <f>"01011401800"</f>
        <v>01011401800</v>
      </c>
      <c r="B3162" s="1" t="str">
        <f>"CUMMINS CHELSEA LYNN, CUMMINS JARRETT A"</f>
        <v>CUMMINS CHELSEA LYNN, CUMMINS JARRETT A</v>
      </c>
      <c r="C3162" s="1" t="str">
        <f>"MARKISON AVE .0738 AC "</f>
        <v xml:space="preserve">MARKISON AVE .0738 AC </v>
      </c>
      <c r="D3162" s="1">
        <v>55.74</v>
      </c>
    </row>
    <row r="3163" spans="1:4" x14ac:dyDescent="0.3">
      <c r="A3163" s="1" t="str">
        <f>"05000145900"</f>
        <v>05000145900</v>
      </c>
      <c r="B3163" s="1" t="str">
        <f>"CUMMONS SHARON R"</f>
        <v>CUMMONS SHARON R</v>
      </c>
      <c r="C3163" s="1" t="str">
        <f>"4703 N HILLCREST ST HILLIARD HTS 3 LOT 129"</f>
        <v>4703 N HILLCREST ST HILLIARD HTS 3 LOT 129</v>
      </c>
      <c r="D3163" s="1">
        <v>2121.5500000000002</v>
      </c>
    </row>
    <row r="3164" spans="1:4" x14ac:dyDescent="0.3">
      <c r="A3164" s="1" t="str">
        <f>"01014353500"</f>
        <v>01014353500</v>
      </c>
      <c r="B3164" s="1" t="str">
        <f>"CUNDIFF DARLENE A, MCQUILLER DESIREE L"</f>
        <v>CUNDIFF DARLENE A, MCQUILLER DESIREE L</v>
      </c>
      <c r="C3164" s="1" t="str">
        <f>"CASSADY AVE RESUB PT SOMERSET 1 &amp;ALL SOM 5 LOT 1442"</f>
        <v>CASSADY AVE RESUB PT SOMERSET 1 &amp;ALL SOM 5 LOT 1442</v>
      </c>
      <c r="D3164" s="1">
        <v>1612.12</v>
      </c>
    </row>
    <row r="3165" spans="1:4" x14ac:dyDescent="0.3">
      <c r="A3165" s="1" t="str">
        <f>"01010927900"</f>
        <v>01010927900</v>
      </c>
      <c r="B3165" s="1" t="str">
        <f>"CUNNINGHAM CAMERON M"</f>
        <v>CUNNINGHAM CAMERON M</v>
      </c>
      <c r="C3165" s="1" t="str">
        <f>"ARLINGTON PARK T-ACT 2 LOT 12"</f>
        <v>ARLINGTON PARK T-ACT 2 LOT 12</v>
      </c>
      <c r="D3165" s="1">
        <v>2795.37</v>
      </c>
    </row>
    <row r="3166" spans="1:4" x14ac:dyDescent="0.3">
      <c r="A3166" s="1" t="str">
        <f>"21300162300"</f>
        <v>21300162300</v>
      </c>
      <c r="B3166" s="1" t="str">
        <f>"CUNNINGHAM CHARLES M"</f>
        <v>CUNNINGHAM CHARLES M</v>
      </c>
      <c r="C3166" s="1" t="str">
        <f>"MCVEY BLVD W BROOKSIDE ESTATES 5 LOT 52"</f>
        <v>MCVEY BLVD W BROOKSIDE ESTATES 5 LOT 52</v>
      </c>
      <c r="D3166" s="1">
        <v>564.29</v>
      </c>
    </row>
    <row r="3167" spans="1:4" x14ac:dyDescent="0.3">
      <c r="A3167" s="1" t="str">
        <f>"01026787700"</f>
        <v>01026787700</v>
      </c>
      <c r="B3167" s="1" t="str">
        <f>"CUNNINGHAM GREGORY"</f>
        <v>CUNNINGHAM GREGORY</v>
      </c>
      <c r="C3167" s="1" t="str">
        <f>"728 ALTON AVE CASSADY'S FIFTH AVE ADD LOT 151 &amp; 17 FT WEST END OF LOT 150  IRREGULAR SHAPE"</f>
        <v>728 ALTON AVE CASSADY'S FIFTH AVE ADD LOT 151 &amp; 17 FT WEST END OF LOT 150  IRREGULAR SHAPE</v>
      </c>
      <c r="D3167" s="1">
        <v>2961.19</v>
      </c>
    </row>
    <row r="3168" spans="1:4" x14ac:dyDescent="0.3">
      <c r="A3168" s="1" t="str">
        <f>"01014057600"</f>
        <v>01014057600</v>
      </c>
      <c r="B3168" s="1" t="str">
        <f>"CUNNINGHAM KENNETH A, SALES VELTA D"</f>
        <v>CUNNINGHAM KENNETH A, SALES VELTA D</v>
      </c>
      <c r="C3168" s="1" t="str">
        <f>"HILLMAN RD E SOUTHERN PINES SEC 3 LOT 269"</f>
        <v>HILLMAN RD E SOUTHERN PINES SEC 3 LOT 269</v>
      </c>
      <c r="D3168" s="1">
        <v>1272.45</v>
      </c>
    </row>
    <row r="3169" spans="1:4" x14ac:dyDescent="0.3">
      <c r="A3169" s="1" t="str">
        <f>"01013854600"</f>
        <v>01013854600</v>
      </c>
      <c r="B3169" s="1" t="str">
        <f>"CUNNINGHAM KIMBERLY E"</f>
        <v>CUNNINGHAM KIMBERLY E</v>
      </c>
      <c r="C3169" s="1" t="str">
        <f>"KIRKBRIDGE COURT HAVILAND 2 LOT 107"</f>
        <v>KIRKBRIDGE COURT HAVILAND 2 LOT 107</v>
      </c>
      <c r="D3169" s="1">
        <v>97.74</v>
      </c>
    </row>
    <row r="3170" spans="1:4" x14ac:dyDescent="0.3">
      <c r="A3170" s="1" t="str">
        <f>"01028357400"</f>
        <v>01028357400</v>
      </c>
      <c r="B3170" s="1" t="str">
        <f>"CUNNINGHAM LORI, CUNNINGHAM TIMOTHY"</f>
        <v>CUNNINGHAM LORI, CUNNINGHAM TIMOTHY</v>
      </c>
      <c r="C3170" s="1" t="str">
        <f>"CARLYLE'S WATCH CONDOMINIUM UNIT 3G"</f>
        <v>CARLYLE'S WATCH CONDOMINIUM UNIT 3G</v>
      </c>
      <c r="D3170" s="1">
        <v>2713.47</v>
      </c>
    </row>
    <row r="3171" spans="1:4" x14ac:dyDescent="0.3">
      <c r="A3171" s="1" t="str">
        <f>"57021937900"</f>
        <v>57021937900</v>
      </c>
      <c r="B3171" s="1" t="str">
        <f>"CUNNINGHAM NICKY L"</f>
        <v>CUNNINGHAM NICKY L</v>
      </c>
      <c r="C3171" s="1" t="str">
        <f>"OLD RANCH COURT GREENE COUNTRIE SEC 3 PT 5 LOT 439"</f>
        <v>OLD RANCH COURT GREENE COUNTRIE SEC 3 PT 5 LOT 439</v>
      </c>
      <c r="D3171" s="1">
        <v>4313.96</v>
      </c>
    </row>
    <row r="3172" spans="1:4" x14ac:dyDescent="0.3">
      <c r="A3172" s="1" t="str">
        <f>"01010903500"</f>
        <v>01010903500</v>
      </c>
      <c r="B3172" s="1" t="str">
        <f>"CUNNINGHAM TERRY L"</f>
        <v>CUNNINGHAM TERRY L</v>
      </c>
      <c r="C3172" s="1" t="str">
        <f>"RANKIN AVE CAPOCCIO LOT 22"</f>
        <v>RANKIN AVE CAPOCCIO LOT 22</v>
      </c>
      <c r="D3172" s="1">
        <v>797.27</v>
      </c>
    </row>
    <row r="3173" spans="1:4" x14ac:dyDescent="0.3">
      <c r="A3173" s="1" t="str">
        <f>"05000127800"</f>
        <v>05000127800</v>
      </c>
      <c r="B3173" s="1" t="str">
        <f>"CUNNINGHAM VINSON J"</f>
        <v>CUNNINGHAM VINSON J</v>
      </c>
      <c r="C3173" s="1" t="str">
        <f>"5232 SCIOTO DARBY RD LUXAIR 2 LOT 117"</f>
        <v>5232 SCIOTO DARBY RD LUXAIR 2 LOT 117</v>
      </c>
      <c r="D3173" s="1">
        <v>5266.09</v>
      </c>
    </row>
    <row r="3174" spans="1:4" x14ac:dyDescent="0.3">
      <c r="A3174" s="1" t="str">
        <f>"60016549900"</f>
        <v>60016549900</v>
      </c>
      <c r="B3174" s="1" t="str">
        <f>"CUNNINGHAM WILLIAM"</f>
        <v>CUNNINGHAM WILLIAM</v>
      </c>
      <c r="C3174" s="1" t="str">
        <f>"GRANADA HILLS DRIVE COOPER WOODS LOT 31"</f>
        <v>GRANADA HILLS DRIVE COOPER WOODS LOT 31</v>
      </c>
      <c r="D3174" s="1">
        <v>213.61</v>
      </c>
    </row>
    <row r="3175" spans="1:4" x14ac:dyDescent="0.3">
      <c r="A3175" s="1" t="str">
        <f>"56021513100"</f>
        <v>56021513100</v>
      </c>
      <c r="B3175" s="1" t="str">
        <f>"CUPELES JOSE ALVARADO"</f>
        <v>CUPELES JOSE ALVARADO</v>
      </c>
      <c r="C3175" s="1" t="str">
        <f>"HILLIARD HEIGHTS CONDOMINIUM UNIT 7C"</f>
        <v>HILLIARD HEIGHTS CONDOMINIUM UNIT 7C</v>
      </c>
      <c r="D3175" s="1">
        <v>3445.37</v>
      </c>
    </row>
    <row r="3176" spans="1:4" x14ac:dyDescent="0.3">
      <c r="A3176" s="1" t="str">
        <f>"57017430000"</f>
        <v>57017430000</v>
      </c>
      <c r="B3176" s="1" t="str">
        <f>"CUPELES JOSE ALVARADO"</f>
        <v>CUPELES JOSE ALVARADO</v>
      </c>
      <c r="C3176" s="1" t="str">
        <f>"855 CHERLYN CT WESTBURY VLG COND #5 UNIT 23-B"</f>
        <v>855 CHERLYN CT WESTBURY VLG COND #5 UNIT 23-B</v>
      </c>
      <c r="D3176" s="1">
        <v>2140.2399999999998</v>
      </c>
    </row>
    <row r="3177" spans="1:4" x14ac:dyDescent="0.3">
      <c r="A3177" s="1" t="str">
        <f>"05000639300"</f>
        <v>05000639300</v>
      </c>
      <c r="B3177" s="1" t="str">
        <f>"CURL DAVID B, CURL CHRISTINE M"</f>
        <v>CURL DAVID B, CURL CHRISTINE M</v>
      </c>
      <c r="C3177" s="1" t="str">
        <f>"0000 HUNTWICKE DR BRITTON FARMS SEC 2 PHASE 1 LOT 100"</f>
        <v>0000 HUNTWICKE DR BRITTON FARMS SEC 2 PHASE 1 LOT 100</v>
      </c>
      <c r="D3177" s="1">
        <v>500.34</v>
      </c>
    </row>
    <row r="3178" spans="1:4" x14ac:dyDescent="0.3">
      <c r="A3178" s="1" t="str">
        <f>"01008501800"</f>
        <v>01008501800</v>
      </c>
      <c r="B3178" s="1" t="str">
        <f>"CURLIS JAMES P"</f>
        <v>CURLIS JAMES P</v>
      </c>
      <c r="C3178" s="1" t="str">
        <f>"E BEECHWOLD BLVD ZOOLAND LOT 202"</f>
        <v>E BEECHWOLD BLVD ZOOLAND LOT 202</v>
      </c>
      <c r="D3178" s="1">
        <v>207.81</v>
      </c>
    </row>
    <row r="3179" spans="1:4" x14ac:dyDescent="0.3">
      <c r="A3179" s="1" t="str">
        <f>"01007900600"</f>
        <v>01007900600</v>
      </c>
      <c r="B3179" s="1" t="str">
        <f>"CURMODE GABRIELLE V, FRANKEN DAVID F"</f>
        <v>CURMODE GABRIELLE V, FRANKEN DAVID F</v>
      </c>
      <c r="C3179" s="1" t="str">
        <f>"500 POWHATTAN AVE WESTGATE PARK LOT 492-493"</f>
        <v>500 POWHATTAN AVE WESTGATE PARK LOT 492-493</v>
      </c>
      <c r="D3179" s="1">
        <v>124.43</v>
      </c>
    </row>
    <row r="3180" spans="1:4" x14ac:dyDescent="0.3">
      <c r="A3180" s="1" t="str">
        <f>"56023936600"</f>
        <v>56023936600</v>
      </c>
      <c r="B3180" s="1" t="str">
        <f>"CURNUTTE CAROL"</f>
        <v>CURNUTTE CAROL</v>
      </c>
      <c r="C3180" s="1" t="str">
        <f>"SILVER SPRINGS CONDOMINIUMS 5TH AMD PHASE 6 UNIT 2444"</f>
        <v>SILVER SPRINGS CONDOMINIUMS 5TH AMD PHASE 6 UNIT 2444</v>
      </c>
      <c r="D3180" s="1">
        <v>165.11</v>
      </c>
    </row>
    <row r="3181" spans="1:4" x14ac:dyDescent="0.3">
      <c r="A3181" s="1" t="str">
        <f>"01015752400"</f>
        <v>01015752400</v>
      </c>
      <c r="B3181" s="1" t="str">
        <f>"CURRAN ETHAN, CURRAN ASHLEY"</f>
        <v>CURRAN ETHAN, CURRAN ASHLEY</v>
      </c>
      <c r="C3181" s="1" t="str">
        <f>"RAMBLEWOOD AV THE GABLES WEST LOT 250"</f>
        <v>RAMBLEWOOD AV THE GABLES WEST LOT 250</v>
      </c>
      <c r="D3181" s="1">
        <v>2730.81</v>
      </c>
    </row>
    <row r="3182" spans="1:4" x14ac:dyDescent="0.3">
      <c r="A3182" s="1" t="str">
        <f>"08000440300"</f>
        <v>08000440300</v>
      </c>
      <c r="B3182" s="1" t="str">
        <f>"CURRAN GREGORY V, LATIMER CURRAN THERESA"</f>
        <v>CURRAN GREGORY V, LATIMER CURRAN THERESA</v>
      </c>
      <c r="C3182" s="1" t="str">
        <f>"BERNADINE COURT HILLCREST NO 2 SECII LOT 95"</f>
        <v>BERNADINE COURT HILLCREST NO 2 SECII LOT 95</v>
      </c>
      <c r="D3182" s="1">
        <v>530.91999999999996</v>
      </c>
    </row>
    <row r="3183" spans="1:4" x14ac:dyDescent="0.3">
      <c r="A3183" s="1" t="str">
        <f>"59018479600"</f>
        <v>59018479600</v>
      </c>
      <c r="B3183" s="1" t="str">
        <f>"CURRAN MARY ANN"</f>
        <v>CURRAN MARY ANN</v>
      </c>
      <c r="C3183" s="1" t="str">
        <f>"RIVERMILL DR HILLSIDE CONDO UNIT 4"</f>
        <v>RIVERMILL DR HILLSIDE CONDO UNIT 4</v>
      </c>
      <c r="D3183" s="1">
        <v>218.33</v>
      </c>
    </row>
    <row r="3184" spans="1:4" x14ac:dyDescent="0.3">
      <c r="A3184" s="1" t="str">
        <f>"01008476300"</f>
        <v>01008476300</v>
      </c>
      <c r="B3184" s="1" t="str">
        <f>"CURRY CHRISTIANE A"</f>
        <v>CURRY CHRISTIANE A</v>
      </c>
      <c r="C3184" s="1" t="str">
        <f>"HIGHLAND GARD NO 2 LOT 336 "</f>
        <v xml:space="preserve">HIGHLAND GARD NO 2 LOT 336 </v>
      </c>
      <c r="D3184" s="1">
        <v>239.47</v>
      </c>
    </row>
    <row r="3185" spans="1:4" x14ac:dyDescent="0.3">
      <c r="A3185" s="1" t="str">
        <f>"53031884200"</f>
        <v>53031884200</v>
      </c>
      <c r="B3185" s="1" t="str">
        <f>"CURRY-SMITH ADRIENNE J, CURRY CRAIG SR, CURRY MILDRED, CURRY ELIJAH"</f>
        <v>CURRY-SMITH ADRIENNE J, CURRY CRAIG SR, CURRY MILDRED, CURRY ELIJAH</v>
      </c>
      <c r="C3185" s="1" t="str">
        <f>"SCHWARTZ RD R21 T11 S6 5-6 2.309 ACRES"</f>
        <v>SCHWARTZ RD R21 T11 S6 5-6 2.309 ACRES</v>
      </c>
      <c r="D3185" s="1">
        <v>2238.15</v>
      </c>
    </row>
    <row r="3186" spans="1:4" x14ac:dyDescent="0.3">
      <c r="A3186" s="1" t="str">
        <f>"01008100800"</f>
        <v>01008100800</v>
      </c>
      <c r="B3186" s="1" t="str">
        <f>"CURTIS ALMA L LE, WILSON MARION M RMDR, CURTIS GERALD D RMDR, CURTIS JAMILA N K RMDR"</f>
        <v>CURTIS ALMA L LE, WILSON MARION M RMDR, CURTIS GERALD D RMDR, CURTIS JAMILA N K RMDR</v>
      </c>
      <c r="C3186" s="1" t="str">
        <f>"1192 KELTON AVENUE DRIVING PARK LOT 509"</f>
        <v>1192 KELTON AVENUE DRIVING PARK LOT 509</v>
      </c>
      <c r="D3186" s="1">
        <v>2260.29</v>
      </c>
    </row>
    <row r="3187" spans="1:4" x14ac:dyDescent="0.3">
      <c r="A3187" s="1" t="str">
        <f>"01014696000"</f>
        <v>01014696000</v>
      </c>
      <c r="B3187" s="1" t="str">
        <f>"CURTIS FLOYD R TR"</f>
        <v>CURTIS FLOYD R TR</v>
      </c>
      <c r="C3187" s="1" t="str">
        <f>"FOREST PK EAST SEC 3 LOT 351 "</f>
        <v xml:space="preserve">FOREST PK EAST SEC 3 LOT 351 </v>
      </c>
      <c r="D3187" s="1">
        <v>170.1</v>
      </c>
    </row>
    <row r="3188" spans="1:4" x14ac:dyDescent="0.3">
      <c r="A3188" s="1" t="str">
        <f>"04000057300"</f>
        <v>04000057300</v>
      </c>
      <c r="B3188" s="1" t="str">
        <f>"CURTIS HURSHELL V JR, CURTIS CATHERINE J"</f>
        <v>CURTIS HURSHELL V JR, CURTIS CATHERINE J</v>
      </c>
      <c r="C3188" s="1" t="str">
        <f>"4035 THIRD STREET COLUMBUS ST 58.78 FT S MID PT EA LT52-53"</f>
        <v>4035 THIRD STREET COLUMBUS ST 58.78 FT S MID PT EA LT52-53</v>
      </c>
      <c r="D3188" s="1">
        <v>92.48</v>
      </c>
    </row>
    <row r="3189" spans="1:4" x14ac:dyDescent="0.3">
      <c r="A3189" s="1" t="str">
        <f>"16100033500"</f>
        <v>16100033500</v>
      </c>
      <c r="B3189" s="1" t="str">
        <f>"CURTIS IRMA"</f>
        <v>CURTIS IRMA</v>
      </c>
      <c r="C3189" s="1" t="str">
        <f>"3540 4TH AVE URBANCREST LOTS 11-14 BLK 12"</f>
        <v>3540 4TH AVE URBANCREST LOTS 11-14 BLK 12</v>
      </c>
      <c r="D3189" s="1">
        <v>3582.72</v>
      </c>
    </row>
    <row r="3190" spans="1:4" x14ac:dyDescent="0.3">
      <c r="A3190" s="1" t="str">
        <f>"59022724800"</f>
        <v>59022724800</v>
      </c>
      <c r="B3190" s="1" t="str">
        <f>"CURTIS JEFF C"</f>
        <v>CURTIS JEFF C</v>
      </c>
      <c r="C3190" s="1" t="str">
        <f>"BETHEL COMMONS CONDOMINIUM 4TH AMD UNIT 24C"</f>
        <v>BETHEL COMMONS CONDOMINIUM 4TH AMD UNIT 24C</v>
      </c>
      <c r="D3190" s="1">
        <v>197.91</v>
      </c>
    </row>
    <row r="3191" spans="1:4" x14ac:dyDescent="0.3">
      <c r="A3191" s="1" t="str">
        <f>"01012997500"</f>
        <v>01012997500</v>
      </c>
      <c r="B3191" s="1" t="str">
        <f>"CURTIS RAMONA"</f>
        <v>CURTIS RAMONA</v>
      </c>
      <c r="C3191" s="1" t="str">
        <f>"HAZELWOOD RD FOREST PARK LOT 34"</f>
        <v>HAZELWOOD RD FOREST PARK LOT 34</v>
      </c>
      <c r="D3191" s="1">
        <v>1786.2</v>
      </c>
    </row>
    <row r="3192" spans="1:4" x14ac:dyDescent="0.3">
      <c r="A3192" s="1" t="str">
        <f>"01016386900"</f>
        <v>01016386900</v>
      </c>
      <c r="B3192" s="1" t="str">
        <f>"CURTIS RICHARD J"</f>
        <v>CURTIS RICHARD J</v>
      </c>
      <c r="C3192" s="1" t="str">
        <f>"COLONY HILL CONDOMINIUM SEC ONE BLDG 10 UNIT 42"</f>
        <v>COLONY HILL CONDOMINIUM SEC ONE BLDG 10 UNIT 42</v>
      </c>
      <c r="D3192" s="1">
        <v>1549.08</v>
      </c>
    </row>
    <row r="3193" spans="1:4" x14ac:dyDescent="0.3">
      <c r="A3193" s="1" t="str">
        <f>"07000358500"</f>
        <v>07000358500</v>
      </c>
      <c r="B3193" s="1" t="str">
        <f>"CURTISS BRENDA J"</f>
        <v>CURTISS BRENDA J</v>
      </c>
      <c r="C3193" s="1" t="str">
        <f>"60 FT E S UNIVERSITY RES E"</f>
        <v>60 FT E S UNIVERSITY RES E</v>
      </c>
      <c r="D3193" s="1">
        <v>11484.99</v>
      </c>
    </row>
    <row r="3194" spans="1:4" x14ac:dyDescent="0.3">
      <c r="A3194" s="1" t="str">
        <f>"14000158100"</f>
        <v>14000158100</v>
      </c>
      <c r="B3194" s="1" t="str">
        <f>"CUSCHLEG MICHAEL, CUSCHLEG KAELEIGH"</f>
        <v>CUSCHLEG MICHAEL, CUSCHLEG KAELEIGH</v>
      </c>
      <c r="C3194" s="1" t="str">
        <f>"2113 FRANK ROAD JONES FARM PARCEL PL .977 ACRE LOT 7"</f>
        <v>2113 FRANK ROAD JONES FARM PARCEL PL .977 ACRE LOT 7</v>
      </c>
      <c r="D3194" s="1">
        <v>3525.88</v>
      </c>
    </row>
    <row r="3195" spans="1:4" x14ac:dyDescent="0.3">
      <c r="A3195" s="1" t="str">
        <f>"01010144300"</f>
        <v>01010144300</v>
      </c>
      <c r="B3195" s="1" t="str">
        <f>"CUSHING ROAD APARTMENTS LLC"</f>
        <v>CUSHING ROAD APARTMENTS LLC</v>
      </c>
      <c r="C3195" s="1" t="str">
        <f>"CUSHING DR BERWICK MANOR LOT 497-98-99"</f>
        <v>CUSHING DR BERWICK MANOR LOT 497-98-99</v>
      </c>
      <c r="D3195" s="1">
        <v>9853</v>
      </c>
    </row>
    <row r="3196" spans="1:4" x14ac:dyDescent="0.3">
      <c r="A3196" s="1" t="str">
        <f>"09000016900"</f>
        <v>09000016900</v>
      </c>
      <c r="B3196" s="1" t="str">
        <f>"CUSTOM CONSTRUCTION MAINTAINCE OF CTRL OH LLC"</f>
        <v>CUSTOM CONSTRUCTION MAINTAINCE OF CTRL OH LLC</v>
      </c>
      <c r="C3196" s="1" t="str">
        <f>"HAMILTON RD NORTON FIELD PLAT 1 31"</f>
        <v>HAMILTON RD NORTON FIELD PLAT 1 31</v>
      </c>
      <c r="D3196" s="1">
        <v>127.11</v>
      </c>
    </row>
    <row r="3197" spans="1:4" x14ac:dyDescent="0.3">
      <c r="A3197" s="1" t="str">
        <f>"08000185200"</f>
        <v>08000185200</v>
      </c>
      <c r="B3197" s="1" t="str">
        <f>"CUSTOM ELITE HOMES LLC"</f>
        <v>CUSTOM ELITE HOMES LLC</v>
      </c>
      <c r="C3197" s="1" t="str">
        <f>"F RUSSEL CO RD R 17 T 2 1-4TWP 2 1.606 ACRES"</f>
        <v>F RUSSEL CO RD R 17 T 2 1-4TWP 2 1.606 ACRES</v>
      </c>
      <c r="D3197" s="1">
        <v>3339.11</v>
      </c>
    </row>
    <row r="3198" spans="1:4" x14ac:dyDescent="0.3">
      <c r="A3198" s="1" t="str">
        <f>"14000062500"</f>
        <v>14000062500</v>
      </c>
      <c r="B3198" s="1" t="str">
        <f>"CUTTER JAE B"</f>
        <v>CUTTER JAE B</v>
      </c>
      <c r="C3198" s="1" t="str">
        <f>"2441 CHAMBERS AVE BRIGGS 1ST LOTS 45,46 &amp; 23'WS LOT 47"</f>
        <v>2441 CHAMBERS AVE BRIGGS 1ST LOTS 45,46 &amp; 23'WS LOT 47</v>
      </c>
      <c r="D3198" s="1">
        <v>5586.3</v>
      </c>
    </row>
    <row r="3199" spans="1:4" x14ac:dyDescent="0.3">
      <c r="A3199" s="1" t="str">
        <f>"01030783200"</f>
        <v>01030783200</v>
      </c>
      <c r="B3199" s="1" t="str">
        <f>"CW PROPERTY AND INVESTMENTS LLC"</f>
        <v>CW PROPERTY AND INVESTMENTS LLC</v>
      </c>
      <c r="C3199" s="1" t="str">
        <f>"WALNUT WOODS EAST SECTION 1 LOT 101"</f>
        <v>WALNUT WOODS EAST SECTION 1 LOT 101</v>
      </c>
      <c r="D3199" s="1">
        <v>8474.7000000000007</v>
      </c>
    </row>
    <row r="3200" spans="1:4" x14ac:dyDescent="0.3">
      <c r="A3200" s="1" t="str">
        <f>"01000255500"</f>
        <v>01000255500</v>
      </c>
      <c r="B3200" s="1" t="str">
        <f>"CYPRESS HOMES LLC"</f>
        <v>CYPRESS HOMES LLC</v>
      </c>
      <c r="C3200" s="1" t="str">
        <f>"382 HIGHLAND AVE HUGHES LOT 7"</f>
        <v>382 HIGHLAND AVE HUGHES LOT 7</v>
      </c>
      <c r="D3200" s="1">
        <v>966.86</v>
      </c>
    </row>
    <row r="3201" spans="1:4" x14ac:dyDescent="0.3">
      <c r="A3201" s="1" t="str">
        <f>"01013338000"</f>
        <v>01013338000</v>
      </c>
      <c r="B3201" s="1" t="str">
        <f>"CYPRESS HOMES LLC"</f>
        <v>CYPRESS HOMES LLC</v>
      </c>
      <c r="C3201" s="1" t="str">
        <f>"BLUEFIELD DR SOUTHFIELD 3 LOT 279"</f>
        <v>BLUEFIELD DR SOUTHFIELD 3 LOT 279</v>
      </c>
      <c r="D3201" s="1">
        <v>2531.0500000000002</v>
      </c>
    </row>
    <row r="3202" spans="1:4" x14ac:dyDescent="0.3">
      <c r="A3202" s="1" t="str">
        <f>"01001213100"</f>
        <v>01001213100</v>
      </c>
      <c r="B3202" s="1" t="str">
        <f>"CYPRESS HOMES LLC"</f>
        <v>CYPRESS HOMES LLC</v>
      </c>
      <c r="C3202" s="1" t="str">
        <f>"BREHL AVE DOREN CENTRAL AVE LOT 194"</f>
        <v>BREHL AVE DOREN CENTRAL AVE LOT 194</v>
      </c>
      <c r="D3202" s="1">
        <v>347.78</v>
      </c>
    </row>
    <row r="3203" spans="1:4" x14ac:dyDescent="0.3">
      <c r="A3203" s="1" t="str">
        <f>"01005338500"</f>
        <v>01005338500</v>
      </c>
      <c r="B3203" s="1" t="str">
        <f>"CYPRESS HOMES LLC"</f>
        <v>CYPRESS HOMES LLC</v>
      </c>
      <c r="C3203" s="1" t="str">
        <f>"OSBORNE PLACE LOT 316 "</f>
        <v xml:space="preserve">OSBORNE PLACE LOT 316 </v>
      </c>
      <c r="D3203" s="1">
        <v>2308.06</v>
      </c>
    </row>
    <row r="3204" spans="1:4" x14ac:dyDescent="0.3">
      <c r="A3204" s="1" t="str">
        <f>"01004202700"</f>
        <v>01004202700</v>
      </c>
      <c r="B3204" s="1" t="str">
        <f>"CYPRESS HOMES LLC"</f>
        <v>CYPRESS HOMES LLC</v>
      </c>
      <c r="C3204" s="1" t="str">
        <f>"79 81 RODGERS AVE COTTAGE PLC LOT 115"</f>
        <v>79 81 RODGERS AVE COTTAGE PLC LOT 115</v>
      </c>
      <c r="D3204" s="1">
        <v>292.01</v>
      </c>
    </row>
    <row r="3205" spans="1:4" x14ac:dyDescent="0.3">
      <c r="A3205" s="1" t="str">
        <f>"01002113100"</f>
        <v>01002113100</v>
      </c>
      <c r="B3205" s="1" t="str">
        <f>"CYPRESS HOMES LLC"</f>
        <v>CYPRESS HOMES LLC</v>
      </c>
      <c r="C3205" s="1" t="str">
        <f>"321 JOHNSON ST HORN LOT 37"</f>
        <v>321 JOHNSON ST HORN LOT 37</v>
      </c>
      <c r="D3205" s="1">
        <v>1828.6</v>
      </c>
    </row>
    <row r="3206" spans="1:4" x14ac:dyDescent="0.3">
      <c r="A3206" s="1" t="str">
        <f>"01004214500"</f>
        <v>01004214500</v>
      </c>
      <c r="B3206" s="1" t="str">
        <f>"D &amp; E INVESTING LLC"</f>
        <v>D &amp; E INVESTING LLC</v>
      </c>
      <c r="C3206" s="1" t="str">
        <f>"255 &amp; 257 N 18 ST MT VERNON LOT 25"</f>
        <v>255 &amp; 257 N 18 ST MT VERNON LOT 25</v>
      </c>
      <c r="D3206" s="1">
        <v>6123.47</v>
      </c>
    </row>
    <row r="3207" spans="1:4" x14ac:dyDescent="0.3">
      <c r="A3207" s="1" t="str">
        <f>"05000234300"</f>
        <v>05000234300</v>
      </c>
      <c r="B3207" s="1" t="str">
        <f>"D&amp;D PROPERTY HOLDINGS LLC"</f>
        <v>D&amp;D PROPERTY HOLDINGS LLC</v>
      </c>
      <c r="C3207" s="1" t="str">
        <f>"SCIOTO DARBY RD RD. ENTRY 3001-1335 2.9848 ACRES"</f>
        <v>SCIOTO DARBY RD RD. ENTRY 3001-1335 2.9848 ACRES</v>
      </c>
      <c r="D3207" s="1">
        <v>11483.95</v>
      </c>
    </row>
    <row r="3208" spans="1:4" x14ac:dyDescent="0.3">
      <c r="A3208" s="1" t="str">
        <f>"05000300200"</f>
        <v>05000300200</v>
      </c>
      <c r="B3208" s="1" t="str">
        <f>"D&amp;D PROPERTY HOLDINGS LLC"</f>
        <v>D&amp;D PROPERTY HOLDINGS LLC</v>
      </c>
      <c r="C3208" s="1" t="str">
        <f>"5000 SCIOTO DARBY RD ENTRY 3001-1335 1.05 ACRES"</f>
        <v>5000 SCIOTO DARBY RD ENTRY 3001-1335 1.05 ACRES</v>
      </c>
      <c r="D3208" s="1">
        <v>7364.89</v>
      </c>
    </row>
    <row r="3209" spans="1:4" x14ac:dyDescent="0.3">
      <c r="A3209" s="1" t="str">
        <f>"05000280000"</f>
        <v>05000280000</v>
      </c>
      <c r="B3209" s="1" t="str">
        <f>"D&amp;D PROPERTY HOLDINGS LLC"</f>
        <v>D&amp;D PROPERTY HOLDINGS LLC</v>
      </c>
      <c r="C3209" s="1" t="str">
        <f>"5032 SCIOTO DARBY RD CRK RD  1.451 ACRES ENT 3001-1335"</f>
        <v>5032 SCIOTO DARBY RD CRK RD  1.451 ACRES ENT 3001-1335</v>
      </c>
      <c r="D3209" s="1">
        <v>6952.67</v>
      </c>
    </row>
    <row r="3210" spans="1:4" x14ac:dyDescent="0.3">
      <c r="A3210" s="1" t="str">
        <f>"01001613500"</f>
        <v>01001613500</v>
      </c>
      <c r="B3210" s="1" t="str">
        <f>"D&amp;S LIFE LLC"</f>
        <v>D&amp;S LIFE LLC</v>
      </c>
      <c r="C3210" s="1" t="str">
        <f>"6065 CHANNINGWAY BL R21 T12 S23 1/2S40 1.782 ACRES"</f>
        <v>6065 CHANNINGWAY BL R21 T12 S23 1/2S40 1.782 ACRES</v>
      </c>
      <c r="D3210" s="1">
        <v>14786.66</v>
      </c>
    </row>
    <row r="3211" spans="1:4" x14ac:dyDescent="0.3">
      <c r="A3211" s="1" t="str">
        <f>"24000694100"</f>
        <v>24000694100</v>
      </c>
      <c r="B3211" s="1" t="str">
        <f>"D.R. HORTON- INDIANA LLC"</f>
        <v>D.R. HORTON- INDIANA LLC</v>
      </c>
      <c r="C3211" s="1" t="str">
        <f>"VILLAGES AT GALLOWAY PHASE 1 LOT 5"</f>
        <v>VILLAGES AT GALLOWAY PHASE 1 LOT 5</v>
      </c>
      <c r="D3211" s="1">
        <v>6590.61</v>
      </c>
    </row>
    <row r="3212" spans="1:4" x14ac:dyDescent="0.3">
      <c r="A3212" s="1" t="str">
        <f>"60025147400"</f>
        <v>60025147400</v>
      </c>
      <c r="B3212" s="1" t="str">
        <f>"DAAD ARDO"</f>
        <v>DAAD ARDO</v>
      </c>
      <c r="C3212" s="1" t="str">
        <f>"MORALITY DRIVE WALTHAM WOODS LOT 60"</f>
        <v>MORALITY DRIVE WALTHAM WOODS LOT 60</v>
      </c>
      <c r="D3212" s="1">
        <v>2590.42</v>
      </c>
    </row>
    <row r="3213" spans="1:4" x14ac:dyDescent="0.3">
      <c r="A3213" s="1" t="str">
        <f>"27300419700"</f>
        <v>27300419700</v>
      </c>
      <c r="B3213" s="1" t="str">
        <f>"DABEK DARIUSZ A"</f>
        <v>DABEK DARIUSZ A</v>
      </c>
      <c r="C3213" s="1" t="str">
        <f>"4563 DONEGAL CLIFFS DONEGAL CLIFFS SEC 6 LOT 141"</f>
        <v>4563 DONEGAL CLIFFS DONEGAL CLIFFS SEC 6 LOT 141</v>
      </c>
      <c r="D3213" s="1">
        <v>7005.76</v>
      </c>
    </row>
    <row r="3214" spans="1:4" x14ac:dyDescent="0.3">
      <c r="A3214" s="1" t="str">
        <f>"01000203100"</f>
        <v>01000203100</v>
      </c>
      <c r="B3214" s="1" t="str">
        <f>"DACOSTA EDWIN A, PAHL PHYLLIS A"</f>
        <v>DACOSTA EDWIN A, PAHL PHYLLIS A</v>
      </c>
      <c r="C3214" s="1" t="str">
        <f>"55 N POWELL HILLTOP LOT 163"</f>
        <v>55 N POWELL HILLTOP LOT 163</v>
      </c>
      <c r="D3214" s="1">
        <v>64.14</v>
      </c>
    </row>
    <row r="3215" spans="1:4" x14ac:dyDescent="0.3">
      <c r="A3215" s="1" t="str">
        <f>"53018402800"</f>
        <v>53018402800</v>
      </c>
      <c r="B3215" s="1" t="str">
        <f>"DADOZ LLC"</f>
        <v>DADOZ LLC</v>
      </c>
      <c r="C3215" s="1" t="str">
        <f>"4084 WINTERTIME DR MADISON MILLS SEC 6 LOT 373"</f>
        <v>4084 WINTERTIME DR MADISON MILLS SEC 6 LOT 373</v>
      </c>
      <c r="D3215" s="1">
        <v>1836.22</v>
      </c>
    </row>
    <row r="3216" spans="1:4" x14ac:dyDescent="0.3">
      <c r="A3216" s="1" t="str">
        <f>"01011146500"</f>
        <v>01011146500</v>
      </c>
      <c r="B3216" s="1" t="str">
        <f>"DADOZ PROPERTY SOLUTIONS LLC"</f>
        <v>DADOZ PROPERTY SOLUTIONS LLC</v>
      </c>
      <c r="C3216" s="1" t="str">
        <f>"CEDARWOOD RD GARDEN FARMS LOT 29"</f>
        <v>CEDARWOOD RD GARDEN FARMS LOT 29</v>
      </c>
      <c r="D3216" s="1">
        <v>1480.93</v>
      </c>
    </row>
    <row r="3217" spans="1:4" x14ac:dyDescent="0.3">
      <c r="A3217" s="1" t="str">
        <f>"01010913000"</f>
        <v>01010913000</v>
      </c>
      <c r="B3217" s="1" t="str">
        <f>"DADOZ PROPERTY SOLUTIONS LLC"</f>
        <v>DADOZ PROPERTY SOLUTIONS LLC</v>
      </c>
      <c r="C3217" s="1" t="str">
        <f>"BRENTNELL BLVD ARLINGTONPARKTRACT2 LOT 5 BLK H"</f>
        <v>BRENTNELL BLVD ARLINGTONPARKTRACT2 LOT 5 BLK H</v>
      </c>
      <c r="D3217" s="1">
        <v>1075.6400000000001</v>
      </c>
    </row>
    <row r="3218" spans="1:4" x14ac:dyDescent="0.3">
      <c r="A3218" s="1" t="str">
        <f>"01001977200"</f>
        <v>01001977200</v>
      </c>
      <c r="B3218" s="1" t="str">
        <f>"DADOZ PROPERTY SOLUTIONS LLC"</f>
        <v>DADOZ PROPERTY SOLUTIONS LLC</v>
      </c>
      <c r="C3218" s="1" t="str">
        <f>"818 THOMAS AVE OSBORN PLACE LOT 350"</f>
        <v>818 THOMAS AVE OSBORN PLACE LOT 350</v>
      </c>
      <c r="D3218" s="1">
        <v>991.44</v>
      </c>
    </row>
    <row r="3219" spans="1:4" x14ac:dyDescent="0.3">
      <c r="A3219" s="1" t="str">
        <f>"01020941900"</f>
        <v>01020941900</v>
      </c>
      <c r="B3219" s="1" t="str">
        <f>"DAEHNKE ARTHUR MELVIN TR"</f>
        <v>DAEHNKE ARTHUR MELVIN TR</v>
      </c>
      <c r="C3219" s="1" t="str">
        <f>"INDIAN SUMMER DRIVE INDIAN HOLLOW SUB LOT 1"</f>
        <v>INDIAN SUMMER DRIVE INDIAN HOLLOW SUB LOT 1</v>
      </c>
      <c r="D3219" s="1">
        <v>2217.7800000000002</v>
      </c>
    </row>
    <row r="3220" spans="1:4" x14ac:dyDescent="0.3">
      <c r="A3220" s="1" t="str">
        <f>"56019703000"</f>
        <v>56019703000</v>
      </c>
      <c r="B3220" s="1" t="str">
        <f>"DAGAN SUZANNE W"</f>
        <v>DAGAN SUZANNE W</v>
      </c>
      <c r="C3220" s="1" t="str">
        <f>"4815 FARBER ROW DUBLIN COMMONS CONDO TOWNHM XXIII UNIT D"</f>
        <v>4815 FARBER ROW DUBLIN COMMONS CONDO TOWNHM XXIII UNIT D</v>
      </c>
      <c r="D3220" s="1">
        <v>1099.9000000000001</v>
      </c>
    </row>
    <row r="3221" spans="1:4" x14ac:dyDescent="0.3">
      <c r="A3221" s="1" t="str">
        <f>"05000929100"</f>
        <v>05000929100</v>
      </c>
      <c r="B3221" s="1" t="str">
        <f>"DAHHANI KAWTAR"</f>
        <v>DAHHANI KAWTAR</v>
      </c>
      <c r="C3221" s="1" t="str">
        <f>"BENBROOK POND DRIVE LAKEWOOD SECTION 1 LOT 6"</f>
        <v>BENBROOK POND DRIVE LAKEWOOD SECTION 1 LOT 6</v>
      </c>
      <c r="D3221" s="1">
        <v>6813.6</v>
      </c>
    </row>
    <row r="3222" spans="1:4" x14ac:dyDescent="0.3">
      <c r="A3222" s="1" t="str">
        <f>"18600032200"</f>
        <v>18600032200</v>
      </c>
      <c r="B3222" s="1" t="str">
        <f>"DAHIR ISMAIL"</f>
        <v>DAHIR ISMAIL</v>
      </c>
      <c r="C3222" s="1" t="str">
        <f>"MAC CLELLAN STREET SOUTH BIXBY GROVE SECTION 3 PHASE 1 LOT 9"</f>
        <v>MAC CLELLAN STREET SOUTH BIXBY GROVE SECTION 3 PHASE 1 LOT 9</v>
      </c>
      <c r="D3222" s="1">
        <v>870.28</v>
      </c>
    </row>
    <row r="3223" spans="1:4" x14ac:dyDescent="0.3">
      <c r="A3223" s="1" t="str">
        <f>"56021614000"</f>
        <v>56021614000</v>
      </c>
      <c r="B3223" s="1" t="str">
        <f>"DAI LIFEN, PEARSON MARK B JR"</f>
        <v>DAI LIFEN, PEARSON MARK B JR</v>
      </c>
      <c r="C3223" s="1" t="str">
        <f>"CALHOON DRIVE OAK RUN SEC 2 PT 2 LOT 205"</f>
        <v>CALHOON DRIVE OAK RUN SEC 2 PT 2 LOT 205</v>
      </c>
      <c r="D3223" s="1">
        <v>294.27</v>
      </c>
    </row>
    <row r="3224" spans="1:4" x14ac:dyDescent="0.3">
      <c r="A3224" s="1" t="str">
        <f>"04000855900"</f>
        <v>04000855900</v>
      </c>
      <c r="B3224" s="1" t="str">
        <f>"DAILEY JERRY A, DAILEY RUTH A"</f>
        <v>DAILEY JERRY A, DAILEY RUTH A</v>
      </c>
      <c r="C3224" s="1" t="str">
        <f>"THE WILLOWS AT QUAIL CREEK CONDO 1ST AMD BLDG 8 UNIT 5750"</f>
        <v>THE WILLOWS AT QUAIL CREEK CONDO 1ST AMD BLDG 8 UNIT 5750</v>
      </c>
      <c r="D3224" s="1">
        <v>1762.85</v>
      </c>
    </row>
    <row r="3225" spans="1:4" x14ac:dyDescent="0.3">
      <c r="A3225" s="1" t="str">
        <f>"01000237200"</f>
        <v>01000237200</v>
      </c>
      <c r="B3225" s="1" t="str">
        <f>"DALTON BERMA"</f>
        <v>DALTON BERMA</v>
      </c>
      <c r="C3225" s="1" t="str">
        <f>"366 WHEATLAND ARLINGTON LOT 185"</f>
        <v>366 WHEATLAND ARLINGTON LOT 185</v>
      </c>
      <c r="D3225" s="1">
        <v>277.25</v>
      </c>
    </row>
    <row r="3226" spans="1:4" x14ac:dyDescent="0.3">
      <c r="A3226" s="1" t="str">
        <f>"01002107000"</f>
        <v>01002107000</v>
      </c>
      <c r="B3226" s="1" t="str">
        <f>"DALTON BERMA"</f>
        <v>DALTON BERMA</v>
      </c>
      <c r="C3226" s="1" t="str">
        <f>"366 WHEATLAND AVE ARLINGTON LOT 184"</f>
        <v>366 WHEATLAND AVE ARLINGTON LOT 184</v>
      </c>
      <c r="D3226" s="1">
        <v>12.32</v>
      </c>
    </row>
    <row r="3227" spans="1:4" x14ac:dyDescent="0.3">
      <c r="A3227" s="1" t="str">
        <f>"18500289500"</f>
        <v>18500289500</v>
      </c>
      <c r="B3227" s="1" t="str">
        <f>"DALTON DENNY"</f>
        <v>DALTON DENNY</v>
      </c>
      <c r="C3227" s="1" t="str">
        <f>"HENDRON RD R21 T11 S20 0.2152 ACRE"</f>
        <v>HENDRON RD R21 T11 S20 0.2152 ACRE</v>
      </c>
      <c r="D3227" s="1">
        <v>194.02</v>
      </c>
    </row>
    <row r="3228" spans="1:4" x14ac:dyDescent="0.3">
      <c r="A3228" s="1" t="str">
        <f>"01007557900"</f>
        <v>01007557900</v>
      </c>
      <c r="B3228" s="1" t="str">
        <f>"DALTON JAMILA L"</f>
        <v>DALTON JAMILA L</v>
      </c>
      <c r="C3228" s="1" t="str">
        <f>"2254 GERBERT RD HOMESTEAD HEIGHTS LOT 242"</f>
        <v>2254 GERBERT RD HOMESTEAD HEIGHTS LOT 242</v>
      </c>
      <c r="D3228" s="1">
        <v>809.41</v>
      </c>
    </row>
    <row r="3229" spans="1:4" x14ac:dyDescent="0.3">
      <c r="A3229" s="1" t="str">
        <f>"01015856500"</f>
        <v>01015856500</v>
      </c>
      <c r="B3229" s="1" t="str">
        <f>"DALTON JESSE D, DALTON SANDRA K"</f>
        <v>DALTON JESSE D, DALTON SANDRA K</v>
      </c>
      <c r="C3229" s="1" t="str">
        <f>"BEACONTREE DR WALNUT CREEK SEC 1 LOT 96"</f>
        <v>BEACONTREE DR WALNUT CREEK SEC 1 LOT 96</v>
      </c>
      <c r="D3229" s="1">
        <v>1826.07</v>
      </c>
    </row>
    <row r="3230" spans="1:4" x14ac:dyDescent="0.3">
      <c r="A3230" s="1" t="str">
        <f>"57022611700"</f>
        <v>57022611700</v>
      </c>
      <c r="B3230" s="1" t="str">
        <f>"DALTON MARIA E"</f>
        <v>DALTON MARIA E</v>
      </c>
      <c r="C3230" s="1" t="str">
        <f>"RAVELSTON COURT STONERIDGE VILLAGE SECTION 3 LOT 152"</f>
        <v>RAVELSTON COURT STONERIDGE VILLAGE SECTION 3 LOT 152</v>
      </c>
      <c r="D3230" s="1">
        <v>361.35</v>
      </c>
    </row>
    <row r="3231" spans="1:4" x14ac:dyDescent="0.3">
      <c r="A3231" s="1" t="str">
        <f>"01009483200"</f>
        <v>01009483200</v>
      </c>
      <c r="B3231" s="1" t="str">
        <f>"DALTON ROBERT HUSTON"</f>
        <v>DALTON ROBERT HUSTON</v>
      </c>
      <c r="C3231" s="1" t="str">
        <f>"SIXTH AVE CASSADYS 5TH AVE LOT 167-168"</f>
        <v>SIXTH AVE CASSADYS 5TH AVE LOT 167-168</v>
      </c>
      <c r="D3231" s="1">
        <v>95.35</v>
      </c>
    </row>
    <row r="3232" spans="1:4" x14ac:dyDescent="0.3">
      <c r="A3232" s="1" t="str">
        <f>"01008047300"</f>
        <v>01008047300</v>
      </c>
      <c r="B3232" s="1" t="str">
        <f>"DALTON VIRGINIA"</f>
        <v>DALTON VIRGINIA</v>
      </c>
      <c r="C3232" s="1" t="str">
        <f>"1002 22ND ST OLD ORCHARD LOT 69"</f>
        <v>1002 22ND ST OLD ORCHARD LOT 69</v>
      </c>
      <c r="D3232" s="1">
        <v>3208.46</v>
      </c>
    </row>
    <row r="3233" spans="1:4" x14ac:dyDescent="0.3">
      <c r="A3233" s="1" t="str">
        <f>"01007554800"</f>
        <v>01007554800</v>
      </c>
      <c r="B3233" s="1" t="str">
        <f>"DALTON-SIMS LISA"</f>
        <v>DALTON-SIMS LISA</v>
      </c>
      <c r="C3233" s="1" t="str">
        <f>"2235 ONTARIO ST HOMESTEAD HTS LOT 211-212"</f>
        <v>2235 ONTARIO ST HOMESTEAD HTS LOT 211-212</v>
      </c>
      <c r="D3233" s="1">
        <v>1226.05</v>
      </c>
    </row>
    <row r="3234" spans="1:4" x14ac:dyDescent="0.3">
      <c r="A3234" s="1" t="str">
        <f>"04001018300"</f>
        <v>04001018300</v>
      </c>
      <c r="B3234" s="1" t="str">
        <f>"DAMERON KYLEAH J TR"</f>
        <v>DAMERON KYLEAH J TR</v>
      </c>
      <c r="C3234" s="1" t="str">
        <f>"VILLAGE AT PINE MANOR CONDOMINIUMS 8TH AMD PHASE 9 UNIT 3204"</f>
        <v>VILLAGE AT PINE MANOR CONDOMINIUMS 8TH AMD PHASE 9 UNIT 3204</v>
      </c>
      <c r="D3234" s="1">
        <v>1859.33</v>
      </c>
    </row>
    <row r="3235" spans="1:4" x14ac:dyDescent="0.3">
      <c r="A3235" s="1" t="str">
        <f>"01005706100"</f>
        <v>01005706100</v>
      </c>
      <c r="B3235" s="1" t="str">
        <f>"DAMMARELL ALEXIS L"</f>
        <v>DAMMARELL ALEXIS L</v>
      </c>
      <c r="C3235" s="1" t="str">
        <f>"77 N PRINCETON AVE KNAUSS LOT SUB 148"</f>
        <v>77 N PRINCETON AVE KNAUSS LOT SUB 148</v>
      </c>
      <c r="D3235" s="1">
        <v>8.85</v>
      </c>
    </row>
    <row r="3236" spans="1:4" x14ac:dyDescent="0.3">
      <c r="A3236" s="1" t="str">
        <f>"08000446500"</f>
        <v>08000446500</v>
      </c>
      <c r="B3236" s="1" t="str">
        <f>"DAMRON JAMES C II, DAMRON LINDA L"</f>
        <v>DAMRON JAMES C II, DAMRON LINDA L</v>
      </c>
      <c r="C3236" s="1" t="str">
        <f>"VANCOUVER DR HERBERT C HUBER PLAT 49 SEC 8 L 2335"</f>
        <v>VANCOUVER DR HERBERT C HUBER PLAT 49 SEC 8 L 2335</v>
      </c>
      <c r="D3236" s="1">
        <v>5885.13</v>
      </c>
    </row>
    <row r="3237" spans="1:4" x14ac:dyDescent="0.3">
      <c r="A3237" s="1" t="str">
        <f>"17000396600"</f>
        <v>17000396600</v>
      </c>
      <c r="B3237" s="1" t="str">
        <f>"DANA SADIQ"</f>
        <v>DANA SADIQ</v>
      </c>
      <c r="C3237" s="1" t="str">
        <f>"PINECREST SECTION 3 LOT 55"</f>
        <v>PINECREST SECTION 3 LOT 55</v>
      </c>
      <c r="D3237" s="1">
        <v>7321.68</v>
      </c>
    </row>
    <row r="3238" spans="1:4" x14ac:dyDescent="0.3">
      <c r="A3238" s="1" t="str">
        <f>"56021959800"</f>
        <v>56021959800</v>
      </c>
      <c r="B3238" s="1" t="str">
        <f>"DANAK SADASHIV, DANAK GITA"</f>
        <v>DANAK SADASHIV, DANAK GITA</v>
      </c>
      <c r="C3238" s="1" t="str">
        <f>"CROSS CREEK VILLAGE SECTION 9 LOT 855"</f>
        <v>CROSS CREEK VILLAGE SECTION 9 LOT 855</v>
      </c>
      <c r="D3238" s="1">
        <v>250.84</v>
      </c>
    </row>
    <row r="3239" spans="1:4" x14ac:dyDescent="0.3">
      <c r="A3239" s="1" t="str">
        <f>"01004409700"</f>
        <v>01004409700</v>
      </c>
      <c r="B3239" s="1" t="str">
        <f>"DANCING BEAR PROPERTY LLC"</f>
        <v>DANCING BEAR PROPERTY LLC</v>
      </c>
      <c r="C3239" s="1" t="str">
        <f>"2257 INDIANA AVE INDIANOLA HTS LOT 110"</f>
        <v>2257 INDIANA AVE INDIANOLA HTS LOT 110</v>
      </c>
      <c r="D3239" s="1">
        <v>184.06</v>
      </c>
    </row>
    <row r="3240" spans="1:4" x14ac:dyDescent="0.3">
      <c r="A3240" s="1" t="str">
        <f>"17000155500"</f>
        <v>17000155500</v>
      </c>
      <c r="B3240" s="1" t="str">
        <f>"DANEMAN JEFFREY M"</f>
        <v>DANEMAN JEFFREY M</v>
      </c>
      <c r="C3240" s="1" t="str">
        <f>"8199 MORSE RD TWIN BROOKS LOT 12"</f>
        <v>8199 MORSE RD TWIN BROOKS LOT 12</v>
      </c>
      <c r="D3240" s="1">
        <v>6122.66</v>
      </c>
    </row>
    <row r="3241" spans="1:4" x14ac:dyDescent="0.3">
      <c r="A3241" s="1" t="str">
        <f>"02501092800"</f>
        <v>02501092800</v>
      </c>
      <c r="B3241" s="1" t="str">
        <f>"DANG HAU T"</f>
        <v>DANG HAU T</v>
      </c>
      <c r="C3241" s="1" t="str">
        <f>"THORBURN PLACE SYCAMORE MILL PHASE 3 LOT 8"</f>
        <v>THORBURN PLACE SYCAMORE MILL PHASE 3 LOT 8</v>
      </c>
      <c r="D3241" s="1">
        <v>4451.08</v>
      </c>
    </row>
    <row r="3242" spans="1:4" x14ac:dyDescent="0.3">
      <c r="A3242" s="1" t="str">
        <f>"57025266600"</f>
        <v>57025266600</v>
      </c>
      <c r="B3242" s="1" t="str">
        <f>"DANG MARK"</f>
        <v>DANG MARK</v>
      </c>
      <c r="C3242" s="1" t="str">
        <f>"COVINA DRIVE PARKVIEW SECTION 3 LOT 109"</f>
        <v>COVINA DRIVE PARKVIEW SECTION 3 LOT 109</v>
      </c>
      <c r="D3242" s="1">
        <v>91.71</v>
      </c>
    </row>
    <row r="3243" spans="1:4" x14ac:dyDescent="0.3">
      <c r="A3243" s="1" t="str">
        <f>"17100159800"</f>
        <v>17100159800</v>
      </c>
      <c r="B3243" s="1" t="str">
        <f>"DANG THIEU T"</f>
        <v>DANG THIEU T</v>
      </c>
      <c r="C3243" s="1" t="str">
        <f>"GOLDEN WILLOW PLACE WILLOW BROOK CROSSING SOUTH LOT 5"</f>
        <v>GOLDEN WILLOW PLACE WILLOW BROOK CROSSING SOUTH LOT 5</v>
      </c>
      <c r="D3243" s="1">
        <v>170.02</v>
      </c>
    </row>
    <row r="3244" spans="1:4" x14ac:dyDescent="0.3">
      <c r="A3244" s="1" t="str">
        <f>"56020700700"</f>
        <v>56020700700</v>
      </c>
      <c r="B3244" s="1" t="str">
        <f>"DANIEL JOSEPH, DANIEL JUANITA L"</f>
        <v>DANIEL JOSEPH, DANIEL JUANITA L</v>
      </c>
      <c r="C3244" s="1" t="str">
        <f>"SADDLEBROOK DRIVE SADDLEBROOK SEC 5 LOT 204"</f>
        <v>SADDLEBROOK DRIVE SADDLEBROOK SEC 5 LOT 204</v>
      </c>
      <c r="D3244" s="1">
        <v>3195.69</v>
      </c>
    </row>
    <row r="3245" spans="1:4" x14ac:dyDescent="0.3">
      <c r="A3245" s="1" t="str">
        <f>"04000293000"</f>
        <v>04000293000</v>
      </c>
      <c r="B3245" s="1" t="str">
        <f>"DANIELL KEVIN PARK, DANIELL KIRK PAUL, DANIELL KRAIG PHILIP, DANIELL KARY PATRICK, DANIELL KYLE PERRY"</f>
        <v>DANIELL KEVIN PARK, DANIELL KIRK PAUL, DANIELL KRAIG PHILIP, DANIELL KARY PATRICK, DANIELL KYLE PERRY</v>
      </c>
      <c r="C3245" s="1" t="str">
        <f>"3841 EVANS DR LAROSA LOT 12 BLK 6"</f>
        <v>3841 EVANS DR LAROSA LOT 12 BLK 6</v>
      </c>
      <c r="D3245" s="1">
        <v>1850.29</v>
      </c>
    </row>
    <row r="3246" spans="1:4" x14ac:dyDescent="0.3">
      <c r="A3246" s="1" t="str">
        <f>"02500066400"</f>
        <v>02500066400</v>
      </c>
      <c r="B3246" s="1" t="str">
        <f>"DANIELS ANTONIO, DANIELS SONIA"</f>
        <v>DANIELS ANTONIO, DANIELS SONIA</v>
      </c>
      <c r="C3246" s="1" t="str">
        <f>"323 RIVERS END RD GRAMERCY PK ESTATES 257"</f>
        <v>323 RIVERS END RD GRAMERCY PK ESTATES 257</v>
      </c>
      <c r="D3246" s="1">
        <v>4272.1400000000003</v>
      </c>
    </row>
    <row r="3247" spans="1:4" x14ac:dyDescent="0.3">
      <c r="A3247" s="1" t="str">
        <f>"01016154000"</f>
        <v>01016154000</v>
      </c>
      <c r="B3247" s="1" t="str">
        <f>"DANIELS IMANI"</f>
        <v>DANIELS IMANI</v>
      </c>
      <c r="C3247" s="1" t="str">
        <f>"KIMBERLY VILLAS COND PHASE 2 UNIT 7-C"</f>
        <v>KIMBERLY VILLAS COND PHASE 2 UNIT 7-C</v>
      </c>
      <c r="D3247" s="1">
        <v>149.88999999999999</v>
      </c>
    </row>
    <row r="3248" spans="1:4" x14ac:dyDescent="0.3">
      <c r="A3248" s="1" t="str">
        <f>"01000180800"</f>
        <v>01000180800</v>
      </c>
      <c r="B3248" s="1" t="str">
        <f>"DANIELS JAMI, DANIELS ROSS JONATHAN"</f>
        <v>DANIELS JAMI, DANIELS ROSS JONATHAN</v>
      </c>
      <c r="C3248" s="1" t="str">
        <f>"902-904 CHAPEL ST PARSONS 3RD LOTS 47-48"</f>
        <v>902-904 CHAPEL ST PARSONS 3RD LOTS 47-48</v>
      </c>
      <c r="D3248" s="1">
        <v>1606.53</v>
      </c>
    </row>
    <row r="3249" spans="1:4" x14ac:dyDescent="0.3">
      <c r="A3249" s="1" t="str">
        <f>"01001980600"</f>
        <v>01001980600</v>
      </c>
      <c r="B3249" s="1" t="str">
        <f>"DANIELS JAMI, DANIELS ROSS JONATHAN"</f>
        <v>DANIELS JAMI, DANIELS ROSS JONATHAN</v>
      </c>
      <c r="C3249" s="1" t="str">
        <f>"PARSONS 3RD SUB PT LOTS 48-49 &amp; PT AL VAC"</f>
        <v>PARSONS 3RD SUB PT LOTS 48-49 &amp; PT AL VAC</v>
      </c>
      <c r="D3249" s="1">
        <v>2245.13</v>
      </c>
    </row>
    <row r="3250" spans="1:4" x14ac:dyDescent="0.3">
      <c r="A3250" s="1" t="str">
        <f>"14000078100"</f>
        <v>14000078100</v>
      </c>
      <c r="B3250" s="1" t="str">
        <f>"DANIELS MARILYN"</f>
        <v>DANIELS MARILYN</v>
      </c>
      <c r="C3250" s="1" t="str">
        <f>"1034 SEARLES AVE GIBSON PK PLACE 59 "</f>
        <v xml:space="preserve">1034 SEARLES AVE GIBSON PK PLACE 59 </v>
      </c>
      <c r="D3250" s="1">
        <v>3220.18</v>
      </c>
    </row>
    <row r="3251" spans="1:4" x14ac:dyDescent="0.3">
      <c r="A3251" s="1" t="str">
        <f>"06000488100"</f>
        <v>06000488100</v>
      </c>
      <c r="B3251" s="1" t="str">
        <f>"DANIELS MARY M"</f>
        <v>DANIELS MARY M</v>
      </c>
      <c r="C3251" s="1" t="str">
        <f>"BRIARCLIFF NO 9 TANYA TERRACE LOT 584"</f>
        <v>BRIARCLIFF NO 9 TANYA TERRACE LOT 584</v>
      </c>
      <c r="D3251" s="1">
        <v>2025.55</v>
      </c>
    </row>
    <row r="3252" spans="1:4" x14ac:dyDescent="0.3">
      <c r="A3252" s="1" t="str">
        <f>"01008676300"</f>
        <v>01008676300</v>
      </c>
      <c r="B3252" s="1" t="str">
        <f>"DANIELS REBECCA"</f>
        <v>DANIELS REBECCA</v>
      </c>
      <c r="C3252" s="1" t="str">
        <f>"195 W SCHREYER ROSEMARY ADDITION LOT 147 &amp; 1/2 AL VAC"</f>
        <v>195 W SCHREYER ROSEMARY ADDITION LOT 147 &amp; 1/2 AL VAC</v>
      </c>
      <c r="D3252" s="1">
        <v>300.63</v>
      </c>
    </row>
    <row r="3253" spans="1:4" x14ac:dyDescent="0.3">
      <c r="A3253" s="1" t="str">
        <f>"01016558700"</f>
        <v>01016558700</v>
      </c>
      <c r="B3253" s="1" t="str">
        <f>"DANIELS SHELA R"</f>
        <v>DANIELS SHELA R</v>
      </c>
      <c r="C3253" s="1" t="str">
        <f>"PLANTATION LAKES CONDOMINIUM BLDG 10 UNIT C"</f>
        <v>PLANTATION LAKES CONDOMINIUM BLDG 10 UNIT C</v>
      </c>
      <c r="D3253" s="1">
        <v>73.83</v>
      </c>
    </row>
    <row r="3254" spans="1:4" x14ac:dyDescent="0.3">
      <c r="A3254" s="1" t="str">
        <f>"01015977700"</f>
        <v>01015977700</v>
      </c>
      <c r="B3254" s="1" t="str">
        <f>"DANIELS STACI"</f>
        <v>DANIELS STACI</v>
      </c>
      <c r="C3254" s="1" t="str">
        <f>"WRENS CROSS CONDOMINIUM PHASE 1 UNIT 4-H"</f>
        <v>WRENS CROSS CONDOMINIUM PHASE 1 UNIT 4-H</v>
      </c>
      <c r="D3254" s="1">
        <v>2372.9499999999998</v>
      </c>
    </row>
    <row r="3255" spans="1:4" x14ac:dyDescent="0.3">
      <c r="A3255" s="1" t="str">
        <f>"01013667100"</f>
        <v>01013667100</v>
      </c>
      <c r="B3255" s="1" t="str">
        <f>"DANIELS YONG SUN"</f>
        <v>DANIELS YONG SUN</v>
      </c>
      <c r="C3255" s="1" t="str">
        <f>"ENDERLY DR ARGYLE PARK LOT 55"</f>
        <v>ENDERLY DR ARGYLE PARK LOT 55</v>
      </c>
      <c r="D3255" s="1">
        <v>77.92</v>
      </c>
    </row>
    <row r="3256" spans="1:4" x14ac:dyDescent="0.3">
      <c r="A3256" s="1" t="str">
        <f>"01006409500"</f>
        <v>01006409500</v>
      </c>
      <c r="B3256" s="1" t="str">
        <f>"DANIELSON GARRETT T"</f>
        <v>DANIELSON GARRETT T</v>
      </c>
      <c r="C3256" s="1" t="str">
        <f>"1630 KOSSUTH ST 12FT ES 92 ALL 93 LVNGSTN WHITTR GRDNS"</f>
        <v>1630 KOSSUTH ST 12FT ES 92 ALL 93 LVNGSTN WHITTR GRDNS</v>
      </c>
      <c r="D3256" s="1">
        <v>2016.4</v>
      </c>
    </row>
    <row r="3257" spans="1:4" x14ac:dyDescent="0.3">
      <c r="A3257" s="1" t="str">
        <f>"07000291500"</f>
        <v>07000291500</v>
      </c>
      <c r="B3257" s="1" t="str">
        <f>"DAOUD DEBORAH A"</f>
        <v>DAOUD DEBORAH A</v>
      </c>
      <c r="C3257" s="1" t="str">
        <f>"2377 CANTERBURY RD UPPER ARLINGTON LOT 18 PT 17 BLK 207"</f>
        <v>2377 CANTERBURY RD UPPER ARLINGTON LOT 18 PT 17 BLK 207</v>
      </c>
      <c r="D3257" s="1">
        <v>10368.120000000001</v>
      </c>
    </row>
    <row r="3258" spans="1:4" x14ac:dyDescent="0.3">
      <c r="A3258" s="1" t="str">
        <f>"27300581700"</f>
        <v>27300581700</v>
      </c>
      <c r="B3258" s="1" t="str">
        <f>"DARAPUREDDY VENKATA SWAMY NAIDU, NAINALA SARADA"</f>
        <v>DARAPUREDDY VENKATA SWAMY NAIDU, NAINALA SARADA</v>
      </c>
      <c r="C3258" s="1" t="str">
        <f>"WYNFORD DRIVE WYNDHAM VILLAGE SEC1 LOT 5"</f>
        <v>WYNFORD DRIVE WYNDHAM VILLAGE SEC1 LOT 5</v>
      </c>
      <c r="D3258" s="1">
        <v>6034.16</v>
      </c>
    </row>
    <row r="3259" spans="1:4" x14ac:dyDescent="0.3">
      <c r="A3259" s="1" t="str">
        <f>"01025038000"</f>
        <v>01025038000</v>
      </c>
      <c r="B3259" s="1" t="str">
        <f>"DARGENTE DANIEL P"</f>
        <v>DARGENTE DANIEL P</v>
      </c>
      <c r="C3259" s="1" t="str">
        <f>"HAWTHORNE LAKES CONDOMINIUMS GARAGE UNIT G60"</f>
        <v>HAWTHORNE LAKES CONDOMINIUMS GARAGE UNIT G60</v>
      </c>
      <c r="D3259" s="1">
        <v>4.7</v>
      </c>
    </row>
    <row r="3260" spans="1:4" x14ac:dyDescent="0.3">
      <c r="A3260" s="1" t="str">
        <f>"01025038600"</f>
        <v>01025038600</v>
      </c>
      <c r="B3260" s="1" t="str">
        <f>"DARGENTE DANIEL P"</f>
        <v>DARGENTE DANIEL P</v>
      </c>
      <c r="C3260" s="1" t="str">
        <f>"HAWTHORNE LAKES CONDOMINIUMS GARAGE UNIT G66"</f>
        <v>HAWTHORNE LAKES CONDOMINIUMS GARAGE UNIT G66</v>
      </c>
      <c r="D3260" s="1">
        <v>4.7</v>
      </c>
    </row>
    <row r="3261" spans="1:4" x14ac:dyDescent="0.3">
      <c r="A3261" s="1" t="str">
        <f>"01020309700"</f>
        <v>01020309700</v>
      </c>
      <c r="B3261" s="1" t="str">
        <f>"DARKO ALFRED, DARKO VIVIENNE"</f>
        <v>DARKO ALFRED, DARKO VIVIENNE</v>
      </c>
      <c r="C3261" s="1" t="str">
        <f>"HAMPTON COURT CONDO HOMES 5TH AMD UNIT 6050"</f>
        <v>HAMPTON COURT CONDO HOMES 5TH AMD UNIT 6050</v>
      </c>
      <c r="D3261" s="1">
        <v>1195.18</v>
      </c>
    </row>
    <row r="3262" spans="1:4" x14ac:dyDescent="0.3">
      <c r="A3262" s="1" t="str">
        <f>"61021720600"</f>
        <v>61021720600</v>
      </c>
      <c r="B3262" s="1" t="str">
        <f>"DARLING KIMBERLY E"</f>
        <v>DARLING KIMBERLY E</v>
      </c>
      <c r="C3262" s="1" t="str">
        <f>"WORTHINGTON WOODS W CONDO 10 8TH AMD BLDG 22 UNIT 150"</f>
        <v>WORTHINGTON WOODS W CONDO 10 8TH AMD BLDG 22 UNIT 150</v>
      </c>
      <c r="D3262" s="1">
        <v>289.74</v>
      </c>
    </row>
    <row r="3263" spans="1:4" x14ac:dyDescent="0.3">
      <c r="A3263" s="1" t="str">
        <f>"01016113600"</f>
        <v>01016113600</v>
      </c>
      <c r="B3263" s="1" t="str">
        <f>"DARLINGTON MARTIN ELI"</f>
        <v>DARLINGTON MARTIN ELI</v>
      </c>
      <c r="C3263" s="1" t="str">
        <f>"WOODBROOK CR W WOODBROOK VILLAGE CONDO UNIT 170"</f>
        <v>WOODBROOK CR W WOODBROOK VILLAGE CONDO UNIT 170</v>
      </c>
      <c r="D3263" s="1">
        <v>696.76</v>
      </c>
    </row>
    <row r="3264" spans="1:4" x14ac:dyDescent="0.3">
      <c r="A3264" s="1" t="str">
        <f>"01029075000"</f>
        <v>01029075000</v>
      </c>
      <c r="B3264" s="1" t="str">
        <f>"DARROUGH NANCI A"</f>
        <v>DARROUGH NANCI A</v>
      </c>
      <c r="C3264" s="1" t="str">
        <f>"GRAND RESERVE AT ALBANY   CROSSING CONDOMINIUM 12TH AMD UNIT 29              "</f>
        <v xml:space="preserve">GRAND RESERVE AT ALBANY   CROSSING CONDOMINIUM 12TH AMD UNIT 29              </v>
      </c>
      <c r="D3264" s="1">
        <v>136.41</v>
      </c>
    </row>
    <row r="3265" spans="1:4" x14ac:dyDescent="0.3">
      <c r="A3265" s="1" t="str">
        <f>"15300020200"</f>
        <v>15300020200</v>
      </c>
      <c r="B3265" s="1" t="str">
        <f>"DARST CAROLE A TR"</f>
        <v>DARST CAROLE A TR</v>
      </c>
      <c r="C3265" s="1" t="str">
        <f>"E HOWARD RD ACRES .40 R22 T4 S13 PAR 36-37 URP 15"</f>
        <v>E HOWARD RD ACRES .40 R22 T4 S13 PAR 36-37 URP 15</v>
      </c>
      <c r="D3265" s="1">
        <v>4208.75</v>
      </c>
    </row>
    <row r="3266" spans="1:4" x14ac:dyDescent="0.3">
      <c r="A3266" s="1" t="str">
        <f>"56026655300"</f>
        <v>56026655300</v>
      </c>
      <c r="B3266" s="1" t="str">
        <f>"DASARAJU LAKSHMI N, GANGARAJU SIREESHA"</f>
        <v>DASARAJU LAKSHMI N, GANGARAJU SIREESHA</v>
      </c>
      <c r="C3266" s="1" t="str">
        <f>"SMOKEHILL DRIVE HILLIARD MEADOWS LOT 69"</f>
        <v>SMOKEHILL DRIVE HILLIARD MEADOWS LOT 69</v>
      </c>
      <c r="D3266" s="1">
        <v>4120.6899999999996</v>
      </c>
    </row>
    <row r="3267" spans="1:4" x14ac:dyDescent="0.3">
      <c r="A3267" s="1" t="str">
        <f>"60020688200"</f>
        <v>60020688200</v>
      </c>
      <c r="B3267" s="1" t="str">
        <f>"DATEMA KIRK, EVANS KATHY"</f>
        <v>DATEMA KIRK, EVANS KATHY</v>
      </c>
      <c r="C3267" s="1" t="str">
        <f>"BERRYFIELD DRIVE STRAWBERRY FIELDS RESERVE A  .026 AC"</f>
        <v>BERRYFIELD DRIVE STRAWBERRY FIELDS RESERVE A  .026 AC</v>
      </c>
      <c r="D3267" s="1">
        <v>3.11</v>
      </c>
    </row>
    <row r="3268" spans="1:4" x14ac:dyDescent="0.3">
      <c r="A3268" s="1" t="str">
        <f>"01014538100"</f>
        <v>01014538100</v>
      </c>
      <c r="B3268" s="1" t="str">
        <f>"DAUBERMAN MARY L"</f>
        <v>DAUBERMAN MARY L</v>
      </c>
      <c r="C3268" s="1" t="str">
        <f>"DENBIGH DR SHEFFIELD 70 FT WS LOT 69"</f>
        <v>DENBIGH DR SHEFFIELD 70 FT WS LOT 69</v>
      </c>
      <c r="D3268" s="1">
        <v>2903.75</v>
      </c>
    </row>
    <row r="3269" spans="1:4" x14ac:dyDescent="0.3">
      <c r="A3269" s="1" t="str">
        <f>"14000000300"</f>
        <v>14000000300</v>
      </c>
      <c r="B3269" s="1" t="str">
        <f>"DAUGHERTY JAMES A"</f>
        <v>DAUGHERTY JAMES A</v>
      </c>
      <c r="C3269" s="1" t="str">
        <f>"RICHMOND RD RICHTERS PT 127 "</f>
        <v xml:space="preserve">RICHMOND RD RICHTERS PT 127 </v>
      </c>
      <c r="D3269" s="1">
        <v>700.25</v>
      </c>
    </row>
    <row r="3270" spans="1:4" x14ac:dyDescent="0.3">
      <c r="A3270" s="1" t="str">
        <f>"01011296600"</f>
        <v>01011296600</v>
      </c>
      <c r="B3270" s="1" t="str">
        <f>"DAUGHERTYS RENTALS LLC"</f>
        <v>DAUGHERTYS RENTALS LLC</v>
      </c>
      <c r="C3270" s="1" t="str">
        <f>"BENFIELDAVE SOUTHHIGHST LOT 16"</f>
        <v>BENFIELDAVE SOUTHHIGHST LOT 16</v>
      </c>
      <c r="D3270" s="1">
        <v>412.54</v>
      </c>
    </row>
    <row r="3271" spans="1:4" x14ac:dyDescent="0.3">
      <c r="A3271" s="1" t="str">
        <f>"14000228100"</f>
        <v>14000228100</v>
      </c>
      <c r="B3271" s="1" t="str">
        <f>"DAUGHERTYS RENTALS LLC"</f>
        <v>DAUGHERTYS RENTALS LLC</v>
      </c>
      <c r="C3271" s="1" t="str">
        <f>"1637 LITTLE AVE NEW CITY LOT 14 "</f>
        <v xml:space="preserve">1637 LITTLE AVE NEW CITY LOT 14 </v>
      </c>
      <c r="D3271" s="1">
        <v>7068.52</v>
      </c>
    </row>
    <row r="3272" spans="1:4" x14ac:dyDescent="0.3">
      <c r="A3272" s="1" t="str">
        <f>"01006148400"</f>
        <v>01006148400</v>
      </c>
      <c r="B3272" s="1" t="str">
        <f>"DAUGHERTYS RENTALS LLC"</f>
        <v>DAUGHERTYS RENTALS LLC</v>
      </c>
      <c r="C3272" s="1" t="str">
        <f>"1739-1741 S 8TH ST DURRETTS SUB OF M3 LOT 13"</f>
        <v>1739-1741 S 8TH ST DURRETTS SUB OF M3 LOT 13</v>
      </c>
      <c r="D3272" s="1">
        <v>3243.05</v>
      </c>
    </row>
    <row r="3273" spans="1:4" x14ac:dyDescent="0.3">
      <c r="A3273" s="1" t="str">
        <f>"02000284000"</f>
        <v>02000284000</v>
      </c>
      <c r="B3273" s="1" t="str">
        <f>"DAUSEN REBECCA, DAUSEN MARK"</f>
        <v>DAUSEN REBECCA, DAUSEN MARK</v>
      </c>
      <c r="C3273" s="1" t="str">
        <f>"410 S COLUMBIA AV PARKVIEW 64.75'WL IRR SE LOT 33"</f>
        <v>410 S COLUMBIA AV PARKVIEW 64.75'WL IRR SE LOT 33</v>
      </c>
      <c r="D3273" s="1">
        <v>11313.82</v>
      </c>
    </row>
    <row r="3274" spans="1:4" x14ac:dyDescent="0.3">
      <c r="A3274" s="1" t="str">
        <f>"01001679800"</f>
        <v>01001679800</v>
      </c>
      <c r="B3274" s="1" t="str">
        <f>"DAUTREMONT JULIAN, DAUTREMONT TAYLOR"</f>
        <v>DAUTREMONT JULIAN, DAUTREMONT TAYLOR</v>
      </c>
      <c r="C3274" s="1" t="str">
        <f>"223 KELSO RD CRESTVIEW LOT 970-1"</f>
        <v>223 KELSO RD CRESTVIEW LOT 970-1</v>
      </c>
      <c r="D3274" s="1">
        <v>6204.22</v>
      </c>
    </row>
    <row r="3275" spans="1:4" x14ac:dyDescent="0.3">
      <c r="A3275" s="1" t="str">
        <f>"01016097300"</f>
        <v>01016097300</v>
      </c>
      <c r="B3275" s="1" t="str">
        <f>"DAVE &amp; BOVAS INVESTMENTS LLC"</f>
        <v>DAVE &amp; BOVAS INVESTMENTS LLC</v>
      </c>
      <c r="C3275" s="1" t="str">
        <f>"WOODBROOK LANE WOODBROOK VILLAGE CONDOMINIUM UNIT 7"</f>
        <v>WOODBROOK LANE WOODBROOK VILLAGE CONDOMINIUM UNIT 7</v>
      </c>
      <c r="D3275" s="1">
        <v>1503.65</v>
      </c>
    </row>
    <row r="3276" spans="1:4" x14ac:dyDescent="0.3">
      <c r="A3276" s="1" t="str">
        <f>"26000035300"</f>
        <v>26000035300</v>
      </c>
      <c r="B3276" s="1" t="str">
        <f>"DAVENPORT BENJAMIN C, DAVENPORT CHRISTINA L"</f>
        <v>DAVENPORT BENJAMIN C, DAVENPORT CHRISTINA L</v>
      </c>
      <c r="C3276" s="1" t="str">
        <f>"PARKLINE DR QUALSTAN EAST LOT 496"</f>
        <v>PARKLINE DR QUALSTAN EAST LOT 496</v>
      </c>
      <c r="D3276" s="1">
        <v>3602.95</v>
      </c>
    </row>
    <row r="3277" spans="1:4" x14ac:dyDescent="0.3">
      <c r="A3277" s="1" t="str">
        <f>"04000791400"</f>
        <v>04000791400</v>
      </c>
      <c r="B3277" s="1" t="str">
        <f>"DAVENPORT DAVID M TR, DAVENPORT PAMELA B TR"</f>
        <v>DAVENPORT DAVID M TR, DAVENPORT PAMELA B TR</v>
      </c>
      <c r="C3277" s="1" t="str">
        <f>"0000HUNTING CREEK DR BRIARWOOD HILLS SEC7 LOT 26"</f>
        <v>0000HUNTING CREEK DR BRIARWOOD HILLS SEC7 LOT 26</v>
      </c>
      <c r="D3277" s="1">
        <v>250.82</v>
      </c>
    </row>
    <row r="3278" spans="1:4" x14ac:dyDescent="0.3">
      <c r="A3278" s="1" t="str">
        <f>"01006038200"</f>
        <v>01006038200</v>
      </c>
      <c r="B3278" s="1" t="str">
        <f>"DAVENPORT DWIGHT"</f>
        <v>DAVENPORT DWIGHT</v>
      </c>
      <c r="C3278" s="1" t="str">
        <f>"1425 24TH AVE WALDEMERE LOT 96"</f>
        <v>1425 24TH AVE WALDEMERE LOT 96</v>
      </c>
      <c r="D3278" s="1">
        <v>1889.03</v>
      </c>
    </row>
    <row r="3279" spans="1:4" x14ac:dyDescent="0.3">
      <c r="A3279" s="1" t="str">
        <f>"01014094500"</f>
        <v>01014094500</v>
      </c>
      <c r="B3279" s="1" t="str">
        <f>"DAVENPORT MINNIE R"</f>
        <v>DAVENPORT MINNIE R</v>
      </c>
      <c r="C3279" s="1" t="str">
        <f>"HALLECK PL BERWICK EST LOT 26"</f>
        <v>HALLECK PL BERWICK EST LOT 26</v>
      </c>
      <c r="D3279" s="1">
        <v>2039.96</v>
      </c>
    </row>
    <row r="3280" spans="1:4" x14ac:dyDescent="0.3">
      <c r="A3280" s="1" t="str">
        <f>"13000168800"</f>
        <v>13000168800</v>
      </c>
      <c r="B3280" s="1" t="str">
        <f>"DAVENPORT SHIRLEY M TOD"</f>
        <v>DAVENPORT SHIRLEY M TOD</v>
      </c>
      <c r="C3280" s="1" t="str">
        <f>"GERRARD AVE UNIVERSITY AVE 74 "</f>
        <v xml:space="preserve">GERRARD AVE UNIVERSITY AVE 74 </v>
      </c>
      <c r="D3280" s="1">
        <v>11.15</v>
      </c>
    </row>
    <row r="3281" spans="1:4" x14ac:dyDescent="0.3">
      <c r="A3281" s="1" t="str">
        <f>"60021052800"</f>
        <v>60021052800</v>
      </c>
      <c r="B3281" s="1" t="str">
        <f>"DAVENPORT STEVEN E"</f>
        <v>DAVENPORT STEVEN E</v>
      </c>
      <c r="C3281" s="1" t="str">
        <f>"RAFLIN DRIVE WESTERFORD VILLAGE LOT 116"</f>
        <v>RAFLIN DRIVE WESTERFORD VILLAGE LOT 116</v>
      </c>
      <c r="D3281" s="1">
        <v>3868.34</v>
      </c>
    </row>
    <row r="3282" spans="1:4" x14ac:dyDescent="0.3">
      <c r="A3282" s="1" t="str">
        <f>"01007345800"</f>
        <v>01007345800</v>
      </c>
      <c r="B3282" s="1" t="str">
        <f>"DAVID JOHN SR"</f>
        <v>DAVID JOHN SR</v>
      </c>
      <c r="C3282" s="1" t="str">
        <f>"HARDESTY VILLAGE CONDOMINIUM NO Z UNIT 7"</f>
        <v>HARDESTY VILLAGE CONDOMINIUM NO Z UNIT 7</v>
      </c>
      <c r="D3282" s="1">
        <v>100</v>
      </c>
    </row>
    <row r="3283" spans="1:4" x14ac:dyDescent="0.3">
      <c r="A3283" s="1" t="str">
        <f>"01011179200"</f>
        <v>01011179200</v>
      </c>
      <c r="B3283" s="1" t="str">
        <f>"DAVIDSON AMY D"</f>
        <v>DAVIDSON AMY D</v>
      </c>
      <c r="C3283" s="1" t="str">
        <f>"INNIS AVE DELLBOURNE LOT 66 &amp; 0.068 ACRE"</f>
        <v>INNIS AVE DELLBOURNE LOT 66 &amp; 0.068 ACRE</v>
      </c>
      <c r="D3283" s="1">
        <v>1988.75</v>
      </c>
    </row>
    <row r="3284" spans="1:4" x14ac:dyDescent="0.3">
      <c r="A3284" s="1" t="str">
        <f>"21300238700"</f>
        <v>21300238700</v>
      </c>
      <c r="B3284" s="1" t="str">
        <f>"DAVIDSON BARBARA L TR"</f>
        <v>DAVIDSON BARBARA L TR</v>
      </c>
      <c r="C3284" s="1" t="str">
        <f>"COPPERFIELD DR WORTHINGTON HILLS N LOT 3"</f>
        <v>COPPERFIELD DR WORTHINGTON HILLS N LOT 3</v>
      </c>
      <c r="D3284" s="1">
        <v>637.30999999999995</v>
      </c>
    </row>
    <row r="3285" spans="1:4" x14ac:dyDescent="0.3">
      <c r="A3285" s="1" t="str">
        <f>"01000488500"</f>
        <v>01000488500</v>
      </c>
      <c r="B3285" s="1" t="str">
        <f>"DAVIDSON CHARLES C TOD, DAVIDSON VIRGINIA A TOD"</f>
        <v>DAVIDSON CHARLES C TOD, DAVIDSON VIRGINIA A TOD</v>
      </c>
      <c r="C3285" s="1" t="str">
        <f>"1904 GREENWAY SOUTH EAST GATE LOT 5 BLK 11"</f>
        <v>1904 GREENWAY SOUTH EAST GATE LOT 5 BLK 11</v>
      </c>
      <c r="D3285" s="1">
        <v>2091.37</v>
      </c>
    </row>
    <row r="3286" spans="1:4" x14ac:dyDescent="0.3">
      <c r="A3286" s="1" t="str">
        <f>"05000760100"</f>
        <v>05000760100</v>
      </c>
      <c r="B3286" s="1" t="str">
        <f>"DAVIDSON ROAD PROPERTIES LLC"</f>
        <v>DAVIDSON ROAD PROPERTIES LLC</v>
      </c>
      <c r="C3286" s="1" t="str">
        <f>"BRITTON ROAD ENTRY 4854-3022 2.686 ACRES"</f>
        <v>BRITTON ROAD ENTRY 4854-3022 2.686 ACRES</v>
      </c>
      <c r="D3286" s="1">
        <v>1412.56</v>
      </c>
    </row>
    <row r="3287" spans="1:4" x14ac:dyDescent="0.3">
      <c r="A3287" s="1" t="str">
        <f>"06000092900"</f>
        <v>06000092900</v>
      </c>
      <c r="B3287" s="1" t="str">
        <f>"DAVIDSON STACI LEIGH"</f>
        <v>DAVIDSON STACI LEIGH</v>
      </c>
      <c r="C3287" s="1" t="str">
        <f>"PLEASANT COURT BROOKSIDE PK 2 505 "</f>
        <v xml:space="preserve">PLEASANT COURT BROOKSIDE PK 2 505 </v>
      </c>
      <c r="D3287" s="1">
        <v>131.99</v>
      </c>
    </row>
    <row r="3288" spans="1:4" x14ac:dyDescent="0.3">
      <c r="A3288" s="1" t="str">
        <f>"01002884900"</f>
        <v>01002884900</v>
      </c>
      <c r="B3288" s="1" t="str">
        <f>"DAVIS ANDRE C"</f>
        <v>DAVIS ANDRE C</v>
      </c>
      <c r="C3288" s="1" t="str">
        <f>"1455 BRYDEN RD EX 38 X 27.5 FT REAR END J NELSON LOT 66"</f>
        <v>1455 BRYDEN RD EX 38 X 27.5 FT REAR END J NELSON LOT 66</v>
      </c>
      <c r="D3288" s="1">
        <v>204.77</v>
      </c>
    </row>
    <row r="3289" spans="1:4" x14ac:dyDescent="0.3">
      <c r="A3289" s="1" t="str">
        <f>"27301026100"</f>
        <v>27301026100</v>
      </c>
      <c r="B3289" s="1" t="str">
        <f>"DAVIS ARUN P, JOSE ROSMI C"</f>
        <v>DAVIS ARUN P, JOSE ROSMI C</v>
      </c>
      <c r="C3289" s="1" t="str">
        <f>"6143 ENKE COURT HAWK'S NEST SECTION 2 PHASE 3 LOT 185"</f>
        <v>6143 ENKE COURT HAWK'S NEST SECTION 2 PHASE 3 LOT 185</v>
      </c>
      <c r="D3289" s="1">
        <v>720.58</v>
      </c>
    </row>
    <row r="3290" spans="1:4" x14ac:dyDescent="0.3">
      <c r="A3290" s="1" t="str">
        <f>"01025351400"</f>
        <v>01025351400</v>
      </c>
      <c r="B3290" s="1" t="str">
        <f>"DAVIS BENJAMIN ALLEN TR, HAWKINS-DAVIS ROMONA LATRICE TR"</f>
        <v>DAVIS BENJAMIN ALLEN TR, HAWKINS-DAVIS ROMONA LATRICE TR</v>
      </c>
      <c r="C3290" s="1" t="str">
        <f>"LEGION LANE KINGSTON CROSSING SECTION 1 LOT 44"</f>
        <v>LEGION LANE KINGSTON CROSSING SECTION 1 LOT 44</v>
      </c>
      <c r="D3290" s="1">
        <v>894.39</v>
      </c>
    </row>
    <row r="3291" spans="1:4" x14ac:dyDescent="0.3">
      <c r="A3291" s="1" t="str">
        <f>"02500808500"</f>
        <v>02500808500</v>
      </c>
      <c r="B3291" s="1" t="str">
        <f>"DAVIS BERNIE, DAVIS HELEN"</f>
        <v>DAVIS BERNIE, DAVIS HELEN</v>
      </c>
      <c r="C3291" s="1" t="str">
        <f>"491 BLUESTEM AVENUE HIGH MEADOWS OF GAHANNA SEC 2 LOT101"</f>
        <v>491 BLUESTEM AVENUE HIGH MEADOWS OF GAHANNA SEC 2 LOT101</v>
      </c>
      <c r="D3291" s="1">
        <v>6157.43</v>
      </c>
    </row>
    <row r="3292" spans="1:4" x14ac:dyDescent="0.3">
      <c r="A3292" s="1" t="str">
        <f>"51529569700"</f>
        <v>51529569700</v>
      </c>
      <c r="B3292" s="1" t="str">
        <f>"DAVIS CORRINNE R"</f>
        <v>DAVIS CORRINNE R</v>
      </c>
      <c r="C3292" s="1" t="str">
        <f>"DORCHESTER GREEN CONDOMINIUM      4TH AMD PHASE 5 BLDG 14 14-D"</f>
        <v>DORCHESTER GREEN CONDOMINIUM      4TH AMD PHASE 5 BLDG 14 14-D</v>
      </c>
      <c r="D3292" s="1">
        <v>2083.73</v>
      </c>
    </row>
    <row r="3293" spans="1:4" x14ac:dyDescent="0.3">
      <c r="A3293" s="1" t="str">
        <f>"01014121500"</f>
        <v>01014121500</v>
      </c>
      <c r="B3293" s="1" t="str">
        <f>"DAVIS DAMIAN C, SAMPLE CICELY R"</f>
        <v>DAVIS DAMIAN C, SAMPLE CICELY R</v>
      </c>
      <c r="C3293" s="1" t="str">
        <f>"BELLWOOD AVE COLONIAL WILLIAMSBURG LOT 27"</f>
        <v>BELLWOOD AVE COLONIAL WILLIAMSBURG LOT 27</v>
      </c>
      <c r="D3293" s="1">
        <v>506.31</v>
      </c>
    </row>
    <row r="3294" spans="1:4" x14ac:dyDescent="0.3">
      <c r="A3294" s="1" t="str">
        <f>"24000570800"</f>
        <v>24000570800</v>
      </c>
      <c r="B3294" s="1" t="str">
        <f>"DAVIS DANIEL R, DAVIS DEBRA L"</f>
        <v>DAVIS DANIEL R, DAVIS DEBRA L</v>
      </c>
      <c r="C3294" s="1" t="str">
        <f>"VILLAGE PARK MAPLE PARK WAY LOT 240"</f>
        <v>VILLAGE PARK MAPLE PARK WAY LOT 240</v>
      </c>
      <c r="D3294" s="1">
        <v>539.97</v>
      </c>
    </row>
    <row r="3295" spans="1:4" x14ac:dyDescent="0.3">
      <c r="A3295" s="1" t="str">
        <f>"09000417100"</f>
        <v>09000417100</v>
      </c>
      <c r="B3295" s="1" t="str">
        <f>"DAVIS DANIEL W III"</f>
        <v>DAVIS DANIEL W III</v>
      </c>
      <c r="C3295" s="1" t="str">
        <f>"873 ERICKSON AVE GLENCOE LOT 375 "</f>
        <v xml:space="preserve">873 ERICKSON AVE GLENCOE LOT 375 </v>
      </c>
      <c r="D3295" s="1">
        <v>1262.55</v>
      </c>
    </row>
    <row r="3296" spans="1:4" x14ac:dyDescent="0.3">
      <c r="A3296" s="1" t="str">
        <f>"56021208300"</f>
        <v>56021208300</v>
      </c>
      <c r="B3296" s="1" t="str">
        <f>"DAVIS DONALD D, DAVIS DONNA M"</f>
        <v>DAVIS DONALD D, DAVIS DONNA M</v>
      </c>
      <c r="C3296" s="1" t="str">
        <f>"CYPRESS CREEK DRIVE GOLFVIEW WOODS SECTION 11 LOT 532"</f>
        <v>CYPRESS CREEK DRIVE GOLFVIEW WOODS SECTION 11 LOT 532</v>
      </c>
      <c r="D3296" s="1">
        <v>335.79</v>
      </c>
    </row>
    <row r="3297" spans="1:4" x14ac:dyDescent="0.3">
      <c r="A3297" s="1" t="str">
        <f>"01002747600"</f>
        <v>01002747600</v>
      </c>
      <c r="B3297" s="1" t="str">
        <f>"DAVIS ELLEN L"</f>
        <v>DAVIS ELLEN L</v>
      </c>
      <c r="C3297" s="1" t="str">
        <f>"288 BARTHMAN AVE KEMMLER LOT 30"</f>
        <v>288 BARTHMAN AVE KEMMLER LOT 30</v>
      </c>
      <c r="D3297" s="1">
        <v>163.57</v>
      </c>
    </row>
    <row r="3298" spans="1:4" x14ac:dyDescent="0.3">
      <c r="A3298" s="1" t="str">
        <f>"01000533200"</f>
        <v>01000533200</v>
      </c>
      <c r="B3298" s="1" t="str">
        <f>"DAVIS ERIC K, DAVIS NICOLE S"</f>
        <v>DAVIS ERIC K, DAVIS NICOLE S</v>
      </c>
      <c r="C3298" s="1" t="str">
        <f>"170 HAMILTON AVE E PARK PLACE LOT 163"</f>
        <v>170 HAMILTON AVE E PARK PLACE LOT 163</v>
      </c>
      <c r="D3298" s="1">
        <v>1222.25</v>
      </c>
    </row>
    <row r="3299" spans="1:4" x14ac:dyDescent="0.3">
      <c r="A3299" s="1" t="str">
        <f>"57015204200"</f>
        <v>57015204200</v>
      </c>
      <c r="B3299" s="1" t="str">
        <f>"DAVIS ERIKA"</f>
        <v>DAVIS ERIKA</v>
      </c>
      <c r="C3299" s="1" t="str">
        <f>"3318 WINDING CR DR RIVER BEND SEC 2 LOT 149"</f>
        <v>3318 WINDING CR DR RIVER BEND SEC 2 LOT 149</v>
      </c>
      <c r="D3299" s="1">
        <v>1951.55</v>
      </c>
    </row>
    <row r="3300" spans="1:4" x14ac:dyDescent="0.3">
      <c r="A3300" s="1" t="str">
        <f>"07001405400"</f>
        <v>07001405400</v>
      </c>
      <c r="B3300" s="1" t="str">
        <f>"DAVIS GENEVIEVE L"</f>
        <v>DAVIS GENEVIEVE L</v>
      </c>
      <c r="C3300" s="1" t="str">
        <f>"SANDSTON RD CONCORD VIL PH 6C LOT 34-I .0685 ACRE"</f>
        <v>SANDSTON RD CONCORD VIL PH 6C LOT 34-I .0685 ACRE</v>
      </c>
      <c r="D3300" s="1">
        <v>3562.98</v>
      </c>
    </row>
    <row r="3301" spans="1:4" x14ac:dyDescent="0.3">
      <c r="A3301" s="1" t="str">
        <f>"08000376400"</f>
        <v>08000376400</v>
      </c>
      <c r="B3301" s="1" t="str">
        <f>"DAVIS GLORIA J"</f>
        <v>DAVIS GLORIA J</v>
      </c>
      <c r="C3301" s="1" t="str">
        <f>"PATRICIA LANE JAMES E &amp; HELEN L JENNINGS LOT 4"</f>
        <v>PATRICIA LANE JAMES E &amp; HELEN L JENNINGS LOT 4</v>
      </c>
      <c r="D3301" s="1">
        <v>3343.11</v>
      </c>
    </row>
    <row r="3302" spans="1:4" x14ac:dyDescent="0.3">
      <c r="A3302" s="1" t="str">
        <f>"01016944500"</f>
        <v>01016944500</v>
      </c>
      <c r="B3302" s="1" t="str">
        <f>"DAVIS JAMES E"</f>
        <v>DAVIS JAMES E</v>
      </c>
      <c r="C3302" s="1" t="str">
        <f>"THORNELL WAY WALNUT BLUFF NO 5 SEC ONE LOT 1207"</f>
        <v>THORNELL WAY WALNUT BLUFF NO 5 SEC ONE LOT 1207</v>
      </c>
      <c r="D3302" s="1">
        <v>1604.21</v>
      </c>
    </row>
    <row r="3303" spans="1:4" x14ac:dyDescent="0.3">
      <c r="A3303" s="1" t="str">
        <f>"01014298700"</f>
        <v>01014298700</v>
      </c>
      <c r="B3303" s="1" t="str">
        <f>"DAVIS JAMES E, DAVIS KIMBERLY S"</f>
        <v>DAVIS JAMES E, DAVIS KIMBERLY S</v>
      </c>
      <c r="C3303" s="1" t="str">
        <f>"WOODWARD PARK WEST LOT 45 "</f>
        <v xml:space="preserve">WOODWARD PARK WEST LOT 45 </v>
      </c>
      <c r="D3303" s="1">
        <v>1706.21</v>
      </c>
    </row>
    <row r="3304" spans="1:4" x14ac:dyDescent="0.3">
      <c r="A3304" s="1" t="str">
        <f>"23000043300"</f>
        <v>23000043300</v>
      </c>
      <c r="B3304" s="1" t="str">
        <f>"DAVIS JEFFREY L, DAVIS MELODY S"</f>
        <v>DAVIS JEFFREY L, DAVIS MELODY S</v>
      </c>
      <c r="C3304" s="1" t="str">
        <f>"HARRISBURG GEORGESVILLE RD ENTRY6441-2596-2597 1.103 ACRE TRACT 4"</f>
        <v>HARRISBURG GEORGESVILLE RD ENTRY6441-2596-2597 1.103 ACRE TRACT 4</v>
      </c>
      <c r="D3304" s="1">
        <v>4502.6099999999997</v>
      </c>
    </row>
    <row r="3305" spans="1:4" x14ac:dyDescent="0.3">
      <c r="A3305" s="1" t="str">
        <f>"01002705300"</f>
        <v>01002705300</v>
      </c>
      <c r="B3305" s="1" t="str">
        <f>"DAVIS JOHN DEAN JR"</f>
        <v>DAVIS JOHN DEAN JR</v>
      </c>
      <c r="C3305" s="1" t="str">
        <f>"361 KING AVE HEYL &amp; JULIAN LOT 2"</f>
        <v>361 KING AVE HEYL &amp; JULIAN LOT 2</v>
      </c>
      <c r="D3305" s="1">
        <v>5811.41</v>
      </c>
    </row>
    <row r="3306" spans="1:4" x14ac:dyDescent="0.3">
      <c r="A3306" s="1" t="str">
        <f>"18300002700"</f>
        <v>18300002700</v>
      </c>
      <c r="B3306" s="1" t="str">
        <f>"DAVIS KENNETH S, DAVIS KANDI D"</f>
        <v>DAVIS KENNETH S, DAVIS KANDI D</v>
      </c>
      <c r="C3306" s="1" t="str">
        <f>"BOWEN RD 1.054 AC R20 T15 S7"</f>
        <v>BOWEN RD 1.054 AC R20 T15 S7</v>
      </c>
      <c r="D3306" s="1">
        <v>146.79</v>
      </c>
    </row>
    <row r="3307" spans="1:4" x14ac:dyDescent="0.3">
      <c r="A3307" s="1" t="str">
        <f>"01002940300"</f>
        <v>01002940300</v>
      </c>
      <c r="B3307" s="1" t="str">
        <f>"DAVIS MCLAIN JR"</f>
        <v>DAVIS MCLAIN JR</v>
      </c>
      <c r="C3307" s="1" t="str">
        <f>"0 N CHAMPION AVE WETMORE PT LOT 62"</f>
        <v>0 N CHAMPION AVE WETMORE PT LOT 62</v>
      </c>
      <c r="D3307" s="1">
        <v>9.56</v>
      </c>
    </row>
    <row r="3308" spans="1:4" x14ac:dyDescent="0.3">
      <c r="A3308" s="1" t="str">
        <f>"01012431500"</f>
        <v>01012431500</v>
      </c>
      <c r="B3308" s="1" t="str">
        <f>"DAVIS MICHAEL J"</f>
        <v>DAVIS MICHAEL J</v>
      </c>
      <c r="C3308" s="1" t="str">
        <f>"SCARLET ST SHERWOOD FOREST 1 LOT 30"</f>
        <v>SCARLET ST SHERWOOD FOREST 1 LOT 30</v>
      </c>
      <c r="D3308" s="1">
        <v>163.25</v>
      </c>
    </row>
    <row r="3309" spans="1:4" x14ac:dyDescent="0.3">
      <c r="A3309" s="1" t="str">
        <f>"13000128600"</f>
        <v>13000128600</v>
      </c>
      <c r="B3309" s="1" t="str">
        <f>"DAVIS MICHAEL RICHARD"</f>
        <v>DAVIS MICHAEL RICHARD</v>
      </c>
      <c r="C3309" s="1" t="str">
        <f>"3920 WALFORD ST NORTH LINDEN 1 LOT 132"</f>
        <v>3920 WALFORD ST NORTH LINDEN 1 LOT 132</v>
      </c>
      <c r="D3309" s="1">
        <v>2770.93</v>
      </c>
    </row>
    <row r="3310" spans="1:4" x14ac:dyDescent="0.3">
      <c r="A3310" s="1" t="str">
        <f>"57015415300"</f>
        <v>57015415300</v>
      </c>
      <c r="B3310" s="1" t="str">
        <f>"DAVIS NANCY L"</f>
        <v>DAVIS NANCY L</v>
      </c>
      <c r="C3310" s="1" t="str">
        <f>"RIVERMONT RD RIVER BEND SEC 4 LOT 570"</f>
        <v>RIVERMONT RD RIVER BEND SEC 4 LOT 570</v>
      </c>
      <c r="D3310" s="1">
        <v>1782</v>
      </c>
    </row>
    <row r="3311" spans="1:4" x14ac:dyDescent="0.3">
      <c r="A3311" s="1" t="str">
        <f>"57016014800"</f>
        <v>57016014800</v>
      </c>
      <c r="B3311" s="1" t="str">
        <f>"DAVIS PAMELA K"</f>
        <v>DAVIS PAMELA K</v>
      </c>
      <c r="C3311" s="1" t="str">
        <f>"JADE ST STONERIDGE 1 LOT 80"</f>
        <v>JADE ST STONERIDGE 1 LOT 80</v>
      </c>
      <c r="D3311" s="1">
        <v>1393.68</v>
      </c>
    </row>
    <row r="3312" spans="1:4" x14ac:dyDescent="0.3">
      <c r="A3312" s="1" t="str">
        <f>"01003072400"</f>
        <v>01003072400</v>
      </c>
      <c r="B3312" s="1" t="str">
        <f>"DAVIS QUINCY, LOWERY PAMELA"</f>
        <v>DAVIS QUINCY, LOWERY PAMELA</v>
      </c>
      <c r="C3312" s="1" t="str">
        <f>"1812 E RICH ST MARTIN &amp; STAGES LOT 31"</f>
        <v>1812 E RICH ST MARTIN &amp; STAGES LOT 31</v>
      </c>
      <c r="D3312" s="1">
        <v>1285.5899999999999</v>
      </c>
    </row>
    <row r="3313" spans="1:4" x14ac:dyDescent="0.3">
      <c r="A3313" s="1" t="str">
        <f>"10000485400"</f>
        <v>10000485400</v>
      </c>
      <c r="B3313" s="1" t="str">
        <f>"DAVIS RICHARD C, DAVIS CAROL S"</f>
        <v>DAVIS RICHARD C, DAVIS CAROL S</v>
      </c>
      <c r="C3313" s="1" t="str">
        <f>"7092 LANSDOWNE ST OLENTANGY HILLS PLAT 1 LOT 55"</f>
        <v>7092 LANSDOWNE ST OLENTANGY HILLS PLAT 1 LOT 55</v>
      </c>
      <c r="D3313" s="1">
        <v>11040.69</v>
      </c>
    </row>
    <row r="3314" spans="1:4" x14ac:dyDescent="0.3">
      <c r="A3314" s="1" t="str">
        <f>"01015253700"</f>
        <v>01015253700</v>
      </c>
      <c r="B3314" s="1" t="str">
        <f>"DAVIS RONALD P, DAVIS ROCHELLE D"</f>
        <v>DAVIS RONALD P, DAVIS ROCHELLE D</v>
      </c>
      <c r="C3314" s="1" t="str">
        <f>"CEDARBUSH RD FOREST PARK E SEC 9 LOT 1043"</f>
        <v>CEDARBUSH RD FOREST PARK E SEC 9 LOT 1043</v>
      </c>
      <c r="D3314" s="1">
        <v>625.71</v>
      </c>
    </row>
    <row r="3315" spans="1:4" x14ac:dyDescent="0.3">
      <c r="A3315" s="1" t="str">
        <f>"01025349900"</f>
        <v>01025349900</v>
      </c>
      <c r="B3315" s="1" t="str">
        <f>"DAVIS ROSALIND"</f>
        <v>DAVIS ROSALIND</v>
      </c>
      <c r="C3315" s="1" t="str">
        <f>"LEGION LANE KINGSTON CROSSING SECTION 1 LOT 29"</f>
        <v>LEGION LANE KINGSTON CROSSING SECTION 1 LOT 29</v>
      </c>
      <c r="D3315" s="1">
        <v>1730.13</v>
      </c>
    </row>
    <row r="3316" spans="1:4" x14ac:dyDescent="0.3">
      <c r="A3316" s="1" t="str">
        <f>"51527115000"</f>
        <v>51527115000</v>
      </c>
      <c r="B3316" s="1" t="str">
        <f>"DAVIS SCOTT A"</f>
        <v>DAVIS SCOTT A</v>
      </c>
      <c r="C3316" s="1" t="str">
        <f>"WAGGONER PARK CONDOMINIUM 12TH AMD BLDG 42 UNIT 334"</f>
        <v>WAGGONER PARK CONDOMINIUM 12TH AMD BLDG 42 UNIT 334</v>
      </c>
      <c r="D3316" s="1">
        <v>2290.92</v>
      </c>
    </row>
    <row r="3317" spans="1:4" x14ac:dyDescent="0.3">
      <c r="A3317" s="1" t="str">
        <f>"24000554700"</f>
        <v>24000554700</v>
      </c>
      <c r="B3317" s="1" t="str">
        <f>"DAVIS SCOTT M, DAVIS MARY R"</f>
        <v>DAVIS SCOTT M, DAVIS MARY R</v>
      </c>
      <c r="C3317" s="1" t="str">
        <f>"VILLAGE PARK BIRCH PARK DRIVE LOT 79"</f>
        <v>VILLAGE PARK BIRCH PARK DRIVE LOT 79</v>
      </c>
      <c r="D3317" s="1">
        <v>151.72999999999999</v>
      </c>
    </row>
    <row r="3318" spans="1:4" x14ac:dyDescent="0.3">
      <c r="A3318" s="1" t="str">
        <f>"05000579600"</f>
        <v>05000579600</v>
      </c>
      <c r="B3318" s="1" t="str">
        <f>"DAVIS TAMARA S, DAVIS SAMUEL N"</f>
        <v>DAVIS TAMARA S, DAVIS SAMUEL N</v>
      </c>
      <c r="C3318" s="1" t="str">
        <f>"MARK TWAIN DRIVE RIVER PARK PART 1 LOT 66"</f>
        <v>MARK TWAIN DRIVE RIVER PARK PART 1 LOT 66</v>
      </c>
      <c r="D3318" s="1">
        <v>376.31</v>
      </c>
    </row>
    <row r="3319" spans="1:4" x14ac:dyDescent="0.3">
      <c r="A3319" s="1" t="str">
        <f>"01000321500"</f>
        <v>01000321500</v>
      </c>
      <c r="B3319" s="1" t="str">
        <f>"DAVIS TAVARES"</f>
        <v>DAVIS TAVARES</v>
      </c>
      <c r="C3319" s="1" t="str">
        <f>"899 LEONA AVE S A SHOEMAKERS HRS LOT 159"</f>
        <v>899 LEONA AVE S A SHOEMAKERS HRS LOT 159</v>
      </c>
      <c r="D3319" s="1">
        <v>87.95</v>
      </c>
    </row>
    <row r="3320" spans="1:4" x14ac:dyDescent="0.3">
      <c r="A3320" s="1" t="str">
        <f>"01006024000"</f>
        <v>01006024000</v>
      </c>
      <c r="B3320" s="1" t="str">
        <f>"DAVIS TAVARES"</f>
        <v>DAVIS TAVARES</v>
      </c>
      <c r="C3320" s="1" t="str">
        <f>"1622 KENMORE RD INNIS CREST LOT 341"</f>
        <v>1622 KENMORE RD INNIS CREST LOT 341</v>
      </c>
      <c r="D3320" s="1">
        <v>74.94</v>
      </c>
    </row>
    <row r="3321" spans="1:4" x14ac:dyDescent="0.3">
      <c r="A3321" s="1" t="str">
        <f>"01017341700"</f>
        <v>01017341700</v>
      </c>
      <c r="B3321" s="1" t="str">
        <f>"DAVIS TAVARES"</f>
        <v>DAVIS TAVARES</v>
      </c>
      <c r="C3321" s="1" t="str">
        <f>"STONEHENGE CONDOMINIUM BLDG 19 UNIT 2856"</f>
        <v>STONEHENGE CONDOMINIUM BLDG 19 UNIT 2856</v>
      </c>
      <c r="D3321" s="1">
        <v>78.650000000000006</v>
      </c>
    </row>
    <row r="3322" spans="1:4" x14ac:dyDescent="0.3">
      <c r="A3322" s="1" t="str">
        <f>"15000185400"</f>
        <v>15000185400</v>
      </c>
      <c r="B3322" s="1" t="str">
        <f>"DAVIS TED L"</f>
        <v>DAVIS TED L</v>
      </c>
      <c r="C3322" s="1" t="str">
        <f>"5217 EDGEVIEW RD HAMILTON MEADOWS 2 LOT 232"</f>
        <v>5217 EDGEVIEW RD HAMILTON MEADOWS 2 LOT 232</v>
      </c>
      <c r="D3322" s="1">
        <v>1907.47</v>
      </c>
    </row>
    <row r="3323" spans="1:4" x14ac:dyDescent="0.3">
      <c r="A3323" s="1" t="str">
        <f>"08000297700"</f>
        <v>08000297700</v>
      </c>
      <c r="B3323" s="1" t="str">
        <f>"DAVIS THOMAS R, DAVIS CAROLYN S"</f>
        <v>DAVIS THOMAS R, DAVIS CAROLYN S</v>
      </c>
      <c r="C3323" s="1" t="str">
        <f>"DAY COURT LAKELAND 1 LOT 43 "</f>
        <v xml:space="preserve">DAY COURT LAKELAND 1 LOT 43 </v>
      </c>
      <c r="D3323" s="1">
        <v>5.5</v>
      </c>
    </row>
    <row r="3324" spans="1:4" x14ac:dyDescent="0.3">
      <c r="A3324" s="1" t="str">
        <f>"51527044300"</f>
        <v>51527044300</v>
      </c>
      <c r="B3324" s="1" t="str">
        <f>"DAVIS TONY L, DAVIS LORI A"</f>
        <v>DAVIS TONY L, DAVIS LORI A</v>
      </c>
      <c r="C3324" s="1" t="str">
        <f>"WAGGONER PARK CONDOMINIUM 10TH AMD BLDG 57 UNIT 333"</f>
        <v>WAGGONER PARK CONDOMINIUM 10TH AMD BLDG 57 UNIT 333</v>
      </c>
      <c r="D3324" s="1">
        <v>3880.11</v>
      </c>
    </row>
    <row r="3325" spans="1:4" x14ac:dyDescent="0.3">
      <c r="A3325" s="1" t="str">
        <f>"19000047800"</f>
        <v>19000047800</v>
      </c>
      <c r="B3325" s="1" t="str">
        <f>"DAVIS WILLIAM A SR"</f>
        <v>DAVIS WILLIAM A SR</v>
      </c>
      <c r="C3325" s="1" t="str">
        <f>"2219 AGLER ROAD E LINDEN 2ND 35'MID LOT 72"</f>
        <v>2219 AGLER ROAD E LINDEN 2ND 35'MID LOT 72</v>
      </c>
      <c r="D3325" s="1">
        <v>556.9</v>
      </c>
    </row>
    <row r="3326" spans="1:4" x14ac:dyDescent="0.3">
      <c r="A3326" s="1" t="str">
        <f>"01011527900"</f>
        <v>01011527900</v>
      </c>
      <c r="B3326" s="1" t="str">
        <f>"DAVIS ZACHARY A"</f>
        <v>DAVIS ZACHARY A</v>
      </c>
      <c r="C3326" s="1" t="str">
        <f>"STAMBAUGH AVE CURTIS-JONE SUB DIV LOT 129"</f>
        <v>STAMBAUGH AVE CURTIS-JONE SUB DIV LOT 129</v>
      </c>
      <c r="D3326" s="1">
        <v>512.61</v>
      </c>
    </row>
    <row r="3327" spans="1:4" x14ac:dyDescent="0.3">
      <c r="A3327" s="1" t="str">
        <f>"01025251600"</f>
        <v>01025251600</v>
      </c>
      <c r="B3327" s="1" t="str">
        <f>"DAVISON KATHY"</f>
        <v>DAVISON KATHY</v>
      </c>
      <c r="C3327" s="1" t="str">
        <f>"COVE LAKE LANE ALKIRE LAKES SECTION 1 PART 2 LOT 47"</f>
        <v>COVE LAKE LANE ALKIRE LAKES SECTION 1 PART 2 LOT 47</v>
      </c>
      <c r="D3327" s="1">
        <v>212.03</v>
      </c>
    </row>
    <row r="3328" spans="1:4" x14ac:dyDescent="0.3">
      <c r="A3328" s="1" t="str">
        <f>"01012529900"</f>
        <v>01012529900</v>
      </c>
      <c r="B3328" s="1" t="str">
        <f>"DAVLATOV RUSLAN"</f>
        <v>DAVLATOV RUSLAN</v>
      </c>
      <c r="C3328" s="1" t="str">
        <f>"BLUEFIELD DR SOUTHFIELD 2ND LOT 104"</f>
        <v>BLUEFIELD DR SOUTHFIELD 2ND LOT 104</v>
      </c>
      <c r="D3328" s="1">
        <v>788.08</v>
      </c>
    </row>
    <row r="3329" spans="1:4" x14ac:dyDescent="0.3">
      <c r="A3329" s="1" t="str">
        <f>"01017553300"</f>
        <v>01017553300</v>
      </c>
      <c r="B3329" s="1" t="str">
        <f>"DAWES ROBERT G, DAWES MARY B"</f>
        <v>DAWES ROBERT G, DAWES MARY B</v>
      </c>
      <c r="C3329" s="1" t="str">
        <f>"LANGLAND DR SUB RES C SHEFFIELD LOT 2"</f>
        <v>LANGLAND DR SUB RES C SHEFFIELD LOT 2</v>
      </c>
      <c r="D3329" s="1">
        <v>1498.15</v>
      </c>
    </row>
    <row r="3330" spans="1:4" x14ac:dyDescent="0.3">
      <c r="A3330" s="1" t="str">
        <f>"01014537600"</f>
        <v>01014537600</v>
      </c>
      <c r="B3330" s="1" t="str">
        <f>"DAWES WILLIAM L, DAWES MARY B"</f>
        <v>DAWES WILLIAM L, DAWES MARY B</v>
      </c>
      <c r="C3330" s="1" t="str">
        <f>"CHEVIOT DR SHEFFIELD LOT 64 "</f>
        <v xml:space="preserve">CHEVIOT DR SHEFFIELD LOT 64 </v>
      </c>
      <c r="D3330" s="1">
        <v>1368.71</v>
      </c>
    </row>
    <row r="3331" spans="1:4" x14ac:dyDescent="0.3">
      <c r="A3331" s="1" t="str">
        <f>"01026193300"</f>
        <v>01026193300</v>
      </c>
      <c r="B3331" s="1" t="str">
        <f>"DAWKINS ALAN R, DAWKINS FONDA"</f>
        <v>DAWKINS ALAN R, DAWKINS FONDA</v>
      </c>
      <c r="C3331" s="1" t="str">
        <f>"CONDOMINIUM AT WINCHESTER CROSSING 12TH AMD BLDG 21 UNIT 3946"</f>
        <v>CONDOMINIUM AT WINCHESTER CROSSING 12TH AMD BLDG 21 UNIT 3946</v>
      </c>
      <c r="D3331" s="1">
        <v>1861.86</v>
      </c>
    </row>
    <row r="3332" spans="1:4" x14ac:dyDescent="0.3">
      <c r="A3332" s="1" t="str">
        <f>"05000525100"</f>
        <v>05000525100</v>
      </c>
      <c r="B3332" s="1" t="str">
        <f>"DAWKINS GREGORY L"</f>
        <v>DAWKINS GREGORY L</v>
      </c>
      <c r="C3332" s="1" t="str">
        <f>"BRIXSTON DRIVE BRIXSTON SUBDIVISION LOT 26"</f>
        <v>BRIXSTON DRIVE BRIXSTON SUBDIVISION LOT 26</v>
      </c>
      <c r="D3332" s="1">
        <v>433.8</v>
      </c>
    </row>
    <row r="3333" spans="1:4" x14ac:dyDescent="0.3">
      <c r="A3333" s="1" t="str">
        <f>"01025946600"</f>
        <v>01025946600</v>
      </c>
      <c r="B3333" s="1" t="str">
        <f>"DAWLEY DALE, DAWLEY LORAINE"</f>
        <v>DAWLEY DALE, DAWLEY LORAINE</v>
      </c>
      <c r="C3333" s="1" t="str">
        <f>"WILLOW OAKS CONDOMINIUM 1ST AMD UNIT 72"</f>
        <v>WILLOW OAKS CONDOMINIUM 1ST AMD UNIT 72</v>
      </c>
      <c r="D3333" s="1">
        <v>2584.39</v>
      </c>
    </row>
    <row r="3334" spans="1:4" x14ac:dyDescent="0.3">
      <c r="A3334" s="1" t="str">
        <f>"01008209300"</f>
        <v>01008209300</v>
      </c>
      <c r="B3334" s="1" t="str">
        <f>"DAWSEY WILLIE R II, DAWSEY LYNNETTE K"</f>
        <v>DAWSEY WILLIE R II, DAWSEY LYNNETTE K</v>
      </c>
      <c r="C3334" s="1" t="str">
        <f>"ONTARIO ST LINDEN GARDENS ANNEX LOT 48"</f>
        <v>ONTARIO ST LINDEN GARDENS ANNEX LOT 48</v>
      </c>
      <c r="D3334" s="1">
        <v>771.47</v>
      </c>
    </row>
    <row r="3335" spans="1:4" x14ac:dyDescent="0.3">
      <c r="A3335" s="1" t="str">
        <f>"01009459600"</f>
        <v>01009459600</v>
      </c>
      <c r="B3335" s="1" t="str">
        <f>"DAWSEY WILLIE R II, DAWSEY LYNNETTE K"</f>
        <v>DAWSEY WILLIE R II, DAWSEY LYNNETTE K</v>
      </c>
      <c r="C3335" s="1" t="str">
        <f>"NORTHBROADWAY PONTIACPARK LOT 46"</f>
        <v>NORTHBROADWAY PONTIACPARK LOT 46</v>
      </c>
      <c r="D3335" s="1">
        <v>1412.57</v>
      </c>
    </row>
    <row r="3336" spans="1:4" x14ac:dyDescent="0.3">
      <c r="A3336" s="1" t="str">
        <f>"01021849000"</f>
        <v>01021849000</v>
      </c>
      <c r="B3336" s="1" t="str">
        <f>"DAWSON JOHN W INSURANCE INC"</f>
        <v>DAWSON JOHN W INSURANCE INC</v>
      </c>
      <c r="C3336" s="1" t="str">
        <f>"CLEVELAND PRO PARK CONDO PH 3 2ND AMD UNIT E"</f>
        <v>CLEVELAND PRO PARK CONDO PH 3 2ND AMD UNIT E</v>
      </c>
      <c r="D3336" s="1">
        <v>328.25</v>
      </c>
    </row>
    <row r="3337" spans="1:4" x14ac:dyDescent="0.3">
      <c r="A3337" s="1" t="str">
        <f>"01021849100"</f>
        <v>01021849100</v>
      </c>
      <c r="B3337" s="1" t="str">
        <f>"DAWSON JOHN W INSURANCE INC"</f>
        <v>DAWSON JOHN W INSURANCE INC</v>
      </c>
      <c r="C3337" s="1" t="str">
        <f>"CLEVELAND PRO PARK CONDO PH 3 2ND AMD UNIT F"</f>
        <v>CLEVELAND PRO PARK CONDO PH 3 2ND AMD UNIT F</v>
      </c>
      <c r="D3337" s="1">
        <v>95.78</v>
      </c>
    </row>
    <row r="3338" spans="1:4" x14ac:dyDescent="0.3">
      <c r="A3338" s="1" t="str">
        <f>"01013589900"</f>
        <v>01013589900</v>
      </c>
      <c r="B3338" s="1" t="str">
        <f>"DAWSON MARTIN A II"</f>
        <v>DAWSON MARTIN A II</v>
      </c>
      <c r="C3338" s="1" t="str">
        <f>"ROCKWOOD RD FOREST PARK 4 LOT 760"</f>
        <v>ROCKWOOD RD FOREST PARK 4 LOT 760</v>
      </c>
      <c r="D3338" s="1">
        <v>4620.92</v>
      </c>
    </row>
    <row r="3339" spans="1:4" x14ac:dyDescent="0.3">
      <c r="A3339" s="1" t="str">
        <f>"54522301600"</f>
        <v>54522301600</v>
      </c>
      <c r="B3339" s="1" t="str">
        <f>"DAWSON PAUL E"</f>
        <v>DAWSON PAUL E</v>
      </c>
      <c r="C3339" s="1" t="str">
        <f>"0000 SILVERGLADE DR CHESTNUT HILL SEC 1 LOT 26"</f>
        <v>0000 SILVERGLADE DR CHESTNUT HILL SEC 1 LOT 26</v>
      </c>
      <c r="D3339" s="1">
        <v>294.45999999999998</v>
      </c>
    </row>
    <row r="3340" spans="1:4" x14ac:dyDescent="0.3">
      <c r="A3340" s="1" t="str">
        <f>"27300182900"</f>
        <v>27300182900</v>
      </c>
      <c r="B3340" s="1" t="str">
        <f>"DAWSON SUSAN C"</f>
        <v>DAWSON SUSAN C</v>
      </c>
      <c r="C3340" s="1" t="str">
        <f>"156 ALCHESTER MANOR CORBINS MILL CONDO UNIT 156"</f>
        <v>156 ALCHESTER MANOR CORBINS MILL CONDO UNIT 156</v>
      </c>
      <c r="D3340" s="1">
        <v>2741.83</v>
      </c>
    </row>
    <row r="3341" spans="1:4" x14ac:dyDescent="0.3">
      <c r="A3341" s="1" t="str">
        <f>"27300005400"</f>
        <v>27300005400</v>
      </c>
      <c r="B3341" s="1" t="str">
        <f>"DAY BETHAN TR"</f>
        <v>DAY BETHAN TR</v>
      </c>
      <c r="C3341" s="1" t="str">
        <f>"N HIGH STREET VILLAGE OF DUBLIN LOT 147 &amp; SE PT LOT 148"</f>
        <v>N HIGH STREET VILLAGE OF DUBLIN LOT 147 &amp; SE PT LOT 148</v>
      </c>
      <c r="D3341" s="1">
        <v>13747.95</v>
      </c>
    </row>
    <row r="3342" spans="1:4" x14ac:dyDescent="0.3">
      <c r="A3342" s="1" t="str">
        <f>"02000200700"</f>
        <v>02000200700</v>
      </c>
      <c r="B3342" s="1" t="str">
        <f>"DAY CHELSEA KAUFFMAN"</f>
        <v>DAY CHELSEA KAUFFMAN</v>
      </c>
      <c r="C3342" s="1" t="str">
        <f>"83 COLUMBIA AVE BULLITT PARK AMD LOT 9"</f>
        <v>83 COLUMBIA AVE BULLITT PARK AMD LOT 9</v>
      </c>
      <c r="D3342" s="1">
        <v>1624.42</v>
      </c>
    </row>
    <row r="3343" spans="1:4" x14ac:dyDescent="0.3">
      <c r="A3343" s="1" t="str">
        <f>"01006785400"</f>
        <v>01006785400</v>
      </c>
      <c r="B3343" s="1" t="str">
        <f>"DAY DAVID F"</f>
        <v>DAY DAVID F</v>
      </c>
      <c r="C3343" s="1" t="str">
        <f>"449 HILLTONIA AVE HILLTONIA ANNEX LOT 7 BLK 1"</f>
        <v>449 HILLTONIA AVE HILLTONIA ANNEX LOT 7 BLK 1</v>
      </c>
      <c r="D3343" s="1">
        <v>4743.43</v>
      </c>
    </row>
    <row r="3344" spans="1:4" x14ac:dyDescent="0.3">
      <c r="A3344" s="1" t="str">
        <f>"01001359000"</f>
        <v>01001359000</v>
      </c>
      <c r="B3344" s="1" t="str">
        <f>"DAY KAREN E"</f>
        <v>DAY KAREN E</v>
      </c>
      <c r="C3344" s="1" t="str">
        <f>"1569 FRANKLIN AVE MONETTS FRANKLIN AVE LOT 4-5"</f>
        <v>1569 FRANKLIN AVE MONETTS FRANKLIN AVE LOT 4-5</v>
      </c>
      <c r="D3344" s="1">
        <v>2270.21</v>
      </c>
    </row>
    <row r="3345" spans="1:4" x14ac:dyDescent="0.3">
      <c r="A3345" s="1" t="str">
        <f>"02500736300"</f>
        <v>02500736300</v>
      </c>
      <c r="B3345" s="1" t="str">
        <f>"DAY MARC G, DAY KATHLEEN H"</f>
        <v>DAY MARC G, DAY KATHLEEN H</v>
      </c>
      <c r="C3345" s="1" t="str">
        <f>"495 BEAVERBROOK DR HUNTERS RIDGE SEC 9 LOT 582"</f>
        <v>495 BEAVERBROOK DR HUNTERS RIDGE SEC 9 LOT 582</v>
      </c>
      <c r="D3345" s="1">
        <v>4012.69</v>
      </c>
    </row>
    <row r="3346" spans="1:4" x14ac:dyDescent="0.3">
      <c r="A3346" s="1" t="str">
        <f>"01018795200"</f>
        <v>01018795200</v>
      </c>
      <c r="B3346" s="1" t="str">
        <f>"DAY MARK TTEE, DAY JANN C TTEE"</f>
        <v>DAY MARK TTEE, DAY JANN C TTEE</v>
      </c>
      <c r="C3346" s="1" t="str">
        <f>"1109 W SELLS I SOMERSET SQ A CONDO BLDG 3 UNIT 33"</f>
        <v>1109 W SELLS I SOMERSET SQ A CONDO BLDG 3 UNIT 33</v>
      </c>
      <c r="D3346" s="1">
        <v>1890.19</v>
      </c>
    </row>
    <row r="3347" spans="1:4" x14ac:dyDescent="0.3">
      <c r="A3347" s="1" t="str">
        <f>"01013538200"</f>
        <v>01013538200</v>
      </c>
      <c r="B3347" s="1" t="str">
        <f>"DAY RICHARD W, SIEWNY SUSAN"</f>
        <v>DAY RICHARD W, SIEWNY SUSAN</v>
      </c>
      <c r="C3347" s="1" t="str">
        <f>"BIRCHMONT RD GREENFIELD ESTATES LOT 2"</f>
        <v>BIRCHMONT RD GREENFIELD ESTATES LOT 2</v>
      </c>
      <c r="D3347" s="1">
        <v>3110.38</v>
      </c>
    </row>
    <row r="3348" spans="1:4" x14ac:dyDescent="0.3">
      <c r="A3348" s="1" t="str">
        <f>"02000305900"</f>
        <v>02000305900</v>
      </c>
      <c r="B3348" s="1" t="str">
        <f>"DAYNES NATHAN, MUSIC AMY"</f>
        <v>DAYNES NATHAN, MUSIC AMY</v>
      </c>
      <c r="C3348" s="1" t="str">
        <f>"819 S CASSINGHAM RD BEXLEY PLAZA LOT 89"</f>
        <v>819 S CASSINGHAM RD BEXLEY PLAZA LOT 89</v>
      </c>
      <c r="D3348" s="1">
        <v>4113.88</v>
      </c>
    </row>
    <row r="3349" spans="1:4" x14ac:dyDescent="0.3">
      <c r="A3349" s="1" t="str">
        <f>"19000126400"</f>
        <v>19000126400</v>
      </c>
      <c r="B3349" s="1" t="str">
        <f>"DAYSPRING CHRISTIAN COMMUNITY DEVELP CORP"</f>
        <v>DAYSPRING CHRISTIAN COMMUNITY DEVELP CORP</v>
      </c>
      <c r="C3349" s="1" t="str">
        <f>"MILFORD AVE TUXEDO PARK 33 "</f>
        <v xml:space="preserve">MILFORD AVE TUXEDO PARK 33 </v>
      </c>
      <c r="D3349" s="1">
        <v>193.58</v>
      </c>
    </row>
    <row r="3350" spans="1:4" x14ac:dyDescent="0.3">
      <c r="A3350" s="1" t="str">
        <f>"01005621100"</f>
        <v>01005621100</v>
      </c>
      <c r="B3350" s="1" t="str">
        <f>"DC PROPERTIES COLUMBUS LLC"</f>
        <v>DC PROPERTIES COLUMBUS LLC</v>
      </c>
      <c r="C3350" s="1" t="str">
        <f>"200 E 7TH AVE ALL OF 10&amp;4FT OF 11 SMITH&amp; SCHIRNER"</f>
        <v>200 E 7TH AVE ALL OF 10&amp;4FT OF 11 SMITH&amp; SCHIRNER</v>
      </c>
      <c r="D3350" s="1">
        <v>225.32</v>
      </c>
    </row>
    <row r="3351" spans="1:4" x14ac:dyDescent="0.3">
      <c r="A3351" s="1" t="str">
        <f>"01010684800"</f>
        <v>01010684800</v>
      </c>
      <c r="B3351" s="1" t="str">
        <f>"DCM INVESTMENT GROUP LLC"</f>
        <v>DCM INVESTMENT GROUP LLC</v>
      </c>
      <c r="C3351" s="1" t="str">
        <f>"988-990 SALISBURY RD DEMOREST LOT 18"</f>
        <v>988-990 SALISBURY RD DEMOREST LOT 18</v>
      </c>
      <c r="D3351" s="1">
        <v>1544.31</v>
      </c>
    </row>
    <row r="3352" spans="1:4" x14ac:dyDescent="0.3">
      <c r="A3352" s="1" t="str">
        <f>"61021266700"</f>
        <v>61021266700</v>
      </c>
      <c r="B3352" s="1" t="str">
        <f>"DE ANDRADE LEONARDO, HALISCHAK HANNAH"</f>
        <v>DE ANDRADE LEONARDO, HALISCHAK HANNAH</v>
      </c>
      <c r="C3352" s="1" t="str">
        <f>"WORTHINGTON HIGHLANDS SECTION 3 LOT 171"</f>
        <v>WORTHINGTON HIGHLANDS SECTION 3 LOT 171</v>
      </c>
      <c r="D3352" s="1">
        <v>9115.15</v>
      </c>
    </row>
    <row r="3353" spans="1:4" x14ac:dyDescent="0.3">
      <c r="A3353" s="1" t="str">
        <f>"01010851800"</f>
        <v>01010851800</v>
      </c>
      <c r="B3353" s="1" t="str">
        <f>"DE GAITAN ANTONIA OCHOA, GAITAN JUAN CRISTOBAL"</f>
        <v>DE GAITAN ANTONIA OCHOA, GAITAN JUAN CRISTOBAL</v>
      </c>
      <c r="C3353" s="1" t="str">
        <f>"BRETTON RD LINDALE LOT 79"</f>
        <v>BRETTON RD LINDALE LOT 79</v>
      </c>
      <c r="D3353" s="1">
        <v>515.9</v>
      </c>
    </row>
    <row r="3354" spans="1:4" x14ac:dyDescent="0.3">
      <c r="A3354" s="1" t="str">
        <f>"01006960100"</f>
        <v>01006960100</v>
      </c>
      <c r="B3354" s="1" t="str">
        <f>"DE JESUS TELLEZ JOSE"</f>
        <v>DE JESUS TELLEZ JOSE</v>
      </c>
      <c r="C3354" s="1" t="str">
        <f>"2832 JOYCE AVE 18-1-1-2 "</f>
        <v xml:space="preserve">2832 JOYCE AVE 18-1-1-2 </v>
      </c>
      <c r="D3354" s="1">
        <v>2654.57</v>
      </c>
    </row>
    <row r="3355" spans="1:4" x14ac:dyDescent="0.3">
      <c r="A3355" s="1" t="str">
        <f>"06000149000"</f>
        <v>06000149000</v>
      </c>
      <c r="B3355" s="1" t="str">
        <f>"DEADY WILLIAM D, DEADY JANICE K"</f>
        <v>DEADY WILLIAM D, DEADY JANICE K</v>
      </c>
      <c r="C3355" s="1" t="str">
        <f>"CARROUSEL DR EAST BRIARCLIFF 1 LOT 135"</f>
        <v>CARROUSEL DR EAST BRIARCLIFF 1 LOT 135</v>
      </c>
      <c r="D3355" s="1">
        <v>3969.78</v>
      </c>
    </row>
    <row r="3356" spans="1:4" x14ac:dyDescent="0.3">
      <c r="A3356" s="1" t="str">
        <f>"01002649200"</f>
        <v>01002649200</v>
      </c>
      <c r="B3356" s="1" t="str">
        <f>"DEAL INTERNATIONAL INC"</f>
        <v>DEAL INTERNATIONAL INC</v>
      </c>
      <c r="C3356" s="1" t="str">
        <f>"1673 E MAIN ST BULEN 80' NE LOT 1"</f>
        <v>1673 E MAIN ST BULEN 80' NE LOT 1</v>
      </c>
      <c r="D3356" s="1">
        <v>369.81</v>
      </c>
    </row>
    <row r="3357" spans="1:4" x14ac:dyDescent="0.3">
      <c r="A3357" s="1" t="str">
        <f>"07001239400"</f>
        <v>07001239400</v>
      </c>
      <c r="B3357" s="1" t="str">
        <f>"DEAL SIEGLINDE B TR"</f>
        <v>DEAL SIEGLINDE B TR</v>
      </c>
      <c r="C3357" s="1" t="str">
        <f>"4030 LONGHILL RD YORK PL 3 LOT 85"</f>
        <v>4030 LONGHILL RD YORK PL 3 LOT 85</v>
      </c>
      <c r="D3357" s="1">
        <v>7027.11</v>
      </c>
    </row>
    <row r="3358" spans="1:4" x14ac:dyDescent="0.3">
      <c r="A3358" s="1" t="str">
        <f>"01000222100"</f>
        <v>01000222100</v>
      </c>
      <c r="B3358" s="1" t="str">
        <f>"DEAN MELISSA A"</f>
        <v>DEAN MELISSA A</v>
      </c>
      <c r="C3358" s="1" t="str">
        <f>"1177 MINNESOTA AVE MINNESOTA PLACE PT LOTS 55-56"</f>
        <v>1177 MINNESOTA AVE MINNESOTA PLACE PT LOTS 55-56</v>
      </c>
      <c r="D3358" s="1">
        <v>3081.22</v>
      </c>
    </row>
    <row r="3359" spans="1:4" x14ac:dyDescent="0.3">
      <c r="A3359" s="1" t="str">
        <f>"01001026700"</f>
        <v>01001026700</v>
      </c>
      <c r="B3359" s="1" t="str">
        <f>"DEAN MELISSA A"</f>
        <v>DEAN MELISSA A</v>
      </c>
      <c r="C3359" s="1" t="str">
        <f>"68 S TERRACE AVE LANDSCAPE LOT 53"</f>
        <v>68 S TERRACE AVE LANDSCAPE LOT 53</v>
      </c>
      <c r="D3359" s="1">
        <v>3262.52</v>
      </c>
    </row>
    <row r="3360" spans="1:4" x14ac:dyDescent="0.3">
      <c r="A3360" s="1" t="str">
        <f>"01012027400"</f>
        <v>01012027400</v>
      </c>
      <c r="B3360" s="1" t="str">
        <f>"DEAN THOMAS E, DEAN KEVIN W"</f>
        <v>DEAN THOMAS E, DEAN KEVIN W</v>
      </c>
      <c r="C3360" s="1" t="str">
        <f>"BRINKER AVE VALLEYVIEW HTS LOT 28"</f>
        <v>BRINKER AVE VALLEYVIEW HTS LOT 28</v>
      </c>
      <c r="D3360" s="1">
        <v>1522.25</v>
      </c>
    </row>
    <row r="3361" spans="1:4" x14ac:dyDescent="0.3">
      <c r="A3361" s="1" t="str">
        <f>"05000680500"</f>
        <v>05000680500</v>
      </c>
      <c r="B3361" s="1" t="str">
        <f>"DEARTH MONTE L, DEARTH AMY R"</f>
        <v>DEARTH MONTE L, DEARTH AMY R</v>
      </c>
      <c r="C3361" s="1" t="str">
        <f>"PRAIRIE GARDENS DR DARBY GLEN SECTION 2 LOT 120"</f>
        <v>PRAIRIE GARDENS DR DARBY GLEN SECTION 2 LOT 120</v>
      </c>
      <c r="D3361" s="1">
        <v>457.51</v>
      </c>
    </row>
    <row r="3362" spans="1:4" x14ac:dyDescent="0.3">
      <c r="A3362" s="1" t="str">
        <f>"04000286600"</f>
        <v>04000286600</v>
      </c>
      <c r="B3362" s="1" t="str">
        <f>"DEARWESTER ROGER, DEARWESTER MARILYN"</f>
        <v>DEARWESTER ROGER, DEARWESTER MARILYN</v>
      </c>
      <c r="C3362" s="1" t="str">
        <f>"4131 JOYCE ROAD HIGH MEADOW LOT 113"</f>
        <v>4131 JOYCE ROAD HIGH MEADOW LOT 113</v>
      </c>
      <c r="D3362" s="1">
        <v>145.34</v>
      </c>
    </row>
    <row r="3363" spans="1:4" x14ac:dyDescent="0.3">
      <c r="A3363" s="1" t="str">
        <f>"07000080300"</f>
        <v>07000080300</v>
      </c>
      <c r="B3363" s="1" t="str">
        <f>"DEBELLIS ANNA MARIE TR"</f>
        <v>DEBELLIS ANNA MARIE TR</v>
      </c>
      <c r="C3363" s="1" t="str">
        <f>"2260 TREMONT RD UPPER ARLINGTON LOT 11-12 BLK 74"</f>
        <v>2260 TREMONT RD UPPER ARLINGTON LOT 11-12 BLK 74</v>
      </c>
      <c r="D3363" s="1">
        <v>103.94</v>
      </c>
    </row>
    <row r="3364" spans="1:4" x14ac:dyDescent="0.3">
      <c r="A3364" s="1" t="str">
        <f>"55015382400"</f>
        <v>55015382400</v>
      </c>
      <c r="B3364" s="1" t="str">
        <f>"DECAMP JAMES D, DECAMP JENNIFER F"</f>
        <v>DECAMP JAMES D, DECAMP JENNIFER F</v>
      </c>
      <c r="C3364" s="1" t="str">
        <f>"BORR AVE KINGS RIDGE LOT 12"</f>
        <v>BORR AVE KINGS RIDGE LOT 12</v>
      </c>
      <c r="D3364" s="1">
        <v>4343.8100000000004</v>
      </c>
    </row>
    <row r="3365" spans="1:4" x14ac:dyDescent="0.3">
      <c r="A3365" s="1" t="str">
        <f>"01006864300"</f>
        <v>01006864300</v>
      </c>
      <c r="B3365" s="1" t="str">
        <f>"DECKARD MELODY LYN"</f>
        <v>DECKARD MELODY LYN</v>
      </c>
      <c r="C3365" s="1" t="str">
        <f>"WILTSHIRE RD WILSHIRE HEIGHTS LOT 17 BLK 13"</f>
        <v>WILTSHIRE RD WILSHIRE HEIGHTS LOT 17 BLK 13</v>
      </c>
      <c r="D3365" s="1">
        <v>1639.89</v>
      </c>
    </row>
    <row r="3366" spans="1:4" x14ac:dyDescent="0.3">
      <c r="A3366" s="1" t="str">
        <f>"01010347900"</f>
        <v>01010347900</v>
      </c>
      <c r="B3366" s="1" t="str">
        <f>"DECKER GEORGE, HAZELWOOD DEBRA"</f>
        <v>DECKER GEORGE, HAZELWOOD DEBRA</v>
      </c>
      <c r="C3366" s="1" t="str">
        <f>"WM H DAVIS LOT 55 "</f>
        <v xml:space="preserve">WM H DAVIS LOT 55 </v>
      </c>
      <c r="D3366" s="1">
        <v>1942.72</v>
      </c>
    </row>
    <row r="3367" spans="1:4" x14ac:dyDescent="0.3">
      <c r="A3367" s="1" t="str">
        <f>"01022324800"</f>
        <v>01022324800</v>
      </c>
      <c r="B3367" s="1" t="str">
        <f>"DECKER TODD K"</f>
        <v>DECKER TODD K</v>
      </c>
      <c r="C3367" s="1" t="str">
        <f>"0000                      SCHLEE MALT HOUSE         UNIT 304                 "</f>
        <v xml:space="preserve">0000                      SCHLEE MALT HOUSE         UNIT 304                 </v>
      </c>
      <c r="D3367" s="1">
        <v>6310.27</v>
      </c>
    </row>
    <row r="3368" spans="1:4" x14ac:dyDescent="0.3">
      <c r="A3368" s="1" t="str">
        <f>"18800002200"</f>
        <v>18800002200</v>
      </c>
      <c r="B3368" s="1" t="str">
        <f>"DEE DANIEL, THRWEATT RONDA"</f>
        <v>DEE DANIEL, THRWEATT RONDA</v>
      </c>
      <c r="C3368" s="1" t="str">
        <f>"W ELDER RD R21 T10 S12 5.7491 ACRES"</f>
        <v>W ELDER RD R21 T10 S12 5.7491 ACRES</v>
      </c>
      <c r="D3368" s="1">
        <v>362.68</v>
      </c>
    </row>
    <row r="3369" spans="1:4" x14ac:dyDescent="0.3">
      <c r="A3369" s="1" t="str">
        <f>"17000022700"</f>
        <v>17000022700</v>
      </c>
      <c r="B3369" s="1" t="str">
        <f>"DEEDS MARK A"</f>
        <v>DEEDS MARK A</v>
      </c>
      <c r="C3369" s="1" t="str">
        <f>"2565 REYN-NALBANY RD R16T1 1/4T1 LOT 36 1.4702 ACRES"</f>
        <v>2565 REYN-NALBANY RD R16T1 1/4T1 LOT 36 1.4702 ACRES</v>
      </c>
      <c r="D3369" s="1">
        <v>351.06</v>
      </c>
    </row>
    <row r="3370" spans="1:4" x14ac:dyDescent="0.3">
      <c r="A3370" s="1" t="str">
        <f>"01013184000"</f>
        <v>01013184000</v>
      </c>
      <c r="B3370" s="1" t="str">
        <f>"DEEHAN VIRGINIA L"</f>
        <v>DEEHAN VIRGINIA L</v>
      </c>
      <c r="C3370" s="1" t="str">
        <f>"STONEY CREEK CT INDIAN HILLS LOT 45"</f>
        <v>STONEY CREEK CT INDIAN HILLS LOT 45</v>
      </c>
      <c r="D3370" s="1">
        <v>139.91999999999999</v>
      </c>
    </row>
    <row r="3371" spans="1:4" x14ac:dyDescent="0.3">
      <c r="A3371" s="1" t="str">
        <f>"01008526900"</f>
        <v>01008526900</v>
      </c>
      <c r="B3371" s="1" t="str">
        <f>"DEEMER ALLYSON NICOLE"</f>
        <v>DEEMER ALLYSON NICOLE</v>
      </c>
      <c r="C3371" s="1" t="str">
        <f>"MORSE RD ZOOLAND LOT 813-814"</f>
        <v>MORSE RD ZOOLAND LOT 813-814</v>
      </c>
      <c r="D3371" s="1">
        <v>2167.5100000000002</v>
      </c>
    </row>
    <row r="3372" spans="1:4" x14ac:dyDescent="0.3">
      <c r="A3372" s="1" t="str">
        <f>"01000748200"</f>
        <v>01000748200</v>
      </c>
      <c r="B3372" s="1" t="str">
        <f>"DEEP ROOT INVESTING LLC"</f>
        <v>DEEP ROOT INVESTING LLC</v>
      </c>
      <c r="C3372" s="1" t="str">
        <f>"163 HINMAN AVE MORRILL AVE SUB LOT 55"</f>
        <v>163 HINMAN AVE MORRILL AVE SUB LOT 55</v>
      </c>
      <c r="D3372" s="1">
        <v>1175.1300000000001</v>
      </c>
    </row>
    <row r="3373" spans="1:4" x14ac:dyDescent="0.3">
      <c r="A3373" s="1" t="str">
        <f>"61021760700"</f>
        <v>61021760700</v>
      </c>
      <c r="B3373" s="1" t="str">
        <f>"DEEVER DAVID C"</f>
        <v>DEEVER DAVID C</v>
      </c>
      <c r="C3373" s="1" t="str">
        <f>"WORTHINGTON HIGHLANDS SECTION 4 LOT 221"</f>
        <v>WORTHINGTON HIGHLANDS SECTION 4 LOT 221</v>
      </c>
      <c r="D3373" s="1">
        <v>395.7</v>
      </c>
    </row>
    <row r="3374" spans="1:4" x14ac:dyDescent="0.3">
      <c r="A3374" s="1" t="str">
        <f>"17100143000"</f>
        <v>17100143000</v>
      </c>
      <c r="B3374" s="1" t="str">
        <f>"DEFALLO MICHAEL WILLIAM, DEFALLO VALERI"</f>
        <v>DEFALLO MICHAEL WILLIAM, DEFALLO VALERI</v>
      </c>
      <c r="C3374" s="1" t="str">
        <f>"VILLAGE AT JEFFERSON RUN WEST S-F HOMES CONDO 20TH AMD UNIT 214"</f>
        <v>VILLAGE AT JEFFERSON RUN WEST S-F HOMES CONDO 20TH AMD UNIT 214</v>
      </c>
      <c r="D3374" s="1">
        <v>202.71</v>
      </c>
    </row>
    <row r="3375" spans="1:4" x14ac:dyDescent="0.3">
      <c r="A3375" s="1" t="str">
        <f>"01008725900"</f>
        <v>01008725900</v>
      </c>
      <c r="B3375" s="1" t="str">
        <f>"DEFFENBAUGH DARYL D"</f>
        <v>DEFFENBAUGH DARYL D</v>
      </c>
      <c r="C3375" s="1" t="str">
        <f>"699 RICHARDSON AVE WESTLAND EXT 1 LOT 433"</f>
        <v>699 RICHARDSON AVE WESTLAND EXT 1 LOT 433</v>
      </c>
      <c r="D3375" s="1">
        <v>2162.56</v>
      </c>
    </row>
    <row r="3376" spans="1:4" x14ac:dyDescent="0.3">
      <c r="A3376" s="1" t="str">
        <f>"04001489500"</f>
        <v>04001489500</v>
      </c>
      <c r="B3376" s="1" t="str">
        <f>"DEFIDE CHRISTINE H"</f>
        <v>DEFIDE CHRISTINE H</v>
      </c>
      <c r="C3376" s="1" t="str">
        <f>"RESUB LTS 404-426, RES AA PINNACLE CLUB SECTION 3   LOT 844                  "</f>
        <v xml:space="preserve">RESUB LTS 404-426, RES AA PINNACLE CLUB SECTION 3   LOT 844                  </v>
      </c>
      <c r="D3376" s="1">
        <v>4227.18</v>
      </c>
    </row>
    <row r="3377" spans="1:4" x14ac:dyDescent="0.3">
      <c r="A3377" s="1" t="str">
        <f>"17100073000"</f>
        <v>17100073000</v>
      </c>
      <c r="B3377" s="1" t="str">
        <f>"DEGAS REAL ESTATE SOLUTIONS LLC"</f>
        <v>DEGAS REAL ESTATE SOLUTIONS LLC</v>
      </c>
      <c r="C3377" s="1" t="str">
        <f>"RAMEYS CROSSING DRIVE WILLOW BROOK CROSSING PART 1 LOT 50"</f>
        <v>RAMEYS CROSSING DRIVE WILLOW BROOK CROSSING PART 1 LOT 50</v>
      </c>
      <c r="D3377" s="1">
        <v>5165.22</v>
      </c>
    </row>
    <row r="3378" spans="1:4" x14ac:dyDescent="0.3">
      <c r="A3378" s="1" t="str">
        <f>"01005294500"</f>
        <v>01005294500</v>
      </c>
      <c r="B3378" s="1" t="str">
        <f>"DEGAS REAL ESTATE SOLUTIONS LLC"</f>
        <v>DEGAS REAL ESTATE SOLUTIONS LLC</v>
      </c>
      <c r="C3378" s="1" t="str">
        <f>"13TH AVE SCHNEIDERS 12TH AVE LOTS 69-71"</f>
        <v>13TH AVE SCHNEIDERS 12TH AVE LOTS 69-71</v>
      </c>
      <c r="D3378" s="1">
        <v>2367.37</v>
      </c>
    </row>
    <row r="3379" spans="1:4" x14ac:dyDescent="0.3">
      <c r="A3379" s="1" t="str">
        <f>"01000329900"</f>
        <v>01000329900</v>
      </c>
      <c r="B3379" s="1" t="str">
        <f>"DEGAS REAL ESTATE SOLUTIONS LLC"</f>
        <v>DEGAS REAL ESTATE SOLUTIONS LLC</v>
      </c>
      <c r="C3379" s="1" t="str">
        <f>"4390 KARL ROAD R 18 T 1 S 1 LOT 3   .314 AC"</f>
        <v>4390 KARL ROAD R 18 T 1 S 1 LOT 3   .314 AC</v>
      </c>
      <c r="D3379" s="1">
        <v>9819.4599999999991</v>
      </c>
    </row>
    <row r="3380" spans="1:4" x14ac:dyDescent="0.3">
      <c r="A3380" s="1" t="str">
        <f>"01007076000"</f>
        <v>01007076000</v>
      </c>
      <c r="B3380" s="1" t="str">
        <f>"DEGAS REAL ESTATE SOLUTIONS LLC"</f>
        <v>DEGAS REAL ESTATE SOLUTIONS LLC</v>
      </c>
      <c r="C3380" s="1" t="str">
        <f>"SULLIVANT AVE 10FT WS LOT 328&amp; ALL LT 329-330 WESTGATE"</f>
        <v>SULLIVANT AVE 10FT WS LOT 328&amp; ALL LT 329-330 WESTGATE</v>
      </c>
      <c r="D3380" s="1">
        <v>3076.5</v>
      </c>
    </row>
    <row r="3381" spans="1:4" x14ac:dyDescent="0.3">
      <c r="A3381" s="1" t="str">
        <f>"60015793600"</f>
        <v>60015793600</v>
      </c>
      <c r="B3381" s="1" t="str">
        <f>"DEGAS REAL ESTATE SOLUTIONS LLC"</f>
        <v>DEGAS REAL ESTATE SOLUTIONS LLC</v>
      </c>
      <c r="C3381" s="1" t="str">
        <f>"CLEVELAND AVE R17 T2 1/4T3 LOT 4"</f>
        <v>CLEVELAND AVE R17 T2 1/4T3 LOT 4</v>
      </c>
      <c r="D3381" s="1">
        <v>11362.41</v>
      </c>
    </row>
    <row r="3382" spans="1:4" x14ac:dyDescent="0.3">
      <c r="A3382" s="1" t="str">
        <f>"01019651800"</f>
        <v>01019651800</v>
      </c>
      <c r="B3382" s="1" t="str">
        <f>"DEGAS REAL ESTATE SOLUTIONS LLC"</f>
        <v>DEGAS REAL ESTATE SOLUTIONS LLC</v>
      </c>
      <c r="C3382" s="1" t="str">
        <f>"TEAKWOOD DR 18-2-4-5 .568 AC"</f>
        <v>TEAKWOOD DR 18-2-4-5 .568 AC</v>
      </c>
      <c r="D3382" s="1">
        <v>4614.3</v>
      </c>
    </row>
    <row r="3383" spans="1:4" x14ac:dyDescent="0.3">
      <c r="A3383" s="1" t="str">
        <f>"01014371800"</f>
        <v>01014371800</v>
      </c>
      <c r="B3383" s="1" t="str">
        <f>"DEGAS REAL ESTATE SOLUTIONS LLC"</f>
        <v>DEGAS REAL ESTATE SOLUTIONS LLC</v>
      </c>
      <c r="C3383" s="1" t="str">
        <f>"MAIZE RD ACRES .568 NEW SURVEY R18T1 1-4 T1 LOT 10"</f>
        <v>MAIZE RD ACRES .568 NEW SURVEY R18T1 1-4 T1 LOT 10</v>
      </c>
      <c r="D3383" s="1">
        <v>2294.04</v>
      </c>
    </row>
    <row r="3384" spans="1:4" x14ac:dyDescent="0.3">
      <c r="A3384" s="1" t="str">
        <f>"18400224300"</f>
        <v>18400224300</v>
      </c>
      <c r="B3384" s="1" t="str">
        <f>"DEHNER RICHARD K, DEHNER ROBIN D"</f>
        <v>DEHNER RICHARD K, DEHNER ROBIN D</v>
      </c>
      <c r="C3384" s="1" t="str">
        <f>"HILLIARD DRIVE ASHBROOK VILLAGE SEC 4 PT 1 LOT 206"</f>
        <v>HILLIARD DRIVE ASHBROOK VILLAGE SEC 4 PT 1 LOT 206</v>
      </c>
      <c r="D3384" s="1">
        <v>292.19</v>
      </c>
    </row>
    <row r="3385" spans="1:4" x14ac:dyDescent="0.3">
      <c r="A3385" s="1" t="str">
        <f>"05000050900"</f>
        <v>05000050900</v>
      </c>
      <c r="B3385" s="1" t="str">
        <f>"DEIGHTON STACY A"</f>
        <v>DEIGHTON STACY A</v>
      </c>
      <c r="C3385" s="1" t="str">
        <f>"5318 WAKEFIELD DRIVE CONSTANCE L CONKLIN LOT 43"</f>
        <v>5318 WAKEFIELD DRIVE CONSTANCE L CONKLIN LOT 43</v>
      </c>
      <c r="D3385" s="1">
        <v>251.95</v>
      </c>
    </row>
    <row r="3386" spans="1:4" x14ac:dyDescent="0.3">
      <c r="A3386" s="1" t="str">
        <f>"57026277300"</f>
        <v>57026277300</v>
      </c>
      <c r="B3386" s="1" t="str">
        <f>"DEITZ RICHARD J"</f>
        <v>DEITZ RICHARD J</v>
      </c>
      <c r="C3386" s="1" t="str">
        <f>"KATARA DRIVE GALLOWAY RIDGE SECTION 7 PART 2 LOT 575"</f>
        <v>KATARA DRIVE GALLOWAY RIDGE SECTION 7 PART 2 LOT 575</v>
      </c>
      <c r="D3386" s="1">
        <v>82.87</v>
      </c>
    </row>
    <row r="3387" spans="1:4" x14ac:dyDescent="0.3">
      <c r="A3387" s="1" t="str">
        <f>"01008154400"</f>
        <v>01008154400</v>
      </c>
      <c r="B3387" s="1" t="str">
        <f>"DEL ROSARIO PRIETO FERMIN, CACERES ESMERALDA"</f>
        <v>DEL ROSARIO PRIETO FERMIN, CACERES ESMERALDA</v>
      </c>
      <c r="C3387" s="1" t="str">
        <f>"WHITETHORNE AVE HIGH RIDGE EXT LOT 26 BLK 8"</f>
        <v>WHITETHORNE AVE HIGH RIDGE EXT LOT 26 BLK 8</v>
      </c>
      <c r="D3387" s="1">
        <v>1734.58</v>
      </c>
    </row>
    <row r="3388" spans="1:4" x14ac:dyDescent="0.3">
      <c r="A3388" s="1" t="str">
        <f>"01022513000"</f>
        <v>01022513000</v>
      </c>
      <c r="B3388" s="1" t="str">
        <f>"DELACRUZ ANTHONY S"</f>
        <v>DELACRUZ ANTHONY S</v>
      </c>
      <c r="C3388" s="1" t="str">
        <f>"SAVANNAH ESTATES CONDOMINIUM 3RD AMD UNIT 1437"</f>
        <v>SAVANNAH ESTATES CONDOMINIUM 3RD AMD UNIT 1437</v>
      </c>
      <c r="D3388" s="1">
        <v>1088.71</v>
      </c>
    </row>
    <row r="3389" spans="1:4" x14ac:dyDescent="0.3">
      <c r="A3389" s="1" t="str">
        <f>"01012708200"</f>
        <v>01012708200</v>
      </c>
      <c r="B3389" s="1" t="str">
        <f>"DELANEY DREW M"</f>
        <v>DELANEY DREW M</v>
      </c>
      <c r="C3389" s="1" t="str">
        <f>"OBERLIN DR CRANBROOK LOT 1"</f>
        <v>OBERLIN DR CRANBROOK LOT 1</v>
      </c>
      <c r="D3389" s="1">
        <v>266.69</v>
      </c>
    </row>
    <row r="3390" spans="1:4" x14ac:dyDescent="0.3">
      <c r="A3390" s="1" t="str">
        <f>"01000403500"</f>
        <v>01000403500</v>
      </c>
      <c r="B3390" s="1" t="str">
        <f>"DELCID NELSON"</f>
        <v>DELCID NELSON</v>
      </c>
      <c r="C3390" s="1" t="str">
        <f>"843 45 PARKWOOD AVE WATTERSONS 1ST LOT 39"</f>
        <v>843 45 PARKWOOD AVE WATTERSONS 1ST LOT 39</v>
      </c>
      <c r="D3390" s="1">
        <v>2406.29</v>
      </c>
    </row>
    <row r="3391" spans="1:4" x14ac:dyDescent="0.3">
      <c r="A3391" s="1" t="str">
        <f>"09000278100"</f>
        <v>09000278100</v>
      </c>
      <c r="B3391" s="1" t="str">
        <f>"DELEON JUSTINO C, DELEON ELSIEROSE F"</f>
        <v>DELEON JUSTINO C, DELEON ELSIEROSE F</v>
      </c>
      <c r="C3391" s="1" t="str">
        <f>"397 PINEVIEW DR PINEWOOD LOT 316 "</f>
        <v xml:space="preserve">397 PINEVIEW DR PINEWOOD LOT 316 </v>
      </c>
      <c r="D3391" s="1">
        <v>1494.64</v>
      </c>
    </row>
    <row r="3392" spans="1:4" x14ac:dyDescent="0.3">
      <c r="A3392" s="1" t="str">
        <f>"10000611800"</f>
        <v>10000611800</v>
      </c>
      <c r="B3392" s="1" t="str">
        <f>"DELFINO MARGARET C, DELFINO CHARLES J III"</f>
        <v>DELFINO MARGARET C, DELFINO CHARLES J III</v>
      </c>
      <c r="C3392" s="1" t="str">
        <f>"6066 FLORA VILLA DR FLORA VILLA PT LOT 19"</f>
        <v>6066 FLORA VILLA DR FLORA VILLA PT LOT 19</v>
      </c>
      <c r="D3392" s="1">
        <v>469.85</v>
      </c>
    </row>
    <row r="3393" spans="1:4" x14ac:dyDescent="0.3">
      <c r="A3393" s="1" t="str">
        <f>"10000611900"</f>
        <v>10000611900</v>
      </c>
      <c r="B3393" s="1" t="str">
        <f>"DELFINO MARGARET C, DELFINO CHARLES J III"</f>
        <v>DELFINO MARGARET C, DELFINO CHARLES J III</v>
      </c>
      <c r="C3393" s="1" t="str">
        <f>"6066 FLORA VILLA DR FLORA VILLA LOT 20"</f>
        <v>6066 FLORA VILLA DR FLORA VILLA LOT 20</v>
      </c>
      <c r="D3393" s="1">
        <v>3392.4</v>
      </c>
    </row>
    <row r="3394" spans="1:4" x14ac:dyDescent="0.3">
      <c r="A3394" s="1" t="str">
        <f>"60021812300"</f>
        <v>60021812300</v>
      </c>
      <c r="B3394" s="1" t="str">
        <f>"DELFINO MARSHA A"</f>
        <v>DELFINO MARSHA A</v>
      </c>
      <c r="C3394" s="1" t="str">
        <f>"ARUBA COURT SUNBURY LAKE LOT 9"</f>
        <v>ARUBA COURT SUNBURY LAKE LOT 9</v>
      </c>
      <c r="D3394" s="1">
        <v>2210.7600000000002</v>
      </c>
    </row>
    <row r="3395" spans="1:4" x14ac:dyDescent="0.3">
      <c r="A3395" s="1" t="str">
        <f>"23000059900"</f>
        <v>23000059900</v>
      </c>
      <c r="B3395" s="1" t="str">
        <f>"DELGADO ROSAS JORGE"</f>
        <v>DELGADO ROSAS JORGE</v>
      </c>
      <c r="C3395" s="1" t="str">
        <f>"HARRISBURG PK CHURCH 75X150FT ENTRY 6178"</f>
        <v>HARRISBURG PK CHURCH 75X150FT ENTRY 6178</v>
      </c>
      <c r="D3395" s="1">
        <v>230.33</v>
      </c>
    </row>
    <row r="3396" spans="1:4" x14ac:dyDescent="0.3">
      <c r="A3396" s="1" t="str">
        <f>"01012320700"</f>
        <v>01012320700</v>
      </c>
      <c r="B3396" s="1" t="str">
        <f>"DELGADO ROSAS JORGE"</f>
        <v>DELGADO ROSAS JORGE</v>
      </c>
      <c r="C3396" s="1" t="str">
        <f>"PIERCE AVE PINECREST 4 LOT 503"</f>
        <v>PIERCE AVE PINECREST 4 LOT 503</v>
      </c>
      <c r="D3396" s="1">
        <v>303.27</v>
      </c>
    </row>
    <row r="3397" spans="1:4" x14ac:dyDescent="0.3">
      <c r="A3397" s="1" t="str">
        <f>"01032697200"</f>
        <v>01032697200</v>
      </c>
      <c r="B3397" s="1" t="str">
        <f>"DELGADO VILLA TZIRAN ARTURO"</f>
        <v>DELGADO VILLA TZIRAN ARTURO</v>
      </c>
      <c r="C3397" s="1" t="str">
        <f>"MOUNDVIEW AVE CLARFIELD LOT 55 &amp; PT VAC AL"</f>
        <v>MOUNDVIEW AVE CLARFIELD LOT 55 &amp; PT VAC AL</v>
      </c>
      <c r="D3397" s="1">
        <v>650.41</v>
      </c>
    </row>
    <row r="3398" spans="1:4" x14ac:dyDescent="0.3">
      <c r="A3398" s="1" t="str">
        <f>"01003226900"</f>
        <v>01003226900</v>
      </c>
      <c r="B3398" s="1" t="str">
        <f>"DELILAH ALYSSA LLC"</f>
        <v>DELILAH ALYSSA LLC</v>
      </c>
      <c r="C3398" s="1" t="str">
        <f>"LIVINGSTON AVE ACRES .436 R.21T.12S191-4S.32"</f>
        <v>LIVINGSTON AVE ACRES .436 R.21T.12S191-4S.32</v>
      </c>
      <c r="D3398" s="1">
        <v>4564</v>
      </c>
    </row>
    <row r="3399" spans="1:4" x14ac:dyDescent="0.3">
      <c r="A3399" s="1" t="str">
        <f>"01008392300"</f>
        <v>01008392300</v>
      </c>
      <c r="B3399" s="1" t="str">
        <f>"DELL DON M, MEEK VIOLET I TR"</f>
        <v>DELL DON M, MEEK VIOLET I TR</v>
      </c>
      <c r="C3399" s="1" t="str">
        <f>"209 BEECHWALD BLVD BEECHWOLD LOTS 41 &amp; 42"</f>
        <v>209 BEECHWALD BLVD BEECHWOLD LOTS 41 &amp; 42</v>
      </c>
      <c r="D3399" s="1">
        <v>400.42</v>
      </c>
    </row>
    <row r="3400" spans="1:4" x14ac:dyDescent="0.3">
      <c r="A3400" s="1" t="str">
        <f>"01002532700"</f>
        <v>01002532700</v>
      </c>
      <c r="B3400" s="1" t="str">
        <f>"DELONG CORY JAMES"</f>
        <v>DELONG CORY JAMES</v>
      </c>
      <c r="C3400" s="1" t="str">
        <f>"1557 DUXBERRY AVE INNIS CREST LOT 163 "</f>
        <v xml:space="preserve">1557 DUXBERRY AVE INNIS CREST LOT 163 </v>
      </c>
      <c r="D3400" s="1">
        <v>804.06</v>
      </c>
    </row>
    <row r="3401" spans="1:4" x14ac:dyDescent="0.3">
      <c r="A3401" s="1" t="str">
        <f>"01000731300"</f>
        <v>01000731300</v>
      </c>
      <c r="B3401" s="1" t="str">
        <f>"DELONG JOHN W"</f>
        <v>DELONG JOHN W</v>
      </c>
      <c r="C3401" s="1" t="str">
        <f>"95 S TERRACE AVE LANDSCAPE LOT 118"</f>
        <v>95 S TERRACE AVE LANDSCAPE LOT 118</v>
      </c>
      <c r="D3401" s="1">
        <v>1605.64</v>
      </c>
    </row>
    <row r="3402" spans="1:4" x14ac:dyDescent="0.3">
      <c r="A3402" s="1" t="str">
        <f>"05000172800"</f>
        <v>05000172800</v>
      </c>
      <c r="B3402" s="1" t="str">
        <f>"DELONG JONATHAN D, DELONG MADALON A"</f>
        <v>DELONG JONATHAN D, DELONG MADALON A</v>
      </c>
      <c r="C3402" s="1" t="str">
        <f>"5030 DRIVEMERE ROAD LUXAIR 3 LOT 22"</f>
        <v>5030 DRIVEMERE ROAD LUXAIR 3 LOT 22</v>
      </c>
      <c r="D3402" s="1">
        <v>1685.8</v>
      </c>
    </row>
    <row r="3403" spans="1:4" x14ac:dyDescent="0.3">
      <c r="A3403" s="1" t="str">
        <f>"01019392200"</f>
        <v>01019392200</v>
      </c>
      <c r="B3403" s="1" t="str">
        <f>"DELONG MAX"</f>
        <v>DELONG MAX</v>
      </c>
      <c r="C3403" s="1" t="str">
        <f>"1484C CLIFF CT HIDDEN LAKE CONDO 1 UNIT 3 BLDG 1"</f>
        <v>1484C CLIFF CT HIDDEN LAKE CONDO 1 UNIT 3 BLDG 1</v>
      </c>
      <c r="D3403" s="1">
        <v>268.47000000000003</v>
      </c>
    </row>
    <row r="3404" spans="1:4" x14ac:dyDescent="0.3">
      <c r="A3404" s="1" t="str">
        <f>"57022633700"</f>
        <v>57022633700</v>
      </c>
      <c r="B3404" s="1" t="str">
        <f>"DELONG RICHARD E"</f>
        <v>DELONG RICHARD E</v>
      </c>
      <c r="C3404" s="1" t="str">
        <f>"SUNDIAL DRIVE WESTCHESTER SEC5 PT1 LOT 279"</f>
        <v>SUNDIAL DRIVE WESTCHESTER SEC5 PT1 LOT 279</v>
      </c>
      <c r="D3404" s="1">
        <v>228.11</v>
      </c>
    </row>
    <row r="3405" spans="1:4" x14ac:dyDescent="0.3">
      <c r="A3405" s="1" t="str">
        <f>"05000119400"</f>
        <v>05000119400</v>
      </c>
      <c r="B3405" s="1" t="str">
        <f>"DELP BARRON, DELP RAMONA"</f>
        <v>DELP BARRON, DELP RAMONA</v>
      </c>
      <c r="C3405" s="1" t="str">
        <f>"5391 CRESENT DRIVE AVERY RD 2ND LOT 400"</f>
        <v>5391 CRESENT DRIVE AVERY RD 2ND LOT 400</v>
      </c>
      <c r="D3405" s="1">
        <v>5794.46</v>
      </c>
    </row>
    <row r="3406" spans="1:4" x14ac:dyDescent="0.3">
      <c r="A3406" s="1" t="str">
        <f>"27300042400"</f>
        <v>27300042400</v>
      </c>
      <c r="B3406" s="1" t="str">
        <f>"DELPHINEUS ASSOCIATES LLC"</f>
        <v>DELPHINEUS ASSOCIATES LLC</v>
      </c>
      <c r="C3406" s="1" t="str">
        <f>"5151 BLAZER PW ENTRY 2419 25.457 ACRES"</f>
        <v>5151 BLAZER PW ENTRY 2419 25.457 ACRES</v>
      </c>
      <c r="D3406" s="1">
        <v>462263.62</v>
      </c>
    </row>
    <row r="3407" spans="1:4" x14ac:dyDescent="0.3">
      <c r="A3407" s="1" t="str">
        <f>"07000521200"</f>
        <v>07000521200</v>
      </c>
      <c r="B3407" s="1" t="str">
        <f>"DELTA GAMMA FRATERNITY"</f>
        <v>DELTA GAMMA FRATERNITY</v>
      </c>
      <c r="C3407" s="1" t="str">
        <f>"DUBLIN PIKE EAST CLEFT 15"</f>
        <v>DUBLIN PIKE EAST CLEFT 15</v>
      </c>
      <c r="D3407" s="1">
        <v>556.79</v>
      </c>
    </row>
    <row r="3408" spans="1:4" x14ac:dyDescent="0.3">
      <c r="A3408" s="1" t="str">
        <f>"07000521300"</f>
        <v>07000521300</v>
      </c>
      <c r="B3408" s="1" t="str">
        <f>"DELTA GAMMA FRATERNITY"</f>
        <v>DELTA GAMMA FRATERNITY</v>
      </c>
      <c r="C3408" s="1" t="str">
        <f>"DUBLIN PIKE EAST CLEFT 16"</f>
        <v>DUBLIN PIKE EAST CLEFT 16</v>
      </c>
      <c r="D3408" s="1">
        <v>45308.92</v>
      </c>
    </row>
    <row r="3409" spans="1:4" x14ac:dyDescent="0.3">
      <c r="A3409" s="1" t="str">
        <f>"07000521400"</f>
        <v>07000521400</v>
      </c>
      <c r="B3409" s="1" t="str">
        <f>"DELTA GAMMA FRATERNITY"</f>
        <v>DELTA GAMMA FRATERNITY</v>
      </c>
      <c r="C3409" s="1" t="str">
        <f>"3230 RIVERSIDE DRIVE 196 FT W E EAST CLEFT LOT 18"</f>
        <v>3230 RIVERSIDE DRIVE 196 FT W E EAST CLEFT LOT 18</v>
      </c>
      <c r="D3409" s="1">
        <v>6778.53</v>
      </c>
    </row>
    <row r="3410" spans="1:4" x14ac:dyDescent="0.3">
      <c r="A3410" s="1" t="str">
        <f>"07000521500"</f>
        <v>07000521500</v>
      </c>
      <c r="B3410" s="1" t="str">
        <f>"DELTA GAMMA FRATERNITY"</f>
        <v>DELTA GAMMA FRATERNITY</v>
      </c>
      <c r="C3410" s="1" t="str">
        <f>"DUBLIN PIKE 196 FT W E EAST CLEFT LOT 20"</f>
        <v>DUBLIN PIKE 196 FT W E EAST CLEFT LOT 20</v>
      </c>
      <c r="D3410" s="1">
        <v>6778.53</v>
      </c>
    </row>
    <row r="3411" spans="1:4" x14ac:dyDescent="0.3">
      <c r="A3411" s="1" t="str">
        <f>"07000554200"</f>
        <v>07000554200</v>
      </c>
      <c r="B3411" s="1" t="str">
        <f>"DELTA GAMMA FRATERNITY"</f>
        <v>DELTA GAMMA FRATERNITY</v>
      </c>
      <c r="C3411" s="1" t="str">
        <f>"RIVERSIDE DR EAST CLEFT LOT 17"</f>
        <v>RIVERSIDE DR EAST CLEFT LOT 17</v>
      </c>
      <c r="D3411" s="1">
        <v>4149.01</v>
      </c>
    </row>
    <row r="3412" spans="1:4" x14ac:dyDescent="0.3">
      <c r="A3412" s="1" t="str">
        <f>"07000562100"</f>
        <v>07000562100</v>
      </c>
      <c r="B3412" s="1" t="str">
        <f>"DELTA GAMMA FRATERNITY"</f>
        <v>DELTA GAMMA FRATERNITY</v>
      </c>
      <c r="C3412" s="1" t="str">
        <f>"DUBLIN ROAD 196 FT W E EAST CLEFT LOT 19"</f>
        <v>DUBLIN ROAD 196 FT W E EAST CLEFT LOT 19</v>
      </c>
      <c r="D3412" s="1">
        <v>3785.1</v>
      </c>
    </row>
    <row r="3413" spans="1:4" x14ac:dyDescent="0.3">
      <c r="A3413" s="1" t="str">
        <f>"07000557600"</f>
        <v>07000557600</v>
      </c>
      <c r="B3413" s="1" t="str">
        <f>"DELTA GAMMA FRATERNITY INC"</f>
        <v>DELTA GAMMA FRATERNITY INC</v>
      </c>
      <c r="C3413" s="1" t="str">
        <f>"DUBLIN PIKE EAST CLEFT 22"</f>
        <v>DUBLIN PIKE EAST CLEFT 22</v>
      </c>
      <c r="D3413" s="1">
        <v>2313.77</v>
      </c>
    </row>
    <row r="3414" spans="1:4" x14ac:dyDescent="0.3">
      <c r="A3414" s="1" t="str">
        <f>"07000703200"</f>
        <v>07000703200</v>
      </c>
      <c r="B3414" s="1" t="str">
        <f>"DELTA GAMMA FRATERNITY INC"</f>
        <v>DELTA GAMMA FRATERNITY INC</v>
      </c>
      <c r="C3414" s="1" t="str">
        <f>"DUBLIN PK EAST CLEFT 21"</f>
        <v>DUBLIN PK EAST CLEFT 21</v>
      </c>
      <c r="D3414" s="1">
        <v>909.67</v>
      </c>
    </row>
    <row r="3415" spans="1:4" x14ac:dyDescent="0.3">
      <c r="A3415" s="1" t="str">
        <f>"01023610300"</f>
        <v>01023610300</v>
      </c>
      <c r="B3415" s="1" t="str">
        <f>"DEMARCO PETER F"</f>
        <v>DEMARCO PETER F</v>
      </c>
      <c r="C3415" s="1" t="str">
        <f>"AUGUSTA GLEN DRIVE LINWORTH VILLAGE SECTION 2 LOT 13"</f>
        <v>AUGUSTA GLEN DRIVE LINWORTH VILLAGE SECTION 2 LOT 13</v>
      </c>
      <c r="D3415" s="1">
        <v>10278.66</v>
      </c>
    </row>
    <row r="3416" spans="1:4" x14ac:dyDescent="0.3">
      <c r="A3416" s="1" t="str">
        <f>"01006388700"</f>
        <v>01006388700</v>
      </c>
      <c r="B3416" s="1" t="str">
        <f>"DEMARTINI ALAYNA"</f>
        <v>DEMARTINI ALAYNA</v>
      </c>
      <c r="C3416" s="1" t="str">
        <f>"130 GLENMONT AVE GLENMONT LOTS 81-82"</f>
        <v>130 GLENMONT AVE GLENMONT LOTS 81-82</v>
      </c>
      <c r="D3416" s="1">
        <v>4049.57</v>
      </c>
    </row>
    <row r="3417" spans="1:4" x14ac:dyDescent="0.3">
      <c r="A3417" s="1" t="str">
        <f>"01009417600"</f>
        <v>01009417600</v>
      </c>
      <c r="B3417" s="1" t="str">
        <f>"DEMATTE DANIEL P, ZISMAN GILAT"</f>
        <v>DEMATTE DANIEL P, ZISMAN GILAT</v>
      </c>
      <c r="C3417" s="1" t="str">
        <f>"ACRES .455 BERWICK PARK "</f>
        <v xml:space="preserve">ACRES .455 BERWICK PARK </v>
      </c>
      <c r="D3417" s="1">
        <v>195.4</v>
      </c>
    </row>
    <row r="3418" spans="1:4" x14ac:dyDescent="0.3">
      <c r="A3418" s="1" t="str">
        <f>"05400000300"</f>
        <v>05400000300</v>
      </c>
      <c r="B3418" s="1" t="str">
        <f>"DEMATTEIS ERNEST P, DEMATTEIS PATTI"</f>
        <v>DEMATTEIS ERNEST P, DEMATTEIS PATTI</v>
      </c>
      <c r="C3418" s="1" t="str">
        <f>"VILLAS AT RAYS CROSSING CONDO UNIT 4903"</f>
        <v>VILLAS AT RAYS CROSSING CONDO UNIT 4903</v>
      </c>
      <c r="D3418" s="1">
        <v>3986.91</v>
      </c>
    </row>
    <row r="3419" spans="1:4" x14ac:dyDescent="0.3">
      <c r="A3419" s="1" t="str">
        <f>"01019193000"</f>
        <v>01019193000</v>
      </c>
      <c r="B3419" s="1" t="str">
        <f>"DEMATTEO JOANNE"</f>
        <v>DEMATTEO JOANNE</v>
      </c>
      <c r="C3419" s="1" t="str">
        <f>"OLENTANGY THE CONDOMINIUM BLDG 19 UNIT 19-652F"</f>
        <v>OLENTANGY THE CONDOMINIUM BLDG 19 UNIT 19-652F</v>
      </c>
      <c r="D3419" s="1">
        <v>2531.0500000000002</v>
      </c>
    </row>
    <row r="3420" spans="1:4" x14ac:dyDescent="0.3">
      <c r="A3420" s="1" t="str">
        <f>"06000093200"</f>
        <v>06000093200</v>
      </c>
      <c r="B3420" s="1" t="str">
        <f>"DEMBIEC MARY"</f>
        <v>DEMBIEC MARY</v>
      </c>
      <c r="C3420" s="1" t="str">
        <f>"PLEASANT DR BROOKSIDE PK 2 508 "</f>
        <v xml:space="preserve">PLEASANT DR BROOKSIDE PK 2 508 </v>
      </c>
      <c r="D3420" s="1">
        <v>1923.94</v>
      </c>
    </row>
    <row r="3421" spans="1:4" x14ac:dyDescent="0.3">
      <c r="A3421" s="1" t="str">
        <f>"22200229800"</f>
        <v>22200229800</v>
      </c>
      <c r="B3421" s="1" t="str">
        <f>"DEMERS STEPHANIE B"</f>
        <v>DEMERS STEPHANIE B</v>
      </c>
      <c r="C3421" s="1" t="str">
        <f>"CROMWELL END NEW ALBANY COUNTRY CLUB SECTION 16B LOT 62"</f>
        <v>CROMWELL END NEW ALBANY COUNTRY CLUB SECTION 16B LOT 62</v>
      </c>
      <c r="D3421" s="1">
        <v>1141.93</v>
      </c>
    </row>
    <row r="3422" spans="1:4" x14ac:dyDescent="0.3">
      <c r="A3422" s="1" t="str">
        <f>"01005989500"</f>
        <v>01005989500</v>
      </c>
      <c r="B3422" s="1" t="str">
        <f>"DEMESNE PRIMUS LLC"</f>
        <v>DEMESNE PRIMUS LLC</v>
      </c>
      <c r="C3422" s="1" t="str">
        <f>"1571 ARLINGTON AVE WALDON LOT 90"</f>
        <v>1571 ARLINGTON AVE WALDON LOT 90</v>
      </c>
      <c r="D3422" s="1">
        <v>93.5</v>
      </c>
    </row>
    <row r="3423" spans="1:4" x14ac:dyDescent="0.3">
      <c r="A3423" s="1" t="str">
        <f>"01002111900"</f>
        <v>01002111900</v>
      </c>
      <c r="B3423" s="1" t="str">
        <f>"DEMETRIOS CONTROL CORP"</f>
        <v>DEMETRIOS CONTROL CORP</v>
      </c>
      <c r="C3423" s="1" t="str">
        <f>"214 16TH AVE AND7.5X50FT ALLEY VACATED INDIANOLA"</f>
        <v>214 16TH AVE AND7.5X50FT ALLEY VACATED INDIANOLA</v>
      </c>
      <c r="D3423" s="1">
        <v>8048.06</v>
      </c>
    </row>
    <row r="3424" spans="1:4" x14ac:dyDescent="0.3">
      <c r="A3424" s="1" t="str">
        <f>"05000436700"</f>
        <v>05000436700</v>
      </c>
      <c r="B3424" s="1" t="str">
        <f>"DEMING JIM D"</f>
        <v>DEMING JIM D</v>
      </c>
      <c r="C3424" s="1" t="str">
        <f>"MAYSTAR WAY SCIOTO RUN SUB PH 3 LOT 182"</f>
        <v>MAYSTAR WAY SCIOTO RUN SUB PH 3 LOT 182</v>
      </c>
      <c r="D3424" s="1">
        <v>448.64</v>
      </c>
    </row>
    <row r="3425" spans="1:4" x14ac:dyDescent="0.3">
      <c r="A3425" s="1" t="str">
        <f>"15200042000"</f>
        <v>15200042000</v>
      </c>
      <c r="B3425" s="1" t="str">
        <f>"DEMINT DANNY M"</f>
        <v>DEMINT DANNY M</v>
      </c>
      <c r="C3425" s="1" t="str">
        <f>"OBETZ AVE COLUMBUS TERRACE 110-1-2"</f>
        <v>OBETZ AVE COLUMBUS TERRACE 110-1-2</v>
      </c>
      <c r="D3425" s="1">
        <v>1533.16</v>
      </c>
    </row>
    <row r="3426" spans="1:4" x14ac:dyDescent="0.3">
      <c r="A3426" s="1" t="str">
        <f>"18500001200"</f>
        <v>18500001200</v>
      </c>
      <c r="B3426" s="1" t="str">
        <f>"DEMINT ROBERT E, DEMINT SUZANNA"</f>
        <v>DEMINT ROBERT E, DEMINT SUZANNA</v>
      </c>
      <c r="C3426" s="1" t="str">
        <f>"CHERRY ST 35  "</f>
        <v xml:space="preserve">CHERRY ST 35  </v>
      </c>
      <c r="D3426" s="1">
        <v>1998.24</v>
      </c>
    </row>
    <row r="3427" spans="1:4" x14ac:dyDescent="0.3">
      <c r="A3427" s="1" t="str">
        <f>"16534697200"</f>
        <v>16534697200</v>
      </c>
      <c r="B3427" s="1" t="str">
        <f>"DEMOREST PARK LLC"</f>
        <v>DEMOREST PARK LLC</v>
      </c>
      <c r="C3427" s="1" t="str">
        <f>"DEMOREST ROAD LOT 3-6 8.930 ACRES"</f>
        <v>DEMOREST ROAD LOT 3-6 8.930 ACRES</v>
      </c>
      <c r="D3427" s="1">
        <v>3370.36</v>
      </c>
    </row>
    <row r="3428" spans="1:4" x14ac:dyDescent="0.3">
      <c r="A3428" s="1" t="str">
        <f>"08000088900"</f>
        <v>08000088900</v>
      </c>
      <c r="B3428" s="1" t="str">
        <f>"DEMUTH DAVID, WATERS KELLIE"</f>
        <v>DEMUTH DAVID, WATERS KELLIE</v>
      </c>
      <c r="C3428" s="1" t="str">
        <f>"212 N STATE ST LANGHAM TRACT 60' X 204' ES PT OLD LOT 8"</f>
        <v>212 N STATE ST LANGHAM TRACT 60' X 204' ES PT OLD LOT 8</v>
      </c>
      <c r="D3428" s="1">
        <v>507.86</v>
      </c>
    </row>
    <row r="3429" spans="1:4" x14ac:dyDescent="0.3">
      <c r="A3429" s="1" t="str">
        <f>"01015827200"</f>
        <v>01015827200</v>
      </c>
      <c r="B3429" s="1" t="str">
        <f>"DENCON PROPERTIES LLC"</f>
        <v>DENCON PROPERTIES LLC</v>
      </c>
      <c r="C3429" s="1" t="str">
        <f>"SWITZER AVE ELMHURST LOT 20 BLK A"</f>
        <v>SWITZER AVE ELMHURST LOT 20 BLK A</v>
      </c>
      <c r="D3429" s="1">
        <v>853.67</v>
      </c>
    </row>
    <row r="3430" spans="1:4" x14ac:dyDescent="0.3">
      <c r="A3430" s="1" t="str">
        <f>"01004188900"</f>
        <v>01004188900</v>
      </c>
      <c r="B3430" s="1" t="str">
        <f>"DENG DAN"</f>
        <v>DENG DAN</v>
      </c>
      <c r="C3430" s="1" t="str">
        <f>"161 COLUMBIAN AVE GLENWOOD HTS LOT 240"</f>
        <v>161 COLUMBIAN AVE GLENWOOD HTS LOT 240</v>
      </c>
      <c r="D3430" s="1">
        <v>1061.01</v>
      </c>
    </row>
    <row r="3431" spans="1:4" x14ac:dyDescent="0.3">
      <c r="A3431" s="1" t="str">
        <f>"01028437300"</f>
        <v>01028437300</v>
      </c>
      <c r="B3431" s="1" t="str">
        <f>"DENIRO MARY M"</f>
        <v>DENIRO MARY M</v>
      </c>
      <c r="C3431" s="1" t="str">
        <f>"THE CONDOMINIUMS AT       NORTH BANK PARK           UNIT 300-406             "</f>
        <v xml:space="preserve">THE CONDOMINIUMS AT       NORTH BANK PARK           UNIT 300-406             </v>
      </c>
      <c r="D3431" s="1">
        <v>729.67</v>
      </c>
    </row>
    <row r="3432" spans="1:4" x14ac:dyDescent="0.3">
      <c r="A3432" s="1" t="str">
        <f>"01010593000"</f>
        <v>01010593000</v>
      </c>
      <c r="B3432" s="1" t="str">
        <f>"DENNIS HENRIETTA A"</f>
        <v>DENNIS HENRIETTA A</v>
      </c>
      <c r="C3432" s="1" t="str">
        <f>"TEDDY DRIVE WILLIS PARK 2 LOT 450"</f>
        <v>TEDDY DRIVE WILLIS PARK 2 LOT 450</v>
      </c>
      <c r="D3432" s="1">
        <v>149.75</v>
      </c>
    </row>
    <row r="3433" spans="1:4" x14ac:dyDescent="0.3">
      <c r="A3433" s="1" t="str">
        <f>"01001684100"</f>
        <v>01001684100</v>
      </c>
      <c r="B3433" s="1" t="str">
        <f>"DENNISON MICHAEL J"</f>
        <v>DENNISON MICHAEL J</v>
      </c>
      <c r="C3433" s="1" t="str">
        <f>"211-13WEST PARK AVE WEST PARK LOT 722"</f>
        <v>211-13WEST PARK AVE WEST PARK LOT 722</v>
      </c>
      <c r="D3433" s="1">
        <v>74.319999999999993</v>
      </c>
    </row>
    <row r="3434" spans="1:4" x14ac:dyDescent="0.3">
      <c r="A3434" s="1" t="str">
        <f>"01005405900"</f>
        <v>01005405900</v>
      </c>
      <c r="B3434" s="1" t="str">
        <f>"DENNISON MICHAEL J"</f>
        <v>DENNISON MICHAEL J</v>
      </c>
      <c r="C3434" s="1" t="str">
        <f>"215-17 W PARK AVE W PARK LOT 721"</f>
        <v>215-17 W PARK AVE W PARK LOT 721</v>
      </c>
      <c r="D3434" s="1">
        <v>694.89</v>
      </c>
    </row>
    <row r="3435" spans="1:4" x14ac:dyDescent="0.3">
      <c r="A3435" s="1" t="str">
        <f>"01009053700"</f>
        <v>01009053700</v>
      </c>
      <c r="B3435" s="1" t="str">
        <f>"DENNY MARK R"</f>
        <v>DENNY MARK R</v>
      </c>
      <c r="C3435" s="1" t="str">
        <f>"KENILWORTH PL EASTMINSTER LOT 314 &amp; PT VAC AL"</f>
        <v>KENILWORTH PL EASTMINSTER LOT 314 &amp; PT VAC AL</v>
      </c>
      <c r="D3435" s="1">
        <v>3713.07</v>
      </c>
    </row>
    <row r="3436" spans="1:4" x14ac:dyDescent="0.3">
      <c r="A3436" s="1" t="str">
        <f>"27300222800"</f>
        <v>27300222800</v>
      </c>
      <c r="B3436" s="1" t="str">
        <f>"DENTLER ELAINE L"</f>
        <v>DENTLER ELAINE L</v>
      </c>
      <c r="C3436" s="1" t="str">
        <f>"6703 WILLOW GROVE PL HOMES PH 2E UNIT 6703 BLDG 14"</f>
        <v>6703 WILLOW GROVE PL HOMES PH 2E UNIT 6703 BLDG 14</v>
      </c>
      <c r="D3436" s="1">
        <v>862.1</v>
      </c>
    </row>
    <row r="3437" spans="1:4" x14ac:dyDescent="0.3">
      <c r="A3437" s="1" t="str">
        <f>"01016727400"</f>
        <v>01016727400</v>
      </c>
      <c r="B3437" s="1" t="str">
        <f>"DENTON PATRICIA"</f>
        <v>DENTON PATRICIA</v>
      </c>
      <c r="C3437" s="1" t="str">
        <f>"THAMES DR AMVET HOMESTD SUB 1 LOT 45 BLK F"</f>
        <v>THAMES DR AMVET HOMESTD SUB 1 LOT 45 BLK F</v>
      </c>
      <c r="D3437" s="1">
        <v>51.76</v>
      </c>
    </row>
    <row r="3438" spans="1:4" x14ac:dyDescent="0.3">
      <c r="A3438" s="1" t="str">
        <f>"18400302600"</f>
        <v>18400302600</v>
      </c>
      <c r="B3438" s="1" t="str">
        <f>"DENUNE SARA"</f>
        <v>DENUNE SARA</v>
      </c>
      <c r="C3438" s="1" t="str">
        <f>"EAGLE RIDGE CONDOMINIUM (2ND AMD) BLDG 12 UNIT 12-B"</f>
        <v>EAGLE RIDGE CONDOMINIUM (2ND AMD) BLDG 12 UNIT 12-B</v>
      </c>
      <c r="D3438" s="1">
        <v>175.76</v>
      </c>
    </row>
    <row r="3439" spans="1:4" x14ac:dyDescent="0.3">
      <c r="A3439" s="1" t="str">
        <f>"03000210200"</f>
        <v>03000210200</v>
      </c>
      <c r="B3439" s="1" t="str">
        <f>"DENYES KIRK, DENYES MARY"</f>
        <v>DENYES KIRK, DENYES MARY</v>
      </c>
      <c r="C3439" s="1" t="str">
        <f>"1212 HOLLY AVE NORTHWEST BLVD # 5 LOT 63"</f>
        <v>1212 HOLLY AVE NORTHWEST BLVD # 5 LOT 63</v>
      </c>
      <c r="D3439" s="1">
        <v>370.91</v>
      </c>
    </row>
    <row r="3440" spans="1:4" x14ac:dyDescent="0.3">
      <c r="A3440" s="1" t="str">
        <f>"01015949500"</f>
        <v>01015949500</v>
      </c>
      <c r="B3440" s="1" t="str">
        <f>"DEPRIEST MICAH LEA, DEPRIEST MICHAEL GENE"</f>
        <v>DEPRIEST MICAH LEA, DEPRIEST MICHAEL GENE</v>
      </c>
      <c r="C3440" s="1" t="str">
        <f>"SHARON WOODS SEC 8 BELLESHIRE ST LOT 859"</f>
        <v>SHARON WOODS SEC 8 BELLESHIRE ST LOT 859</v>
      </c>
      <c r="D3440" s="1">
        <v>4482.62</v>
      </c>
    </row>
    <row r="3441" spans="1:4" x14ac:dyDescent="0.3">
      <c r="A3441" s="1" t="str">
        <f>"01006102500"</f>
        <v>01006102500</v>
      </c>
      <c r="B3441" s="1" t="str">
        <f>"DERBIGNY DONNA J"</f>
        <v>DERBIGNY DONNA J</v>
      </c>
      <c r="C3441" s="1" t="str">
        <f>"WEYANTS CLEV AVE PL LOT 47 "</f>
        <v xml:space="preserve">WEYANTS CLEV AVE PL LOT 47 </v>
      </c>
      <c r="D3441" s="1">
        <v>68.23</v>
      </c>
    </row>
    <row r="3442" spans="1:4" x14ac:dyDescent="0.3">
      <c r="A3442" s="1" t="str">
        <f>"18000254300"</f>
        <v>18000254300</v>
      </c>
      <c r="B3442" s="1" t="str">
        <f>"DERENBURGER CLARENCE E"</f>
        <v>DERENBURGER CLARENCE E</v>
      </c>
      <c r="C3442" s="1" t="str">
        <f>"NEWPORT RD BLACKLICK ESTATES 2 152 "</f>
        <v xml:space="preserve">NEWPORT RD BLACKLICK ESTATES 2 152 </v>
      </c>
      <c r="D3442" s="1">
        <v>12.04</v>
      </c>
    </row>
    <row r="3443" spans="1:4" x14ac:dyDescent="0.3">
      <c r="A3443" s="1" t="str">
        <f>"01012789800"</f>
        <v>01012789800</v>
      </c>
      <c r="B3443" s="1" t="str">
        <f>"DERMOTT DAVID PAUL"</f>
        <v>DERMOTT DAVID PAUL</v>
      </c>
      <c r="C3443" s="1" t="str">
        <f>"QUIGLEY RD BERWYN LOT 24"</f>
        <v>QUIGLEY RD BERWYN LOT 24</v>
      </c>
      <c r="D3443" s="1">
        <v>2908.71</v>
      </c>
    </row>
    <row r="3444" spans="1:4" x14ac:dyDescent="0.3">
      <c r="A3444" s="1" t="str">
        <f>"01002055900"</f>
        <v>01002055900</v>
      </c>
      <c r="B3444" s="1" t="str">
        <f>"DEROLPH BEN"</f>
        <v>DEROLPH BEN</v>
      </c>
      <c r="C3444" s="1" t="str">
        <f>"2521 N 4TH ST INDIANOLA PARK VIEW LOT 143"</f>
        <v>2521 N 4TH ST INDIANOLA PARK VIEW LOT 143</v>
      </c>
      <c r="D3444" s="1">
        <v>3001.7</v>
      </c>
    </row>
    <row r="3445" spans="1:4" x14ac:dyDescent="0.3">
      <c r="A3445" s="1" t="str">
        <f>"01028138800"</f>
        <v>01028138800</v>
      </c>
      <c r="B3445" s="1" t="str">
        <f>"DEROW FEYSAL"</f>
        <v>DEROW FEYSAL</v>
      </c>
      <c r="C3445" s="1" t="str">
        <f>"6320 GREENHAVEN AVENUE GREAT OAK SUBDIVISION LOT 42"</f>
        <v>6320 GREENHAVEN AVENUE GREAT OAK SUBDIVISION LOT 42</v>
      </c>
      <c r="D3445" s="1">
        <v>3002.99</v>
      </c>
    </row>
    <row r="3446" spans="1:4" x14ac:dyDescent="0.3">
      <c r="A3446" s="1" t="str">
        <f>"01005511600"</f>
        <v>01005511600</v>
      </c>
      <c r="B3446" s="1" t="str">
        <f>"DERP REAL ESTATE LLC"</f>
        <v>DERP REAL ESTATE LLC</v>
      </c>
      <c r="C3446" s="1" t="str">
        <f>"ABERDEEN AVE 32FT WS LINDEN LOT 343"</f>
        <v>ABERDEEN AVE 32FT WS LINDEN LOT 343</v>
      </c>
      <c r="D3446" s="1">
        <v>900.09</v>
      </c>
    </row>
    <row r="3447" spans="1:4" x14ac:dyDescent="0.3">
      <c r="A3447" s="1" t="str">
        <f>"01007140500"</f>
        <v>01007140500</v>
      </c>
      <c r="B3447" s="1" t="str">
        <f>"DERR JEFFREY D, DERR JAYNE"</f>
        <v>DERR JEFFREY D, DERR JAYNE</v>
      </c>
      <c r="C3447" s="1" t="str">
        <f>"500 RICHARDS RD DOMINION PARK LOT 93"</f>
        <v>500 RICHARDS RD DOMINION PARK LOT 93</v>
      </c>
      <c r="D3447" s="1">
        <v>294.36</v>
      </c>
    </row>
    <row r="3448" spans="1:4" x14ac:dyDescent="0.3">
      <c r="A3448" s="1" t="str">
        <f>"18000188900"</f>
        <v>18000188900</v>
      </c>
      <c r="B3448" s="1" t="str">
        <f>"DERVENIS MICHAEL"</f>
        <v>DERVENIS MICHAEL</v>
      </c>
      <c r="C3448" s="1" t="str">
        <f>"BENTLER DR BLACKLICK ESTATES 1 31"</f>
        <v>BENTLER DR BLACKLICK ESTATES 1 31</v>
      </c>
      <c r="D3448" s="1">
        <v>3865.21</v>
      </c>
    </row>
    <row r="3449" spans="1:4" x14ac:dyDescent="0.3">
      <c r="A3449" s="1" t="str">
        <f>"01007832500"</f>
        <v>01007832500</v>
      </c>
      <c r="B3449" s="1" t="str">
        <f>"DESANTO JOSEPH III, DESANTO ANGELA"</f>
        <v>DESANTO JOSEPH III, DESANTO ANGELA</v>
      </c>
      <c r="C3449" s="1" t="str">
        <f>"737-9 S TERRACE AVE WESTLAND EXTENSION LOT 350"</f>
        <v>737-9 S TERRACE AVE WESTLAND EXTENSION LOT 350</v>
      </c>
      <c r="D3449" s="1">
        <v>1886.28</v>
      </c>
    </row>
    <row r="3450" spans="1:4" x14ac:dyDescent="0.3">
      <c r="A3450" s="1" t="str">
        <f>"01009496000"</f>
        <v>01009496000</v>
      </c>
      <c r="B3450" s="1" t="str">
        <f>"DESKINS HAROLD R, DESKINS DARLENE J"</f>
        <v>DESKINS HAROLD R, DESKINS DARLENE J</v>
      </c>
      <c r="C3450" s="1" t="str">
        <f>"E5THAVE R22 T5 S23 0.356 ACRE"</f>
        <v>E5THAVE R22 T5 S23 0.356 ACRE</v>
      </c>
      <c r="D3450" s="1">
        <v>478.53</v>
      </c>
    </row>
    <row r="3451" spans="1:4" x14ac:dyDescent="0.3">
      <c r="A3451" s="1" t="str">
        <f>"09000361000"</f>
        <v>09000361000</v>
      </c>
      <c r="B3451" s="1" t="str">
        <f>"DESKINS JAMES E, DESKINS TERRI L"</f>
        <v>DESKINS JAMES E, DESKINS TERRI L</v>
      </c>
      <c r="C3451" s="1" t="str">
        <f>"REAR COUNTRY CLUB RD ACRES .16 R21 T12 SEC9-16 1/2SEC 25-12"</f>
        <v>REAR COUNTRY CLUB RD ACRES .16 R21 T12 SEC9-16 1/2SEC 25-12</v>
      </c>
      <c r="D3451" s="1">
        <v>188.5</v>
      </c>
    </row>
    <row r="3452" spans="1:4" x14ac:dyDescent="0.3">
      <c r="A3452" s="1" t="str">
        <f>"24000199100"</f>
        <v>24000199100</v>
      </c>
      <c r="B3452" s="1" t="str">
        <f>"DESKINS RYAN"</f>
        <v>DESKINS RYAN</v>
      </c>
      <c r="C3452" s="1" t="str">
        <f>"6345 ALKIRE RD ACRES .401 ENTRY 1436"</f>
        <v>6345 ALKIRE RD ACRES .401 ENTRY 1436</v>
      </c>
      <c r="D3452" s="1">
        <v>1798.37</v>
      </c>
    </row>
    <row r="3453" spans="1:4" x14ac:dyDescent="0.3">
      <c r="A3453" s="1" t="str">
        <f>"01007984900"</f>
        <v>01007984900</v>
      </c>
      <c r="B3453" s="1" t="str">
        <f>"DETHLOFF STEVEN L, DETHLOFF JANELLE E"</f>
        <v>DETHLOFF STEVEN L, DETHLOFF JANELLE E</v>
      </c>
      <c r="C3453" s="1" t="str">
        <f>"1628 MILFORD AVE KENMORE PK BLK4 LOT 8"</f>
        <v>1628 MILFORD AVE KENMORE PK BLK4 LOT 8</v>
      </c>
      <c r="D3453" s="1">
        <v>1882.42</v>
      </c>
    </row>
    <row r="3454" spans="1:4" x14ac:dyDescent="0.3">
      <c r="A3454" s="1" t="str">
        <f>"01012545000"</f>
        <v>01012545000</v>
      </c>
      <c r="B3454" s="1" t="str">
        <f>"DEVAKI PROPERTIES LLC"</f>
        <v>DEVAKI PROPERTIES LLC</v>
      </c>
      <c r="C3454" s="1" t="str">
        <f>"HUNTINGTON DR SOUTHFIELD SECOND ADD RESERVE D  .870 ACRES VACANT LOT"</f>
        <v>HUNTINGTON DR SOUTHFIELD SECOND ADD RESERVE D  .870 ACRES VACANT LOT</v>
      </c>
      <c r="D3454" s="1">
        <v>750.37</v>
      </c>
    </row>
    <row r="3455" spans="1:4" x14ac:dyDescent="0.3">
      <c r="A3455" s="1" t="str">
        <f>"05000259200"</f>
        <v>05000259200</v>
      </c>
      <c r="B3455" s="1" t="str">
        <f>"DEVICTOR ROBERT A"</f>
        <v>DEVICTOR ROBERT A</v>
      </c>
      <c r="C3455" s="1" t="str">
        <f>"4444 DARLEY COURT BEACON 2ND LOT 163"</f>
        <v>4444 DARLEY COURT BEACON 2ND LOT 163</v>
      </c>
      <c r="D3455" s="1">
        <v>2042.72</v>
      </c>
    </row>
    <row r="3456" spans="1:4" x14ac:dyDescent="0.3">
      <c r="A3456" s="1" t="str">
        <f>"10000027300"</f>
        <v>10000027300</v>
      </c>
      <c r="B3456" s="1" t="str">
        <f>"DEVILLE JEFFREY H"</f>
        <v>DEVILLE JEFFREY H</v>
      </c>
      <c r="C3456" s="1" t="str">
        <f>"132 GRANVILLE RD PT LOT 1 GRISWOLDS EAST SIDE ADDN"</f>
        <v>132 GRANVILLE RD PT LOT 1 GRISWOLDS EAST SIDE ADDN</v>
      </c>
      <c r="D3456" s="1">
        <v>446.59</v>
      </c>
    </row>
    <row r="3457" spans="1:4" x14ac:dyDescent="0.3">
      <c r="A3457" s="1" t="str">
        <f>"01011306700"</f>
        <v>01011306700</v>
      </c>
      <c r="B3457" s="1" t="str">
        <f>"DEVINNEY TYLER"</f>
        <v>DEVINNEY TYLER</v>
      </c>
      <c r="C3457" s="1" t="str">
        <f>"DERING AVE S HIGH ST LOT 136"</f>
        <v>DERING AVE S HIGH ST LOT 136</v>
      </c>
      <c r="D3457" s="1">
        <v>1850.57</v>
      </c>
    </row>
    <row r="3458" spans="1:4" x14ac:dyDescent="0.3">
      <c r="A3458" s="1" t="str">
        <f>"01001414500"</f>
        <v>01001414500</v>
      </c>
      <c r="B3458" s="1" t="str">
        <f>"DEVLIN JOSEPHINE"</f>
        <v>DEVLIN JOSEPHINE</v>
      </c>
      <c r="C3458" s="1" t="str">
        <f>"581 BULEN AVE BULENS FAIRWOOD PARK LOT 276"</f>
        <v>581 BULEN AVE BULENS FAIRWOOD PARK LOT 276</v>
      </c>
      <c r="D3458" s="1">
        <v>1781.16</v>
      </c>
    </row>
    <row r="3459" spans="1:4" x14ac:dyDescent="0.3">
      <c r="A3459" s="1" t="str">
        <f>"01001200500"</f>
        <v>01001200500</v>
      </c>
      <c r="B3459" s="1" t="str">
        <f>"DEVORE REAL ESTATE LLC"</f>
        <v>DEVORE REAL ESTATE LLC</v>
      </c>
      <c r="C3459" s="1" t="str">
        <f>"688-690 E 4TH AVE M KINGERY HRS PT LOT 50 ALL 51"</f>
        <v>688-690 E 4TH AVE M KINGERY HRS PT LOT 50 ALL 51</v>
      </c>
      <c r="D3459" s="1">
        <v>67.23</v>
      </c>
    </row>
    <row r="3460" spans="1:4" x14ac:dyDescent="0.3">
      <c r="A3460" s="1" t="str">
        <f>"01000907900"</f>
        <v>01000907900</v>
      </c>
      <c r="B3460" s="1" t="str">
        <f>"DEVORE SHIRLEY ANN, DEVORE MICHAEL E"</f>
        <v>DEVORE SHIRLEY ANN, DEVORE MICHAEL E</v>
      </c>
      <c r="C3460" s="1" t="str">
        <f>"64 SCHULTZ AVENUE BELMONT LOT 114"</f>
        <v>64 SCHULTZ AVENUE BELMONT LOT 114</v>
      </c>
      <c r="D3460" s="1">
        <v>966.39</v>
      </c>
    </row>
    <row r="3461" spans="1:4" x14ac:dyDescent="0.3">
      <c r="A3461" s="1" t="str">
        <f>"03000170700"</f>
        <v>03000170700</v>
      </c>
      <c r="B3461" s="1" t="str">
        <f>"DEVRIJER LEONARD G"</f>
        <v>DEVRIJER LEONARD G</v>
      </c>
      <c r="C3461" s="1" t="str">
        <f>"1184 WILLARD AVE NORTHWEST BLVD 3 LOT 184"</f>
        <v>1184 WILLARD AVE NORTHWEST BLVD 3 LOT 184</v>
      </c>
      <c r="D3461" s="1">
        <v>1170.57</v>
      </c>
    </row>
    <row r="3462" spans="1:4" x14ac:dyDescent="0.3">
      <c r="A3462" s="1" t="str">
        <f>"04000411800"</f>
        <v>04000411800</v>
      </c>
      <c r="B3462" s="1" t="str">
        <f>"DEW RODNEY W, DEW ROSALIE"</f>
        <v>DEW RODNEY W, DEW ROSALIE</v>
      </c>
      <c r="C3462" s="1" t="str">
        <f>"2559 MCDONALD COURT HIGHLAND PARK NO 1 LOT 72"</f>
        <v>2559 MCDONALD COURT HIGHLAND PARK NO 1 LOT 72</v>
      </c>
      <c r="D3462" s="1">
        <v>208.27</v>
      </c>
    </row>
    <row r="3463" spans="1:4" x14ac:dyDescent="0.3">
      <c r="A3463" s="1" t="str">
        <f>"07000424300"</f>
        <v>07000424300</v>
      </c>
      <c r="B3463" s="1" t="str">
        <f>"DEWALD ARIC B, DEWALD KOURTNEY J"</f>
        <v>DEWALD ARIC B, DEWALD KOURTNEY J</v>
      </c>
      <c r="C3463" s="1" t="str">
        <f>"FARLEIGH RD ALL L12&amp; 12.2FT WS13 MOUNTVIEW PL BLK 257"</f>
        <v>FARLEIGH RD ALL L12&amp; 12.2FT WS13 MOUNTVIEW PL BLK 257</v>
      </c>
      <c r="D3463" s="1">
        <v>810.52</v>
      </c>
    </row>
    <row r="3464" spans="1:4" x14ac:dyDescent="0.3">
      <c r="A3464" s="1" t="str">
        <f>"16100088300"</f>
        <v>16100088300</v>
      </c>
      <c r="B3464" s="1" t="str">
        <f>"DEWBERRY WILLIE G"</f>
        <v>DEWBERRY WILLIE G</v>
      </c>
      <c r="C3464" s="1" t="str">
        <f>"WALNUT ST 11 BLK 8 URBANCREST"</f>
        <v>WALNUT ST 11 BLK 8 URBANCREST</v>
      </c>
      <c r="D3464" s="1">
        <v>218.94</v>
      </c>
    </row>
    <row r="3465" spans="1:4" x14ac:dyDescent="0.3">
      <c r="A3465" s="1" t="str">
        <f>"25415189200"</f>
        <v>25415189200</v>
      </c>
      <c r="B3465" s="1" t="str">
        <f>"DEWITT PETER J, DEWITT BETH B"</f>
        <v>DEWITT PETER J, DEWITT BETH B</v>
      </c>
      <c r="C3465" s="1" t="str">
        <f>"CLOVER DR SHARON HILLS 2 LOT 27"</f>
        <v>CLOVER DR SHARON HILLS 2 LOT 27</v>
      </c>
      <c r="D3465" s="1">
        <v>367.75</v>
      </c>
    </row>
    <row r="3466" spans="1:4" x14ac:dyDescent="0.3">
      <c r="A3466" s="1" t="str">
        <f>"57021082800"</f>
        <v>57021082800</v>
      </c>
      <c r="B3466" s="1" t="str">
        <f>"DEWOLF PROPERTIES IIC"</f>
        <v>DEWOLF PROPERTIES IIC</v>
      </c>
      <c r="C3466" s="1" t="str">
        <f>"COL-WEST INDUSTRIAL PARK 3.840 ACRES LOT 5"</f>
        <v>COL-WEST INDUSTRIAL PARK 3.840 ACRES LOT 5</v>
      </c>
      <c r="D3466" s="1">
        <v>14747.14</v>
      </c>
    </row>
    <row r="3467" spans="1:4" x14ac:dyDescent="0.3">
      <c r="A3467" s="1" t="str">
        <f>"22200419600"</f>
        <v>22200419600</v>
      </c>
      <c r="B3467" s="1" t="str">
        <f>"DEZALOVSKY DOR, DEZALOVSKY ASHANTE"</f>
        <v>DEZALOVSKY DOR, DEZALOVSKY ASHANTE</v>
      </c>
      <c r="C3467" s="1" t="str">
        <f>"7407 NEW ALBANY LINKS DR NEW ALBANY LINKS SECTION 13 PART 1 LOT 487"</f>
        <v>7407 NEW ALBANY LINKS DR NEW ALBANY LINKS SECTION 13 PART 1 LOT 487</v>
      </c>
      <c r="D3467" s="1">
        <v>10145.209999999999</v>
      </c>
    </row>
    <row r="3468" spans="1:4" x14ac:dyDescent="0.3">
      <c r="A3468" s="1" t="str">
        <f>"52014650800"</f>
        <v>52014650800</v>
      </c>
      <c r="B3468" s="1" t="str">
        <f>"DEZALOVSKY INVESTMENTS LLC"</f>
        <v>DEZALOVSKY INVESTMENTS LLC</v>
      </c>
      <c r="C3468" s="1" t="str">
        <f>"STELZER RD PAR 1 URP 0.4899 ACRE"</f>
        <v>STELZER RD PAR 1 URP 0.4899 ACRE</v>
      </c>
      <c r="D3468" s="1">
        <v>2339.25</v>
      </c>
    </row>
    <row r="3469" spans="1:4" x14ac:dyDescent="0.3">
      <c r="A3469" s="1" t="str">
        <f>"22200313100"</f>
        <v>22200313100</v>
      </c>
      <c r="B3469" s="1" t="str">
        <f>"DFB LLC"</f>
        <v>DFB LLC</v>
      </c>
      <c r="C3469" s="1" t="str">
        <f>"KESWICK CONDOMINIUM UNIT 1"</f>
        <v>KESWICK CONDOMINIUM UNIT 1</v>
      </c>
      <c r="D3469" s="1">
        <v>10208.030000000001</v>
      </c>
    </row>
    <row r="3470" spans="1:4" x14ac:dyDescent="0.3">
      <c r="A3470" s="1" t="str">
        <f>"01099934300"</f>
        <v>01099934300</v>
      </c>
      <c r="B3470" s="1" t="str">
        <f>"DG HARVEST 2023 LLC"</f>
        <v>DG HARVEST 2023 LLC</v>
      </c>
      <c r="C3470" s="1" t="str">
        <f>"  "</f>
        <v xml:space="preserve">  </v>
      </c>
      <c r="D3470" s="1">
        <v>64840.86</v>
      </c>
    </row>
    <row r="3471" spans="1:4" x14ac:dyDescent="0.3">
      <c r="A3471" s="1" t="str">
        <f>"01028578600"</f>
        <v>01028578600</v>
      </c>
      <c r="B3471" s="1" t="str">
        <f>"DGCINELI PROPERTIES LLC"</f>
        <v>DGCINELI PROPERTIES LLC</v>
      </c>
      <c r="C3471" s="1" t="str">
        <f>"5833 IVY BRANCH DRIVE     HAYDENS CROSSING          SECTION 6 PART 2 LOT 357 "</f>
        <v xml:space="preserve">5833 IVY BRANCH DRIVE     HAYDENS CROSSING          SECTION 6 PART 2 LOT 357 </v>
      </c>
      <c r="D3471" s="1">
        <v>242</v>
      </c>
    </row>
    <row r="3472" spans="1:4" x14ac:dyDescent="0.3">
      <c r="A3472" s="1" t="str">
        <f>"11000277700"</f>
        <v>11000277700</v>
      </c>
      <c r="B3472" s="1" t="str">
        <f>"DHAGANE BISHAR A, NOOR BERLIN ARAB"</f>
        <v>DHAGANE BISHAR A, NOOR BERLIN ARAB</v>
      </c>
      <c r="C3472" s="1" t="str">
        <f>"CLYBOURNE ROAD BELMONT PLACE AMD 52"</f>
        <v>CLYBOURNE ROAD BELMONT PLACE AMD 52</v>
      </c>
      <c r="D3472" s="1">
        <v>432</v>
      </c>
    </row>
    <row r="3473" spans="1:4" x14ac:dyDescent="0.3">
      <c r="A3473" s="1" t="str">
        <f>"17000412800"</f>
        <v>17000412800</v>
      </c>
      <c r="B3473" s="1" t="str">
        <f>"DHALIWAL HARPREET"</f>
        <v>DHALIWAL HARPREET</v>
      </c>
      <c r="C3473" s="1" t="str">
        <f>"PADDOCK RESERVE LOT 21 "</f>
        <v xml:space="preserve">PADDOCK RESERVE LOT 21 </v>
      </c>
      <c r="D3473" s="1">
        <v>6256.5</v>
      </c>
    </row>
    <row r="3474" spans="1:4" x14ac:dyDescent="0.3">
      <c r="A3474" s="1" t="str">
        <f>"27301089300"</f>
        <v>27301089300</v>
      </c>
      <c r="B3474" s="1" t="str">
        <f>"DHANKANI SUSHIL K, DHANKANI ALKA"</f>
        <v>DHANKANI SUSHIL K, DHANKANI ALKA</v>
      </c>
      <c r="C3474" s="1" t="str">
        <f>"WESTON CIRCLE WEST WESTBURY SECTION 7 LOT 261"</f>
        <v>WESTON CIRCLE WEST WESTBURY SECTION 7 LOT 261</v>
      </c>
      <c r="D3474" s="1">
        <v>6848.64</v>
      </c>
    </row>
    <row r="3475" spans="1:4" x14ac:dyDescent="0.3">
      <c r="A3475" s="1" t="str">
        <f>"01003014700"</f>
        <v>01003014700</v>
      </c>
      <c r="B3475" s="1" t="str">
        <f>"DHARMA PROPERTY HOLDINGS LLC"</f>
        <v>DHARMA PROPERTY HOLDINGS LLC</v>
      </c>
      <c r="C3475" s="1" t="str">
        <f>"255 S HARRIS AVE WICKLOW EX LOT 676"</f>
        <v>255 S HARRIS AVE WICKLOW EX LOT 676</v>
      </c>
      <c r="D3475" s="1">
        <v>1226.17</v>
      </c>
    </row>
    <row r="3476" spans="1:4" x14ac:dyDescent="0.3">
      <c r="A3476" s="1" t="str">
        <f>"01006869200"</f>
        <v>01006869200</v>
      </c>
      <c r="B3476" s="1" t="str">
        <f>"DHEEL BILLY"</f>
        <v>DHEEL BILLY</v>
      </c>
      <c r="C3476" s="1" t="str">
        <f>"695 S HAGUE AVE WILSHIRE HTS LOT 12  BLK 15"</f>
        <v>695 S HAGUE AVE WILSHIRE HTS LOT 12  BLK 15</v>
      </c>
      <c r="D3476" s="1">
        <v>1114.28</v>
      </c>
    </row>
    <row r="3477" spans="1:4" x14ac:dyDescent="0.3">
      <c r="A3477" s="1" t="str">
        <f>"52027813100"</f>
        <v>52027813100</v>
      </c>
      <c r="B3477" s="1" t="str">
        <f>"DHITAL LLC"</f>
        <v>DHITAL LLC</v>
      </c>
      <c r="C3477" s="1" t="str">
        <f>"6072 STOCKTON TRAIL WAY   LAKES AT TAYLOR STATION   SECTION 1 LOT 1          "</f>
        <v xml:space="preserve">6072 STOCKTON TRAIL WAY   LAKES AT TAYLOR STATION   SECTION 1 LOT 1          </v>
      </c>
      <c r="D3477" s="1">
        <v>6428.66</v>
      </c>
    </row>
    <row r="3478" spans="1:4" x14ac:dyDescent="0.3">
      <c r="A3478" s="1" t="str">
        <f>"51527390300"</f>
        <v>51527390300</v>
      </c>
      <c r="B3478" s="1" t="str">
        <f>"DHITAL LLC"</f>
        <v>DHITAL LLC</v>
      </c>
      <c r="C3478" s="1" t="str">
        <f>"MAISCH STREET CEDAR RUN SECTION 2 LOT 232"</f>
        <v>MAISCH STREET CEDAR RUN SECTION 2 LOT 232</v>
      </c>
      <c r="D3478" s="1">
        <v>8239.6200000000008</v>
      </c>
    </row>
    <row r="3479" spans="1:4" x14ac:dyDescent="0.3">
      <c r="A3479" s="1" t="str">
        <f>"17527772700"</f>
        <v>17527772700</v>
      </c>
      <c r="B3479" s="1" t="str">
        <f>"DHUNGEL KRISHNA, MONTEIGAS DAVID"</f>
        <v>DHUNGEL KRISHNA, MONTEIGAS DAVID</v>
      </c>
      <c r="C3479" s="1" t="str">
        <f>"7781 HAZELTON STREET DORCHESTER SECTION 3 LOT 71"</f>
        <v>7781 HAZELTON STREET DORCHESTER SECTION 3 LOT 71</v>
      </c>
      <c r="D3479" s="1">
        <v>3624.28</v>
      </c>
    </row>
    <row r="3480" spans="1:4" x14ac:dyDescent="0.3">
      <c r="A3480" s="1" t="str">
        <f>"01005987300"</f>
        <v>01005987300</v>
      </c>
      <c r="B3480" s="1" t="str">
        <f>"DIAKITE ALOUSSENY"</f>
        <v>DIAKITE ALOUSSENY</v>
      </c>
      <c r="C3480" s="1" t="str">
        <f>"WALDON LOT 1 "</f>
        <v xml:space="preserve">WALDON LOT 1 </v>
      </c>
      <c r="D3480" s="1">
        <v>2164.2199999999998</v>
      </c>
    </row>
    <row r="3481" spans="1:4" x14ac:dyDescent="0.3">
      <c r="A3481" s="1" t="str">
        <f>"01025599700"</f>
        <v>01025599700</v>
      </c>
      <c r="B3481" s="1" t="str">
        <f>"DIALLO AMADOU"</f>
        <v>DIALLO AMADOU</v>
      </c>
      <c r="C3481" s="1" t="str">
        <f>"BRICE GREEN CONDOMINIUM 5TH AMD UNIT 14G"</f>
        <v>BRICE GREEN CONDOMINIUM 5TH AMD UNIT 14G</v>
      </c>
      <c r="D3481" s="1">
        <v>1332.01</v>
      </c>
    </row>
    <row r="3482" spans="1:4" x14ac:dyDescent="0.3">
      <c r="A3482" s="1" t="str">
        <f>"01013839900"</f>
        <v>01013839900</v>
      </c>
      <c r="B3482" s="1" t="str">
        <f>"DIALLO AMADOU"</f>
        <v>DIALLO AMADOU</v>
      </c>
      <c r="C3482" s="1" t="str">
        <f>"GAYLORD PLC GLENBROOK SEC 2 LOT 315"</f>
        <v>GAYLORD PLC GLENBROOK SEC 2 LOT 315</v>
      </c>
      <c r="D3482" s="1">
        <v>1480.68</v>
      </c>
    </row>
    <row r="3483" spans="1:4" x14ac:dyDescent="0.3">
      <c r="A3483" s="1" t="str">
        <f>"01015059000"</f>
        <v>01015059000</v>
      </c>
      <c r="B3483" s="1" t="str">
        <f>"DIALLO AMADOU, DIALLO MARIAMA"</f>
        <v>DIALLO AMADOU, DIALLO MARIAMA</v>
      </c>
      <c r="C3483" s="1" t="str">
        <f>"AVALON AVE FOREST PARK E SEC 8 LOT 686"</f>
        <v>AVALON AVE FOREST PARK E SEC 8 LOT 686</v>
      </c>
      <c r="D3483" s="1">
        <v>1793.88</v>
      </c>
    </row>
    <row r="3484" spans="1:4" x14ac:dyDescent="0.3">
      <c r="A3484" s="1" t="str">
        <f>"01014482800"</f>
        <v>01014482800</v>
      </c>
      <c r="B3484" s="1" t="str">
        <f>"DIALLO MAHMUD TTEE"</f>
        <v>DIALLO MAHMUD TTEE</v>
      </c>
      <c r="C3484" s="1" t="str">
        <f>"SUGARMAPLE DR FOREST PK E SEC 2 LOT 146"</f>
        <v>SUGARMAPLE DR FOREST PK E SEC 2 LOT 146</v>
      </c>
      <c r="D3484" s="1">
        <v>2452.89</v>
      </c>
    </row>
    <row r="3485" spans="1:4" x14ac:dyDescent="0.3">
      <c r="A3485" s="1" t="str">
        <f>"01025704500"</f>
        <v>01025704500</v>
      </c>
      <c r="B3485" s="1" t="str">
        <f>"DIALLO OUREYRATA"</f>
        <v>DIALLO OUREYRATA</v>
      </c>
      <c r="C3485" s="1" t="str">
        <f>"BRICE GREEN CONDOMINIUM 6TH AMD UNIT 15E"</f>
        <v>BRICE GREEN CONDOMINIUM 6TH AMD UNIT 15E</v>
      </c>
      <c r="D3485" s="1">
        <v>1185.53</v>
      </c>
    </row>
    <row r="3486" spans="1:4" x14ac:dyDescent="0.3">
      <c r="A3486" s="1" t="str">
        <f>"01000754100"</f>
        <v>01000754100</v>
      </c>
      <c r="B3486" s="1" t="str">
        <f>"DIAMOND LEE"</f>
        <v>DIAMOND LEE</v>
      </c>
      <c r="C3486" s="1" t="str">
        <f>"84 OGDEN AVE WICKLOW LOTS 32 &amp; 33"</f>
        <v>84 OGDEN AVE WICKLOW LOTS 32 &amp; 33</v>
      </c>
      <c r="D3486" s="1">
        <v>1097.6600000000001</v>
      </c>
    </row>
    <row r="3487" spans="1:4" x14ac:dyDescent="0.3">
      <c r="A3487" s="1" t="str">
        <f>"01017126500"</f>
        <v>01017126500</v>
      </c>
      <c r="B3487" s="1" t="str">
        <f>"DIAMOND PROPERTY SERVICES LLC"</f>
        <v>DIAMOND PROPERTY SERVICES LLC</v>
      </c>
      <c r="C3487" s="1" t="str">
        <f>"CHATEAU MORSE CONDO LOT 4378 "</f>
        <v xml:space="preserve">CHATEAU MORSE CONDO LOT 4378 </v>
      </c>
      <c r="D3487" s="1">
        <v>1355.7</v>
      </c>
    </row>
    <row r="3488" spans="1:4" x14ac:dyDescent="0.3">
      <c r="A3488" s="1" t="str">
        <f>"01017118700"</f>
        <v>01017118700</v>
      </c>
      <c r="B3488" s="1" t="str">
        <f>"DIAMOND PROPERTY SERVICES LLC"</f>
        <v>DIAMOND PROPERTY SERVICES LLC</v>
      </c>
      <c r="C3488" s="1" t="str">
        <f>"CHATEAU MORSE CONDO LOT 3192 "</f>
        <v xml:space="preserve">CHATEAU MORSE CONDO LOT 3192 </v>
      </c>
      <c r="D3488" s="1">
        <v>1162.4100000000001</v>
      </c>
    </row>
    <row r="3489" spans="1:4" x14ac:dyDescent="0.3">
      <c r="A3489" s="1" t="str">
        <f>"01017121700"</f>
        <v>01017121700</v>
      </c>
      <c r="B3489" s="1" t="str">
        <f>"DIAMOND PROPERTY SERVICES LLC"</f>
        <v>DIAMOND PROPERTY SERVICES LLC</v>
      </c>
      <c r="C3489" s="1" t="str">
        <f>"CHATEAU MORSE CONDO LOT 3224 "</f>
        <v xml:space="preserve">CHATEAU MORSE CONDO LOT 3224 </v>
      </c>
      <c r="D3489" s="1">
        <v>1355.7</v>
      </c>
    </row>
    <row r="3490" spans="1:4" x14ac:dyDescent="0.3">
      <c r="A3490" s="1" t="str">
        <f>"01009066400"</f>
        <v>01009066400</v>
      </c>
      <c r="B3490" s="1" t="str">
        <f>"DIAMOND REALTY PLUS LLC"</f>
        <v>DIAMOND REALTY PLUS LLC</v>
      </c>
      <c r="C3490" s="1" t="str">
        <f>"ELBERN AVE EASTMOOR LOT 79 "</f>
        <v xml:space="preserve">ELBERN AVE EASTMOOR LOT 79 </v>
      </c>
      <c r="D3490" s="1">
        <v>7176.99</v>
      </c>
    </row>
    <row r="3491" spans="1:4" x14ac:dyDescent="0.3">
      <c r="A3491" s="1" t="str">
        <f>"09000417800"</f>
        <v>09000417800</v>
      </c>
      <c r="B3491" s="1" t="str">
        <f>"DIAZ ALTAGRACIA"</f>
        <v>DIAZ ALTAGRACIA</v>
      </c>
      <c r="C3491" s="1" t="str">
        <f>"852 ELAINE RD PT LOT 382 GLENCOE "</f>
        <v xml:space="preserve">852 ELAINE RD PT LOT 382 GLENCOE </v>
      </c>
      <c r="D3491" s="1">
        <v>939.11</v>
      </c>
    </row>
    <row r="3492" spans="1:4" x14ac:dyDescent="0.3">
      <c r="A3492" s="1" t="str">
        <f>"01016184600"</f>
        <v>01016184600</v>
      </c>
      <c r="B3492" s="1" t="str">
        <f>"DIAZ CEDILLO VICTOR HUGO"</f>
        <v>DIAZ CEDILLO VICTOR HUGO</v>
      </c>
      <c r="C3492" s="1" t="str">
        <f>"IPSWICK CIRCLE FRAMINGHAM LOT 20"</f>
        <v>IPSWICK CIRCLE FRAMINGHAM LOT 20</v>
      </c>
      <c r="D3492" s="1">
        <v>135.99</v>
      </c>
    </row>
    <row r="3493" spans="1:4" x14ac:dyDescent="0.3">
      <c r="A3493" s="1" t="str">
        <f>"01005289500"</f>
        <v>01005289500</v>
      </c>
      <c r="B3493" s="1" t="str">
        <f>"DIAZ HERNANDEZ JOSE M, AGUILAR CUEVAS LAURA P"</f>
        <v>DIAZ HERNANDEZ JOSE M, AGUILAR CUEVAS LAURA P</v>
      </c>
      <c r="C3493" s="1" t="str">
        <f>"2035 FAIRMONT AVE GLENWOOD HTS LOT 70"</f>
        <v>2035 FAIRMONT AVE GLENWOOD HTS LOT 70</v>
      </c>
      <c r="D3493" s="1">
        <v>1923.86</v>
      </c>
    </row>
    <row r="3494" spans="1:4" x14ac:dyDescent="0.3">
      <c r="A3494" s="1" t="str">
        <f>"01013469200"</f>
        <v>01013469200</v>
      </c>
      <c r="B3494" s="1" t="str">
        <f>"DIAZ MARDELIN E TTEE"</f>
        <v>DIAZ MARDELIN E TTEE</v>
      </c>
      <c r="C3494" s="1" t="str">
        <f>"BAGLEY RD PINE HILLS 3 LOT 576"</f>
        <v>BAGLEY RD PINE HILLS 3 LOT 576</v>
      </c>
      <c r="D3494" s="1">
        <v>1274.6600000000001</v>
      </c>
    </row>
    <row r="3495" spans="1:4" x14ac:dyDescent="0.3">
      <c r="A3495" s="1" t="str">
        <f>"01010624800"</f>
        <v>01010624800</v>
      </c>
      <c r="B3495" s="1" t="str">
        <f>"DIAZZA-NRD LLC"</f>
        <v>DIAZZA-NRD LLC</v>
      </c>
      <c r="C3495" s="1" t="str">
        <f>"SIMPSON DR LEA-WOOD GARDENS LOT 147"</f>
        <v>SIMPSON DR LEA-WOOD GARDENS LOT 147</v>
      </c>
      <c r="D3495" s="1">
        <v>1632.44</v>
      </c>
    </row>
    <row r="3496" spans="1:4" x14ac:dyDescent="0.3">
      <c r="A3496" s="1" t="str">
        <f>"01005894100"</f>
        <v>01005894100</v>
      </c>
      <c r="B3496" s="1" t="str">
        <f>"DIBERT JAMES D, DIBERT KAREN J"</f>
        <v>DIBERT JAMES D, DIBERT KAREN J</v>
      </c>
      <c r="C3496" s="1" t="str">
        <f>"157 NORTHMOOR PL NORTHMOOR LOT 255"</f>
        <v>157 NORTHMOOR PL NORTHMOOR LOT 255</v>
      </c>
      <c r="D3496" s="1">
        <v>364.13</v>
      </c>
    </row>
    <row r="3497" spans="1:4" x14ac:dyDescent="0.3">
      <c r="A3497" s="1" t="str">
        <f>"59023185500"</f>
        <v>59023185500</v>
      </c>
      <c r="B3497" s="1" t="str">
        <f>"DICK CAROLYN J TTEE, GRAVES HEATHER M TTEE"</f>
        <v>DICK CAROLYN J TTEE, GRAVES HEATHER M TTEE</v>
      </c>
      <c r="C3497" s="1" t="str">
        <f>"DUBLIN GREEN CONDOMINIUM 2ND AMD UNIT 6823-102"</f>
        <v>DUBLIN GREEN CONDOMINIUM 2ND AMD UNIT 6823-102</v>
      </c>
      <c r="D3497" s="1">
        <v>300.83</v>
      </c>
    </row>
    <row r="3498" spans="1:4" x14ac:dyDescent="0.3">
      <c r="A3498" s="1" t="str">
        <f>"15300017700"</f>
        <v>15300017700</v>
      </c>
      <c r="B3498" s="1" t="str">
        <f>"DICKENSHEETS DAVID A"</f>
        <v>DICKENSHEETS DAVID A</v>
      </c>
      <c r="C3498" s="1" t="str">
        <f>"LINDSAY RD URP 60-61 0.4022 AC"</f>
        <v>LINDSAY RD URP 60-61 0.4022 AC</v>
      </c>
      <c r="D3498" s="1">
        <v>209.85</v>
      </c>
    </row>
    <row r="3499" spans="1:4" x14ac:dyDescent="0.3">
      <c r="A3499" s="1" t="str">
        <f>"01005222900"</f>
        <v>01005222900</v>
      </c>
      <c r="B3499" s="1" t="str">
        <f>"DICKERSON DRAKE W"</f>
        <v>DICKERSON DRAKE W</v>
      </c>
      <c r="C3499" s="1" t="str">
        <f>"47 MIAMI AVE HAYDEN BROWN &amp; BAKER LOT 6-7"</f>
        <v>47 MIAMI AVE HAYDEN BROWN &amp; BAKER LOT 6-7</v>
      </c>
      <c r="D3499" s="1">
        <v>1492.41</v>
      </c>
    </row>
    <row r="3500" spans="1:4" x14ac:dyDescent="0.3">
      <c r="A3500" s="1" t="str">
        <f>"01021307000"</f>
        <v>01021307000</v>
      </c>
      <c r="B3500" s="1" t="str">
        <f>"DICKERSON JOHN D, DICKERSON ANN T"</f>
        <v>DICKERSON JOHN D, DICKERSON ANN T</v>
      </c>
      <c r="C3500" s="1" t="str">
        <f>"KATHERINES WOOD DR KATHERINES WOOD LOT 52"</f>
        <v>KATHERINES WOOD DR KATHERINES WOOD LOT 52</v>
      </c>
      <c r="D3500" s="1">
        <v>361.95</v>
      </c>
    </row>
    <row r="3501" spans="1:4" x14ac:dyDescent="0.3">
      <c r="A3501" s="1" t="str">
        <f>"01003332700"</f>
        <v>01003332700</v>
      </c>
      <c r="B3501" s="1" t="str">
        <f>"DICKERSON TANGELA"</f>
        <v>DICKERSON TANGELA</v>
      </c>
      <c r="C3501" s="1" t="str">
        <f>"SQ E OF ROSEWOOD AVE ST MARYS GATE LOT 25"</f>
        <v>SQ E OF ROSEWOOD AVE ST MARYS GATE LOT 25</v>
      </c>
      <c r="D3501" s="1">
        <v>342.72</v>
      </c>
    </row>
    <row r="3502" spans="1:4" x14ac:dyDescent="0.3">
      <c r="A3502" s="1" t="str">
        <f>"01026625300"</f>
        <v>01026625300</v>
      </c>
      <c r="B3502" s="1" t="str">
        <f>"DICKSON BRIAN, DICKSON KIMBERLY"</f>
        <v>DICKSON BRIAN, DICKSON KIMBERLY</v>
      </c>
      <c r="C3502" s="1" t="str">
        <f>"NEW ALBANY PARK           CONDOMINIUM 1ST AMD       BLDG 18 UNIT 18-5857     "</f>
        <v xml:space="preserve">NEW ALBANY PARK           CONDOMINIUM 1ST AMD       BLDG 18 UNIT 18-5857     </v>
      </c>
      <c r="D3502" s="1">
        <v>2186.08</v>
      </c>
    </row>
    <row r="3503" spans="1:4" x14ac:dyDescent="0.3">
      <c r="A3503" s="1" t="str">
        <f>"01028630200"</f>
        <v>01028630200</v>
      </c>
      <c r="B3503" s="1" t="str">
        <f>"DICKSON MARGARET L, DICKSON JOHN D"</f>
        <v>DICKSON MARGARET L, DICKSON JOHN D</v>
      </c>
      <c r="C3503" s="1" t="str">
        <f>"THE METROPOLITAN CONDOMINIUM UNIT 304"</f>
        <v>THE METROPOLITAN CONDOMINIUM UNIT 304</v>
      </c>
      <c r="D3503" s="1">
        <v>332.4</v>
      </c>
    </row>
    <row r="3504" spans="1:4" x14ac:dyDescent="0.3">
      <c r="A3504" s="1" t="str">
        <f>"04000808400"</f>
        <v>04000808400</v>
      </c>
      <c r="B3504" s="1" t="str">
        <f>"DIEHL JOSEPH E"</f>
        <v>DIEHL JOSEPH E</v>
      </c>
      <c r="C3504" s="1" t="str">
        <f>"ZINER FARM LOT 16"</f>
        <v>ZINER FARM LOT 16</v>
      </c>
      <c r="D3504" s="1">
        <v>6592.88</v>
      </c>
    </row>
    <row r="3505" spans="1:4" x14ac:dyDescent="0.3">
      <c r="A3505" s="1" t="str">
        <f>"15000120400"</f>
        <v>15000120400</v>
      </c>
      <c r="B3505" s="1" t="str">
        <f>"DIETRICH KIMBERLY A"</f>
        <v>DIETRICH KIMBERLY A</v>
      </c>
      <c r="C3505" s="1" t="str">
        <f>"67 COTTAGE ST LOT 26 PT LOT 24 SHADEVILLE"</f>
        <v>67 COTTAGE ST LOT 26 PT LOT 24 SHADEVILLE</v>
      </c>
      <c r="D3505" s="1">
        <v>34.72</v>
      </c>
    </row>
    <row r="3506" spans="1:4" x14ac:dyDescent="0.3">
      <c r="A3506" s="1" t="str">
        <f>"01016178300"</f>
        <v>01016178300</v>
      </c>
      <c r="B3506" s="1" t="str">
        <f>"DIETZ BRIAN"</f>
        <v>DIETZ BRIAN</v>
      </c>
      <c r="C3506" s="1" t="str">
        <f>"5946 LISA ST BLENDON PK SEC 2 LOT 130"</f>
        <v>5946 LISA ST BLENDON PK SEC 2 LOT 130</v>
      </c>
      <c r="D3506" s="1">
        <v>4322.47</v>
      </c>
    </row>
    <row r="3507" spans="1:4" x14ac:dyDescent="0.3">
      <c r="A3507" s="1" t="str">
        <f>"59022892300"</f>
        <v>59022892300</v>
      </c>
      <c r="B3507" s="1" t="str">
        <f>"DIETZ CAROLYNN B TR"</f>
        <v>DIETZ CAROLYNN B TR</v>
      </c>
      <c r="C3507" s="1" t="str">
        <f>"LAKES AT BETHEL PARK CONDOMINIUM 1ST AMD BLDG 10 UNIT 5420"</f>
        <v>LAKES AT BETHEL PARK CONDOMINIUM 1ST AMD BLDG 10 UNIT 5420</v>
      </c>
      <c r="D3507" s="1">
        <v>283.18</v>
      </c>
    </row>
    <row r="3508" spans="1:4" x14ac:dyDescent="0.3">
      <c r="A3508" s="1" t="str">
        <f>"59022599200"</f>
        <v>59022599200</v>
      </c>
      <c r="B3508" s="1" t="str">
        <f>"DIETZ CAROLYNN B TR"</f>
        <v>DIETZ CAROLYNN B TR</v>
      </c>
      <c r="C3508" s="1" t="str">
        <f>"BETHEL COMMONS CONDOMINIUM 1ST AMD UNIT 19B"</f>
        <v>BETHEL COMMONS CONDOMINIUM 1ST AMD UNIT 19B</v>
      </c>
      <c r="D3508" s="1">
        <v>228.07</v>
      </c>
    </row>
    <row r="3509" spans="1:4" x14ac:dyDescent="0.3">
      <c r="A3509" s="1" t="str">
        <f>"27300896500"</f>
        <v>27300896500</v>
      </c>
      <c r="B3509" s="1" t="str">
        <f>"DIETZ THOMAS M"</f>
        <v>DIETZ THOMAS M</v>
      </c>
      <c r="C3509" s="1" t="str">
        <f>"VIL INVERNESS PROF OFFICE CONDO 1ST AMD UNIT 7215-D"</f>
        <v>VIL INVERNESS PROF OFFICE CONDO 1ST AMD UNIT 7215-D</v>
      </c>
      <c r="D3509" s="1">
        <v>1599.92</v>
      </c>
    </row>
    <row r="3510" spans="1:4" x14ac:dyDescent="0.3">
      <c r="A3510" s="1" t="str">
        <f>"01028226400"</f>
        <v>01028226400</v>
      </c>
      <c r="B3510" s="1" t="str">
        <f>"DIEZ FARM LLC"</f>
        <v>DIEZ FARM LLC</v>
      </c>
      <c r="C3510" s="1" t="str">
        <f>"WHITE OAK PARK CONDOMINIUM 7TH AMD BLDG 47 UNIT 47-4826"</f>
        <v>WHITE OAK PARK CONDOMINIUM 7TH AMD BLDG 47 UNIT 47-4826</v>
      </c>
      <c r="D3510" s="1">
        <v>122.06</v>
      </c>
    </row>
    <row r="3511" spans="1:4" x14ac:dyDescent="0.3">
      <c r="A3511" s="1" t="str">
        <f>"61019008100"</f>
        <v>61019008100</v>
      </c>
      <c r="B3511" s="1" t="str">
        <f>"DIFRANCO BRIAN C"</f>
        <v>DIFRANCO BRIAN C</v>
      </c>
      <c r="C3511" s="1" t="str">
        <f>"1635 PARK ROW DR PARK ROW COND TOWN 2 UNIT E"</f>
        <v>1635 PARK ROW DR PARK ROW COND TOWN 2 UNIT E</v>
      </c>
      <c r="D3511" s="1">
        <v>3660.22</v>
      </c>
    </row>
    <row r="3512" spans="1:4" x14ac:dyDescent="0.3">
      <c r="A3512" s="1" t="str">
        <f>"01025062700"</f>
        <v>01025062700</v>
      </c>
      <c r="B3512" s="1" t="str">
        <f>"DIGAF MOHAMED HUSSEN, ABDALLA MUNA IBRAHIM"</f>
        <v>DIGAF MOHAMED HUSSEN, ABDALLA MUNA IBRAHIM</v>
      </c>
      <c r="C3512" s="1" t="str">
        <f>"BRICE GREEN CONDOMINIUM 1ST AMD UNIT 7G"</f>
        <v>BRICE GREEN CONDOMINIUM 1ST AMD UNIT 7G</v>
      </c>
      <c r="D3512" s="1">
        <v>1228.8399999999999</v>
      </c>
    </row>
    <row r="3513" spans="1:4" x14ac:dyDescent="0.3">
      <c r="A3513" s="1" t="str">
        <f>"01006423400"</f>
        <v>01006423400</v>
      </c>
      <c r="B3513" s="1" t="str">
        <f>"DIGEORGE ALAN D"</f>
        <v>DIGEORGE ALAN D</v>
      </c>
      <c r="C3513" s="1" t="str">
        <f>"POWELL AVE CAMP CHASE HTS AMD LOTS 665-666"</f>
        <v>POWELL AVE CAMP CHASE HTS AMD LOTS 665-666</v>
      </c>
      <c r="D3513" s="1">
        <v>4479.34</v>
      </c>
    </row>
    <row r="3514" spans="1:4" x14ac:dyDescent="0.3">
      <c r="A3514" s="1" t="str">
        <f>"01004555200"</f>
        <v>01004555200</v>
      </c>
      <c r="B3514" s="1" t="str">
        <f>"DIGIANNANTONI HERMAN C JR"</f>
        <v>DIGIANNANTONI HERMAN C JR</v>
      </c>
      <c r="C3514" s="1" t="str">
        <f>"DENNISON SUMMIT PT LOT 98 "</f>
        <v xml:space="preserve">DENNISON SUMMIT PT LOT 98 </v>
      </c>
      <c r="D3514" s="1">
        <v>6132.55</v>
      </c>
    </row>
    <row r="3515" spans="1:4" x14ac:dyDescent="0.3">
      <c r="A3515" s="1" t="str">
        <f>"56022913800"</f>
        <v>56022913800</v>
      </c>
      <c r="B3515" s="1" t="str">
        <f>"DIGIORGIO INC"</f>
        <v>DIGIORGIO INC</v>
      </c>
      <c r="C3515" s="1" t="str">
        <f>"HILLIARD COMMONS CONDOMINIUM 4TH AMD UNIT 147A"</f>
        <v>HILLIARD COMMONS CONDOMINIUM 4TH AMD UNIT 147A</v>
      </c>
      <c r="D3515" s="1">
        <v>7.5</v>
      </c>
    </row>
    <row r="3516" spans="1:4" x14ac:dyDescent="0.3">
      <c r="A3516" s="1" t="str">
        <f>"54523170700"</f>
        <v>54523170700</v>
      </c>
      <c r="B3516" s="1" t="str">
        <f>"DIINI ABDIKANI S, OMAR NURO"</f>
        <v>DIINI ABDIKANI S, OMAR NURO</v>
      </c>
      <c r="C3516" s="1" t="str">
        <f>"GARNIER PL PRESTON COMMONS SEC1 LOT 37"</f>
        <v>GARNIER PL PRESTON COMMONS SEC1 LOT 37</v>
      </c>
      <c r="D3516" s="1">
        <v>4593.79</v>
      </c>
    </row>
    <row r="3517" spans="1:4" x14ac:dyDescent="0.3">
      <c r="A3517" s="1" t="str">
        <f>"53021097300"</f>
        <v>53021097300</v>
      </c>
      <c r="B3517" s="1" t="str">
        <f>"DIKAMBAEV SALAMAT, TUKITBAYEVA AIGUL"</f>
        <v>DIKAMBAEV SALAMAT, TUKITBAYEVA AIGUL</v>
      </c>
      <c r="C3517" s="1" t="str">
        <f>"OLD BEN LANE COUNTRYVIEW VILLAGE SEC 2 LOT 189"</f>
        <v>OLD BEN LANE COUNTRYVIEW VILLAGE SEC 2 LOT 189</v>
      </c>
      <c r="D3517" s="1">
        <v>2742.25</v>
      </c>
    </row>
    <row r="3518" spans="1:4" x14ac:dyDescent="0.3">
      <c r="A3518" s="1" t="str">
        <f>"01013371000"</f>
        <v>01013371000</v>
      </c>
      <c r="B3518" s="1" t="str">
        <f>"DILLARD ANGELA D"</f>
        <v>DILLARD ANGELA D</v>
      </c>
      <c r="C3518" s="1" t="str">
        <f>"YATES DR SOUTHFIELD 3 LOT 608"</f>
        <v>YATES DR SOUTHFIELD 3 LOT 608</v>
      </c>
      <c r="D3518" s="1">
        <v>113.33</v>
      </c>
    </row>
    <row r="3519" spans="1:4" x14ac:dyDescent="0.3">
      <c r="A3519" s="1" t="str">
        <f>"01013162400"</f>
        <v>01013162400</v>
      </c>
      <c r="B3519" s="1" t="str">
        <f>"DILLARD KYRA J"</f>
        <v>DILLARD KYRA J</v>
      </c>
      <c r="C3519" s="1" t="str">
        <f>"OMAR DR RADCLIFF LOT 68"</f>
        <v>OMAR DR RADCLIFF LOT 68</v>
      </c>
      <c r="D3519" s="1">
        <v>1954.62</v>
      </c>
    </row>
    <row r="3520" spans="1:4" x14ac:dyDescent="0.3">
      <c r="A3520" s="1" t="str">
        <f>"04000111200"</f>
        <v>04000111200</v>
      </c>
      <c r="B3520" s="1" t="str">
        <f>"DILLEN KIMBERLY I"</f>
        <v>DILLEN KIMBERLY I</v>
      </c>
      <c r="C3520" s="1" t="str">
        <f>"GUNDERMAN AVE ALL 12 &amp;12FT WS 13 GUNDERMN GROVE CITY ADDN 12-3"</f>
        <v>GUNDERMAN AVE ALL 12 &amp;12FT WS 13 GUNDERMN GROVE CITY ADDN 12-3</v>
      </c>
      <c r="D3520" s="1">
        <v>4229.29</v>
      </c>
    </row>
    <row r="3521" spans="1:4" x14ac:dyDescent="0.3">
      <c r="A3521" s="1" t="str">
        <f>"01011479700"</f>
        <v>01011479700</v>
      </c>
      <c r="B3521" s="1" t="str">
        <f>"DILLION MARGARET"</f>
        <v>DILLION MARGARET</v>
      </c>
      <c r="C3521" s="1" t="str">
        <f>"822 BELLEVIEW AVE R22 T4 S3 LTS 13-5=0.342 ACRE"</f>
        <v>822 BELLEVIEW AVE R22 T4 S3 LTS 13-5=0.342 ACRE</v>
      </c>
      <c r="D3521" s="1">
        <v>1654.05</v>
      </c>
    </row>
    <row r="3522" spans="1:4" x14ac:dyDescent="0.3">
      <c r="A3522" s="1" t="str">
        <f>"01028199500"</f>
        <v>01028199500</v>
      </c>
      <c r="B3522" s="1" t="str">
        <f>"DILLON EMMA JAYNE, DILLON L JEROME"</f>
        <v>DILLON EMMA JAYNE, DILLON L JEROME</v>
      </c>
      <c r="C3522" s="1" t="str">
        <f>"RESERVE AT PRESTON WOODS CONDOMINIUMS 3RD AMD BLDG 21 UNIT 6087"</f>
        <v>RESERVE AT PRESTON WOODS CONDOMINIUMS 3RD AMD BLDG 21 UNIT 6087</v>
      </c>
      <c r="D3522" s="1">
        <v>300</v>
      </c>
    </row>
    <row r="3523" spans="1:4" x14ac:dyDescent="0.3">
      <c r="A3523" s="1" t="str">
        <f>"01011479200"</f>
        <v>01011479200</v>
      </c>
      <c r="B3523" s="1" t="str">
        <f>"DILLON JAMES L, DILLON MARGARET M"</f>
        <v>DILLON JAMES L, DILLON MARGARET M</v>
      </c>
      <c r="C3523" s="1" t="str">
        <f>"BELLEVIEW AVE ACRES .202 R22 T4 S3 LOT 4"</f>
        <v>BELLEVIEW AVE ACRES .202 R22 T4 S3 LOT 4</v>
      </c>
      <c r="D3523" s="1">
        <v>1091.19</v>
      </c>
    </row>
    <row r="3524" spans="1:4" x14ac:dyDescent="0.3">
      <c r="A3524" s="1" t="str">
        <f>"21300186000"</f>
        <v>21300186000</v>
      </c>
      <c r="B3524" s="1" t="str">
        <f>"DILLON LISA"</f>
        <v>DILLON LISA</v>
      </c>
      <c r="C3524" s="1" t="str">
        <f>"BEECHLAKE DR WORTHINGTON HILLS 2 LOT 264"</f>
        <v>BEECHLAKE DR WORTHINGTON HILLS 2 LOT 264</v>
      </c>
      <c r="D3524" s="1">
        <v>555.11</v>
      </c>
    </row>
    <row r="3525" spans="1:4" x14ac:dyDescent="0.3">
      <c r="A3525" s="1" t="str">
        <f>"01011479000"</f>
        <v>01011479000</v>
      </c>
      <c r="B3525" s="1" t="str">
        <f>"DILLON MARGARET MAE"</f>
        <v>DILLON MARGARET MAE</v>
      </c>
      <c r="C3525" s="1" t="str">
        <f>"BELLEVIEW AVE ACRES .101 R22 T4 S3"</f>
        <v>BELLEVIEW AVE ACRES .101 R22 T4 S3</v>
      </c>
      <c r="D3525" s="1">
        <v>427.42</v>
      </c>
    </row>
    <row r="3526" spans="1:4" x14ac:dyDescent="0.3">
      <c r="A3526" s="1" t="str">
        <f>"01011479100"</f>
        <v>01011479100</v>
      </c>
      <c r="B3526" s="1" t="str">
        <f>"DILLON MARGARET MAE"</f>
        <v>DILLON MARGARET MAE</v>
      </c>
      <c r="C3526" s="1" t="str">
        <f>"BELLEVUE AVE LOT 3 URP "</f>
        <v xml:space="preserve">BELLEVUE AVE LOT 3 URP </v>
      </c>
      <c r="D3526" s="1">
        <v>2087.67</v>
      </c>
    </row>
    <row r="3527" spans="1:4" x14ac:dyDescent="0.3">
      <c r="A3527" s="1" t="str">
        <f>"14000131200"</f>
        <v>14000131200</v>
      </c>
      <c r="B3527" s="1" t="str">
        <f>"DIMAS NONATO SAUL, GARCIA ESMERELDA"</f>
        <v>DIMAS NONATO SAUL, GARCIA ESMERELDA</v>
      </c>
      <c r="C3527" s="1" t="str">
        <f>"2387 MIDLAND BRIGGS 1ST LOT 35"</f>
        <v>2387 MIDLAND BRIGGS 1ST LOT 35</v>
      </c>
      <c r="D3527" s="1">
        <v>2176.16</v>
      </c>
    </row>
    <row r="3528" spans="1:4" x14ac:dyDescent="0.3">
      <c r="A3528" s="1" t="str">
        <f>"01013298700"</f>
        <v>01013298700</v>
      </c>
      <c r="B3528" s="1" t="str">
        <f>"DINH TAN MINH"</f>
        <v>DINH TAN MINH</v>
      </c>
      <c r="C3528" s="1" t="str">
        <f>"KEELSON DR WALNUT BLUFF 1 LOT 132"</f>
        <v>KEELSON DR WALNUT BLUFF 1 LOT 132</v>
      </c>
      <c r="D3528" s="1">
        <v>1735.93</v>
      </c>
    </row>
    <row r="3529" spans="1:4" x14ac:dyDescent="0.3">
      <c r="A3529" s="1" t="str">
        <f>"02000214400"</f>
        <v>02000214400</v>
      </c>
      <c r="B3529" s="1" t="str">
        <f>"DINH THAO THU"</f>
        <v>DINH THAO THU</v>
      </c>
      <c r="C3529" s="1" t="str">
        <f>"819 CHELSEA AVE 215 &amp; S 1/2 216 EAST LAWN 215-216"</f>
        <v>819 CHELSEA AVE 215 &amp; S 1/2 216 EAST LAWN 215-216</v>
      </c>
      <c r="D3529" s="1">
        <v>4811.1400000000003</v>
      </c>
    </row>
    <row r="3530" spans="1:4" x14ac:dyDescent="0.3">
      <c r="A3530" s="1" t="str">
        <f>"27300050200"</f>
        <v>27300050200</v>
      </c>
      <c r="B3530" s="1" t="str">
        <f>"DINOVO DOLORES A TR"</f>
        <v>DINOVO DOLORES A TR</v>
      </c>
      <c r="C3530" s="1" t="str">
        <f>"ASHFORD ROAD RIVER FOREST LOT 51"</f>
        <v>ASHFORD ROAD RIVER FOREST LOT 51</v>
      </c>
      <c r="D3530" s="1">
        <v>4740.91</v>
      </c>
    </row>
    <row r="3531" spans="1:4" x14ac:dyDescent="0.3">
      <c r="A3531" s="1" t="str">
        <f>"15200094900"</f>
        <v>15200094900</v>
      </c>
      <c r="B3531" s="1" t="str">
        <f>"DINSMOOR JAMES E, DINSMOOR MARYANN"</f>
        <v>DINSMOOR JAMES E, DINSMOOR MARYANN</v>
      </c>
      <c r="C3531" s="1" t="str">
        <f>"SEDAN AVE R22 T4 S13 0.666 ACRE"</f>
        <v>SEDAN AVE R22 T4 S13 0.666 ACRE</v>
      </c>
      <c r="D3531" s="1">
        <v>2461.77</v>
      </c>
    </row>
    <row r="3532" spans="1:4" x14ac:dyDescent="0.3">
      <c r="A3532" s="1" t="str">
        <f>"01003635100"</f>
        <v>01003635100</v>
      </c>
      <c r="B3532" s="1" t="str">
        <f>"DIO LLC"</f>
        <v>DIO LLC</v>
      </c>
      <c r="C3532" s="1" t="str">
        <f>"344 MIDLAND AVE WESTWOOD HTS LOT 211"</f>
        <v>344 MIDLAND AVE WESTWOOD HTS LOT 211</v>
      </c>
      <c r="D3532" s="1">
        <v>1177.96</v>
      </c>
    </row>
    <row r="3533" spans="1:4" x14ac:dyDescent="0.3">
      <c r="A3533" s="1" t="str">
        <f>"09000773300"</f>
        <v>09000773300</v>
      </c>
      <c r="B3533" s="1" t="str">
        <f>"DIO, LLC"</f>
        <v>DIO, LLC</v>
      </c>
      <c r="C3533" s="1" t="str">
        <f>"4138 WRIGHT PK WRIGHT PARK 19 "</f>
        <v xml:space="preserve">4138 WRIGHT PK WRIGHT PARK 19 </v>
      </c>
      <c r="D3533" s="1">
        <v>1838.08</v>
      </c>
    </row>
    <row r="3534" spans="1:4" x14ac:dyDescent="0.3">
      <c r="A3534" s="1" t="str">
        <f>"21300252500"</f>
        <v>21300252500</v>
      </c>
      <c r="B3534" s="1" t="str">
        <f>"DIOL PETER B, DIOL CHRISTINE K"</f>
        <v>DIOL PETER B, DIOL CHRISTINE K</v>
      </c>
      <c r="C3534" s="1" t="str">
        <f>"FAIRWAY DR RESUB WRTHGTN HLLS N LOT 139"</f>
        <v>FAIRWAY DR RESUB WRTHGTN HLLS N LOT 139</v>
      </c>
      <c r="D3534" s="1">
        <v>6482.49</v>
      </c>
    </row>
    <row r="3535" spans="1:4" x14ac:dyDescent="0.3">
      <c r="A3535" s="1" t="str">
        <f>"01028604100"</f>
        <v>01028604100</v>
      </c>
      <c r="B3535" s="1" t="str">
        <f>"DIOLAZO CYNTHIA MCKINNEY, DIOLAZO EDWARD BILAR"</f>
        <v>DIOLAZO CYNTHIA MCKINNEY, DIOLAZO EDWARD BILAR</v>
      </c>
      <c r="C3535" s="1" t="str">
        <f>"THE KEEP CONDOMINIUM BLDG 3 UNIT 2383"</f>
        <v>THE KEEP CONDOMINIUM BLDG 3 UNIT 2383</v>
      </c>
      <c r="D3535" s="1">
        <v>234.19</v>
      </c>
    </row>
    <row r="3536" spans="1:4" x14ac:dyDescent="0.3">
      <c r="A3536" s="1" t="str">
        <f>"01006384100"</f>
        <v>01006384100</v>
      </c>
      <c r="B3536" s="1" t="str">
        <f>"DIPALI MALHOTRA"</f>
        <v>DIPALI MALHOTRA</v>
      </c>
      <c r="C3536" s="1" t="str">
        <f>"548-550 SEYMOUR AVE 16FT NS OF 4 &amp; 19 FT SS OF 3 ELLIS"</f>
        <v>548-550 SEYMOUR AVE 16FT NS OF 4 &amp; 19 FT SS OF 3 ELLIS</v>
      </c>
      <c r="D3536" s="1">
        <v>4059.3</v>
      </c>
    </row>
    <row r="3537" spans="1:4" x14ac:dyDescent="0.3">
      <c r="A3537" s="1" t="str">
        <f>"01028381500"</f>
        <v>01028381500</v>
      </c>
      <c r="B3537" s="1" t="str">
        <f>"DIPPEL JAMES E, DIPPEL NINA D"</f>
        <v>DIPPEL JAMES E, DIPPEL NINA D</v>
      </c>
      <c r="C3537" s="1" t="str">
        <f>"THE HAYDEN'S RESERVE CONDOMINIUM COMMUNITY UNIT 5584"</f>
        <v>THE HAYDEN'S RESERVE CONDOMINIUM COMMUNITY UNIT 5584</v>
      </c>
      <c r="D3537" s="1">
        <v>289.52999999999997</v>
      </c>
    </row>
    <row r="3538" spans="1:4" x14ac:dyDescent="0.3">
      <c r="A3538" s="1" t="str">
        <f>"01028122600"</f>
        <v>01028122600</v>
      </c>
      <c r="B3538" s="1" t="str">
        <f>"DIRLIKLI KEREM"</f>
        <v>DIRLIKLI KEREM</v>
      </c>
      <c r="C3538" s="1" t="str">
        <f>"5417 REDWATER DRIVE       HAYDENS CROSSING          SECTION 5 PART 2 LOT 262 "</f>
        <v xml:space="preserve">5417 REDWATER DRIVE       HAYDENS CROSSING          SECTION 5 PART 2 LOT 262 </v>
      </c>
      <c r="D3538" s="1">
        <v>354.11</v>
      </c>
    </row>
    <row r="3539" spans="1:4" x14ac:dyDescent="0.3">
      <c r="A3539" s="1" t="str">
        <f>"20000195600"</f>
        <v>20000195600</v>
      </c>
      <c r="B3539" s="1" t="str">
        <f>"DISABATO ELEANOR J, YEAUGER PRESTON F, YEAUGER PAMELA K"</f>
        <v>DISABATO ELEANOR J, YEAUGER PRESTON F, YEAUGER PAMELA K</v>
      </c>
      <c r="C3539" s="1" t="str">
        <f>"VALLEY CREST DR TIMBERBROOK EXT 2 LOT 90"</f>
        <v>VALLEY CREST DR TIMBERBROOK EXT 2 LOT 90</v>
      </c>
      <c r="D3539" s="1">
        <v>2633.19</v>
      </c>
    </row>
    <row r="3540" spans="1:4" x14ac:dyDescent="0.3">
      <c r="A3540" s="1" t="str">
        <f>"10000293600"</f>
        <v>10000293600</v>
      </c>
      <c r="B3540" s="1" t="str">
        <f>"DISTELZWEIG FRED JR"</f>
        <v>DISTELZWEIG FRED JR</v>
      </c>
      <c r="C3540" s="1" t="str">
        <f>"488-494 PITTSFIELD WILSON HILL 4 LOT 142"</f>
        <v>488-494 PITTSFIELD WILSON HILL 4 LOT 142</v>
      </c>
      <c r="D3540" s="1">
        <v>659.68</v>
      </c>
    </row>
    <row r="3541" spans="1:4" x14ac:dyDescent="0.3">
      <c r="A3541" s="1" t="str">
        <f>"01008254000"</f>
        <v>01008254000</v>
      </c>
      <c r="B3541" s="1" t="str">
        <f>"DISTELZWEIG FREDERICK JOHN JR"</f>
        <v>DISTELZWEIG FREDERICK JOHN JR</v>
      </c>
      <c r="C3541" s="1" t="str">
        <f>"CAROLYN AVE SCHOENE-LAND LOT 244"</f>
        <v>CAROLYN AVE SCHOENE-LAND LOT 244</v>
      </c>
      <c r="D3541" s="1">
        <v>122.2</v>
      </c>
    </row>
    <row r="3542" spans="1:4" x14ac:dyDescent="0.3">
      <c r="A3542" s="1" t="str">
        <f>"06700009300"</f>
        <v>06700009300</v>
      </c>
      <c r="B3542" s="1" t="str">
        <f>"DISTRIBUTION CENTER 457A LLC"</f>
        <v>DISTRIBUTION CENTER 457A LLC</v>
      </c>
      <c r="C3542" s="1" t="str">
        <f>"E BROAD ST R16 T1 1/4T4 11.105 ACRES"</f>
        <v>E BROAD ST R16 T1 1/4T4 11.105 ACRES</v>
      </c>
      <c r="D3542" s="1">
        <v>1331.97</v>
      </c>
    </row>
    <row r="3543" spans="1:4" x14ac:dyDescent="0.3">
      <c r="A3543" s="1" t="str">
        <f>"04000673400"</f>
        <v>04000673400</v>
      </c>
      <c r="B3543" s="1" t="str">
        <f>"DITTMAN DARIN, DITTMAN MEREDITH"</f>
        <v>DITTMAN DARIN, DITTMAN MEREDITH</v>
      </c>
      <c r="C3543" s="1" t="str">
        <f>"3172 PARKVIEW CR PARKSIDE VILL. CONDO 6TH AMD.  UNIT 3172"</f>
        <v>3172 PARKVIEW CR PARKSIDE VILL. CONDO 6TH AMD.  UNIT 3172</v>
      </c>
      <c r="D3543" s="1">
        <v>1817.22</v>
      </c>
    </row>
    <row r="3544" spans="1:4" x14ac:dyDescent="0.3">
      <c r="A3544" s="1" t="str">
        <f>"04001492800"</f>
        <v>04001492800</v>
      </c>
      <c r="B3544" s="1" t="str">
        <f>"DITTMAN DAVID E, DITTMAN CELINE B"</f>
        <v>DITTMAN DAVID E, DITTMAN CELINE B</v>
      </c>
      <c r="C3544" s="1" t="str">
        <f>"RESUB LTS 404-426, RES AA PINNACLE CLUB SECTION 3   LOT 877                  "</f>
        <v xml:space="preserve">RESUB LTS 404-426, RES AA PINNACLE CLUB SECTION 3   LOT 877                  </v>
      </c>
      <c r="D3544" s="1">
        <v>169.68</v>
      </c>
    </row>
    <row r="3545" spans="1:4" x14ac:dyDescent="0.3">
      <c r="A3545" s="1" t="str">
        <f>"07000448100"</f>
        <v>07000448100</v>
      </c>
      <c r="B3545" s="1" t="str">
        <f>"DITTMAR DIANE M, DITTMAR RAND"</f>
        <v>DITTMAR DIANE M, DITTMAR RAND</v>
      </c>
      <c r="C3545" s="1" t="str">
        <f>"HARWITCH RD RIDGEVIEW PL AMD 21"</f>
        <v>HARWITCH RD RIDGEVIEW PL AMD 21</v>
      </c>
      <c r="D3545" s="1">
        <v>449.47</v>
      </c>
    </row>
    <row r="3546" spans="1:4" x14ac:dyDescent="0.3">
      <c r="A3546" s="1" t="str">
        <f>"05000141100"</f>
        <v>05000141100</v>
      </c>
      <c r="B3546" s="1" t="str">
        <f>"DIVEN CHERYL D"</f>
        <v>DIVEN CHERYL D</v>
      </c>
      <c r="C3546" s="1" t="str">
        <f>"3778 E HILLCREST ST HILLIARD HTS 3 LOT 81"</f>
        <v>3778 E HILLCREST ST HILLIARD HTS 3 LOT 81</v>
      </c>
      <c r="D3546" s="1">
        <v>232.98</v>
      </c>
    </row>
    <row r="3547" spans="1:4" x14ac:dyDescent="0.3">
      <c r="A3547" s="1" t="str">
        <f>"18000082900"</f>
        <v>18000082900</v>
      </c>
      <c r="B3547" s="1" t="str">
        <f>"DIVENS LAWAUN D"</f>
        <v>DIVENS LAWAUN D</v>
      </c>
      <c r="C3547" s="1" t="str">
        <f>"3410 WINCHESTER PIKE TWILIGHT FARMS PT LOT 18=0.662 ACRE"</f>
        <v>3410 WINCHESTER PIKE TWILIGHT FARMS PT LOT 18=0.662 ACRE</v>
      </c>
      <c r="D3547" s="1">
        <v>3871.19</v>
      </c>
    </row>
    <row r="3548" spans="1:4" x14ac:dyDescent="0.3">
      <c r="A3548" s="1" t="str">
        <f>"01021491000"</f>
        <v>01021491000</v>
      </c>
      <c r="B3548" s="1" t="str">
        <f>"DIVINE PARTNERS HOLDINGS LLC"</f>
        <v>DIVINE PARTNERS HOLDINGS LLC</v>
      </c>
      <c r="C3548" s="1" t="str">
        <f>"CHARLESTON PLACE CONDOMINIUM UNIT 35"</f>
        <v>CHARLESTON PLACE CONDOMINIUM UNIT 35</v>
      </c>
      <c r="D3548" s="1">
        <v>2116.91</v>
      </c>
    </row>
    <row r="3549" spans="1:4" x14ac:dyDescent="0.3">
      <c r="A3549" s="1" t="str">
        <f>"01021491500"</f>
        <v>01021491500</v>
      </c>
      <c r="B3549" s="1" t="str">
        <f>"DIVINE PARTNERS HOLDINGS LLC"</f>
        <v>DIVINE PARTNERS HOLDINGS LLC</v>
      </c>
      <c r="C3549" s="1" t="str">
        <f>"CHARLESTON PLACE CONDOMINIUM UNIT 40"</f>
        <v>CHARLESTON PLACE CONDOMINIUM UNIT 40</v>
      </c>
      <c r="D3549" s="1">
        <v>2319.89</v>
      </c>
    </row>
    <row r="3550" spans="1:4" x14ac:dyDescent="0.3">
      <c r="A3550" s="1" t="str">
        <f>"01011190200"</f>
        <v>01011190200</v>
      </c>
      <c r="B3550" s="1" t="str">
        <f>"DIVINE PROPERTY HOLDINGS LLC"</f>
        <v>DIVINE PROPERTY HOLDINGS LLC</v>
      </c>
      <c r="C3550" s="1" t="str">
        <f>"CLEVELAND AVE .516 ACRE LOT 1"</f>
        <v>CLEVELAND AVE .516 ACRE LOT 1</v>
      </c>
      <c r="D3550" s="1">
        <v>20744.98</v>
      </c>
    </row>
    <row r="3551" spans="1:4" x14ac:dyDescent="0.3">
      <c r="A3551" s="1" t="str">
        <f>"01019290500"</f>
        <v>01019290500</v>
      </c>
      <c r="B3551" s="1" t="str">
        <f>"DIVYADRASHTI LLC"</f>
        <v>DIVYADRASHTI LLC</v>
      </c>
      <c r="C3551" s="1" t="str">
        <f>"E LIVINGSTON AVE R22 T5 S24 1/2S34 .581 ACRE"</f>
        <v>E LIVINGSTON AVE R22 T5 S24 1/2S34 .581 ACRE</v>
      </c>
      <c r="D3551" s="1">
        <v>4191.4399999999996</v>
      </c>
    </row>
    <row r="3552" spans="1:4" x14ac:dyDescent="0.3">
      <c r="A3552" s="1" t="str">
        <f>"01014840400"</f>
        <v>01014840400</v>
      </c>
      <c r="B3552" s="1" t="str">
        <f>"DIXION KERRY J"</f>
        <v>DIXION KERRY J</v>
      </c>
      <c r="C3552" s="1" t="str">
        <f>"YOUNGS GROVE RD YOUNGS LOT 29 "</f>
        <v xml:space="preserve">YOUNGS GROVE RD YOUNGS LOT 29 </v>
      </c>
      <c r="D3552" s="1">
        <v>4347.95</v>
      </c>
    </row>
    <row r="3553" spans="1:4" x14ac:dyDescent="0.3">
      <c r="A3553" s="1" t="str">
        <f>"01001780400"</f>
        <v>01001780400</v>
      </c>
      <c r="B3553" s="1" t="str">
        <f>"DIXON BESSIE, DIXON TERRY V, DIXON SHERMAN S"</f>
        <v>DIXON BESSIE, DIXON TERRY V, DIXON SHERMAN S</v>
      </c>
      <c r="C3553" s="1" t="str">
        <f>"530 S OHIO AVE BIERS HRS OHIO AVE LOT 12"</f>
        <v>530 S OHIO AVE BIERS HRS OHIO AVE LOT 12</v>
      </c>
      <c r="D3553" s="1">
        <v>2634.3</v>
      </c>
    </row>
    <row r="3554" spans="1:4" x14ac:dyDescent="0.3">
      <c r="A3554" s="1" t="str">
        <f>"27300609200"</f>
        <v>27300609200</v>
      </c>
      <c r="B3554" s="1" t="str">
        <f>"DIXON DEBORAH L"</f>
        <v>DIXON DEBORAH L</v>
      </c>
      <c r="C3554" s="1" t="str">
        <f>"RESUB OF PART OF KENTIGERN PLACE LOT 2047"</f>
        <v>RESUB OF PART OF KENTIGERN PLACE LOT 2047</v>
      </c>
      <c r="D3554" s="1">
        <v>495.95</v>
      </c>
    </row>
    <row r="3555" spans="1:4" x14ac:dyDescent="0.3">
      <c r="A3555" s="1" t="str">
        <f>"20000234800"</f>
        <v>20000234800</v>
      </c>
      <c r="B3555" s="1" t="str">
        <f>"DIXON DONALD T, DIXON TIFFANY"</f>
        <v>DIXON DONALD T, DIXON TIFFANY</v>
      </c>
      <c r="C3555" s="1" t="str">
        <f>"BIRCHWOOD DR TIMBERBROOK WOODS 50 "</f>
        <v xml:space="preserve">BIRCHWOOD DR TIMBERBROOK WOODS 50 </v>
      </c>
      <c r="D3555" s="1">
        <v>419.59</v>
      </c>
    </row>
    <row r="3556" spans="1:4" x14ac:dyDescent="0.3">
      <c r="A3556" s="1" t="str">
        <f>"27300186700"</f>
        <v>27300186700</v>
      </c>
      <c r="B3556" s="1" t="str">
        <f>"DIXON EMILY I, FIXARI BEAU P"</f>
        <v>DIXON EMILY I, FIXARI BEAU P</v>
      </c>
      <c r="C3556" s="1" t="str">
        <f>"5249 WILLOW GROVE PL HOMES 1-A UNIT 5249 BLDG 3"</f>
        <v>5249 WILLOW GROVE PL HOMES 1-A UNIT 5249 BLDG 3</v>
      </c>
      <c r="D3556" s="1">
        <v>3669.91</v>
      </c>
    </row>
    <row r="3557" spans="1:4" x14ac:dyDescent="0.3">
      <c r="A3557" s="1" t="str">
        <f>"17000408900"</f>
        <v>17000408900</v>
      </c>
      <c r="B3557" s="1" t="str">
        <f>"DIXON MARQUETTE SR, DIXON JESSICA"</f>
        <v>DIXON MARQUETTE SR, DIXON JESSICA</v>
      </c>
      <c r="C3557" s="1" t="str">
        <f>"MORRISON FARMS EAST SECTION 2 LOT 53"</f>
        <v>MORRISON FARMS EAST SECTION 2 LOT 53</v>
      </c>
      <c r="D3557" s="1">
        <v>5075.97</v>
      </c>
    </row>
    <row r="3558" spans="1:4" x14ac:dyDescent="0.3">
      <c r="A3558" s="1" t="str">
        <f>"01028732600"</f>
        <v>01028732600</v>
      </c>
      <c r="B3558" s="1" t="str">
        <f>"DIYANNI ANGELA E"</f>
        <v>DIYANNI ANGELA E</v>
      </c>
      <c r="C3558" s="1" t="str">
        <f>"CONDOMINIUMS AT 1212 S WASHINGTON AVE UNIT 1214"</f>
        <v>CONDOMINIUMS AT 1212 S WASHINGTON AVE UNIT 1214</v>
      </c>
      <c r="D3558" s="1">
        <v>2086.0500000000002</v>
      </c>
    </row>
    <row r="3559" spans="1:4" x14ac:dyDescent="0.3">
      <c r="A3559" s="1" t="str">
        <f>"01004006400"</f>
        <v>01004006400</v>
      </c>
      <c r="B3559" s="1" t="str">
        <f>"DJ REAL ESTATE INVESTMENTS LLC"</f>
        <v>DJ REAL ESTATE INVESTMENTS LLC</v>
      </c>
      <c r="C3559" s="1" t="str">
        <f>"IN LOT PTS 457 &amp; 458 "</f>
        <v xml:space="preserve">IN LOT PTS 457 &amp; 458 </v>
      </c>
      <c r="D3559" s="1">
        <v>9253</v>
      </c>
    </row>
    <row r="3560" spans="1:4" x14ac:dyDescent="0.3">
      <c r="A3560" s="1" t="str">
        <f>"61018096500"</f>
        <v>61018096500</v>
      </c>
      <c r="B3560" s="1" t="str">
        <f>"DJH-I LLC"</f>
        <v>DJH-I LLC</v>
      </c>
      <c r="C3560" s="1" t="str">
        <f>"HIGHTOWER DR TOWER ESTATES SEC 2 LOT 79"</f>
        <v>HIGHTOWER DR TOWER ESTATES SEC 2 LOT 79</v>
      </c>
      <c r="D3560" s="1">
        <v>529.37</v>
      </c>
    </row>
    <row r="3561" spans="1:4" x14ac:dyDescent="0.3">
      <c r="A3561" s="1" t="str">
        <f>"01007647600"</f>
        <v>01007647600</v>
      </c>
      <c r="B3561" s="1" t="str">
        <f>"DJIBRIL MAMADOU, SY KARDIATA"</f>
        <v>DJIBRIL MAMADOU, SY KARDIATA</v>
      </c>
      <c r="C3561" s="1" t="str">
        <f>"1228 E WEBER RD R18 T1 1/4T1 0.169 ACRE"</f>
        <v>1228 E WEBER RD R18 T1 1/4T1 0.169 ACRE</v>
      </c>
      <c r="D3561" s="1">
        <v>152.86000000000001</v>
      </c>
    </row>
    <row r="3562" spans="1:4" x14ac:dyDescent="0.3">
      <c r="A3562" s="1" t="str">
        <f>"01019747300"</f>
        <v>01019747300</v>
      </c>
      <c r="B3562" s="1" t="str">
        <f>"DKP &amp; ASSOCIATES RENTAL PROPERTY LLC"</f>
        <v>DKP &amp; ASSOCIATES RENTAL PROPERTY LLC</v>
      </c>
      <c r="C3562" s="1" t="str">
        <f>"QUINBY DR WALNUT BLUFF 6 LOT 1268"</f>
        <v>QUINBY DR WALNUT BLUFF 6 LOT 1268</v>
      </c>
      <c r="D3562" s="1">
        <v>1937.85</v>
      </c>
    </row>
    <row r="3563" spans="1:4" x14ac:dyDescent="0.3">
      <c r="A3563" s="1" t="str">
        <f>"08000120100"</f>
        <v>08000120100</v>
      </c>
      <c r="B3563" s="1" t="str">
        <f>"DMA REALTY OHIO LLC"</f>
        <v>DMA REALTY OHIO LLC</v>
      </c>
      <c r="C3563" s="1" t="str">
        <f>"105 N STATE ST 49.5 FT STATE STX154FT E PT .75 ACRE MEYER TR"</f>
        <v>105 N STATE ST 49.5 FT STATE STX154FT E PT .75 ACRE MEYER TR</v>
      </c>
      <c r="D3563" s="1">
        <v>7634.07</v>
      </c>
    </row>
    <row r="3564" spans="1:4" x14ac:dyDescent="0.3">
      <c r="A3564" s="1" t="str">
        <f>"01009866200"</f>
        <v>01009866200</v>
      </c>
      <c r="B3564" s="1" t="str">
        <f>"DMD ACQUISITIONS LLC"</f>
        <v>DMD ACQUISITIONS LLC</v>
      </c>
      <c r="C3564" s="1" t="str">
        <f>"26TH AVE DUXBERRY PARK LOT 13"</f>
        <v>26TH AVE DUXBERRY PARK LOT 13</v>
      </c>
      <c r="D3564" s="1">
        <v>2109.4699999999998</v>
      </c>
    </row>
    <row r="3565" spans="1:4" x14ac:dyDescent="0.3">
      <c r="A3565" s="1" t="str">
        <f>"01008367000"</f>
        <v>01008367000</v>
      </c>
      <c r="B3565" s="1" t="str">
        <f>"DNELLY STEPHANIE"</f>
        <v>DNELLY STEPHANIE</v>
      </c>
      <c r="C3565" s="1" t="str">
        <f>"GRASMERE AVE SUNNYSIDE LOT 552"</f>
        <v>GRASMERE AVE SUNNYSIDE LOT 552</v>
      </c>
      <c r="D3565" s="1">
        <v>2020.01</v>
      </c>
    </row>
    <row r="3566" spans="1:4" x14ac:dyDescent="0.3">
      <c r="A3566" s="1" t="str">
        <f>"01014700100"</f>
        <v>01014700100</v>
      </c>
      <c r="B3566" s="1" t="str">
        <f>"DOAK EDDIE D II, DOAK KELLY A"</f>
        <v>DOAK EDDIE D II, DOAK KELLY A</v>
      </c>
      <c r="C3566" s="1" t="str">
        <f>"FOREST PK EAST SEC 3 LOT 392 "</f>
        <v xml:space="preserve">FOREST PK EAST SEC 3 LOT 392 </v>
      </c>
      <c r="D3566" s="1">
        <v>3492.61</v>
      </c>
    </row>
    <row r="3567" spans="1:4" x14ac:dyDescent="0.3">
      <c r="A3567" s="1" t="str">
        <f>"04001237000"</f>
        <v>04001237000</v>
      </c>
      <c r="B3567" s="1" t="str">
        <f>"DOAN BINH V, NGUYEN TRANG"</f>
        <v>DOAN BINH V, NGUYEN TRANG</v>
      </c>
      <c r="C3567" s="1" t="str">
        <f>"4012 PONDS EDGE STREET CONCORD PARK SECTION 1 LOT 71"</f>
        <v>4012 PONDS EDGE STREET CONCORD PARK SECTION 1 LOT 71</v>
      </c>
      <c r="D3567" s="1">
        <v>32.76</v>
      </c>
    </row>
    <row r="3568" spans="1:4" x14ac:dyDescent="0.3">
      <c r="A3568" s="1" t="str">
        <f>"01009871700"</f>
        <v>01009871700</v>
      </c>
      <c r="B3568" s="1" t="str">
        <f>"DOBSON JOHN II, DOBSON ALMA"</f>
        <v>DOBSON JOHN II, DOBSON ALMA</v>
      </c>
      <c r="C3568" s="1" t="str">
        <f>"25TH AVE DUXBERRY PARK LOT 68"</f>
        <v>25TH AVE DUXBERRY PARK LOT 68</v>
      </c>
      <c r="D3568" s="1">
        <v>63.03</v>
      </c>
    </row>
    <row r="3569" spans="1:4" x14ac:dyDescent="0.3">
      <c r="A3569" s="1" t="str">
        <f>"01009871600"</f>
        <v>01009871600</v>
      </c>
      <c r="B3569" s="1" t="str">
        <f>"DOBSON JOHN JR"</f>
        <v>DOBSON JOHN JR</v>
      </c>
      <c r="C3569" s="1" t="str">
        <f>"25TH AVE DUXBERRY PARK ADD LOT 67"</f>
        <v>25TH AVE DUXBERRY PARK ADD LOT 67</v>
      </c>
      <c r="D3569" s="1">
        <v>11.15</v>
      </c>
    </row>
    <row r="3570" spans="1:4" x14ac:dyDescent="0.3">
      <c r="A3570" s="1" t="str">
        <f>"07000660000"</f>
        <v>07000660000</v>
      </c>
      <c r="B3570" s="1" t="str">
        <f>"DODD CAROL A TR"</f>
        <v>DODD CAROL A TR</v>
      </c>
      <c r="C3570" s="1" t="str">
        <f>"NOTTINGHAM RD RIVER RIDGE 3 BLK 23"</f>
        <v>NOTTINGHAM RD RIVER RIDGE 3 BLK 23</v>
      </c>
      <c r="D3570" s="1">
        <v>5882.61</v>
      </c>
    </row>
    <row r="3571" spans="1:4" x14ac:dyDescent="0.3">
      <c r="A3571" s="1" t="str">
        <f>"19000046800"</f>
        <v>19000046800</v>
      </c>
      <c r="B3571" s="1" t="str">
        <f>"DODGE JOHN WESLEY"</f>
        <v>DODGE JOHN WESLEY</v>
      </c>
      <c r="C3571" s="1" t="str">
        <f>"2707 BAUGHMAN AVE E LINDEN 2ND N 1/2 LOT 59"</f>
        <v>2707 BAUGHMAN AVE E LINDEN 2ND N 1/2 LOT 59</v>
      </c>
      <c r="D3571" s="1">
        <v>128.76</v>
      </c>
    </row>
    <row r="3572" spans="1:4" x14ac:dyDescent="0.3">
      <c r="A3572" s="1" t="str">
        <f>"01009964600"</f>
        <v>01009964600</v>
      </c>
      <c r="B3572" s="1" t="str">
        <f>"DODRIDGE ISABEL, RICHARD SETH"</f>
        <v>DODRIDGE ISABEL, RICHARD SETH</v>
      </c>
      <c r="C3572" s="1" t="str">
        <f>"CAROLWOOD AVE BEECHWOOD LOT 174"</f>
        <v>CAROLWOOD AVE BEECHWOOD LOT 174</v>
      </c>
      <c r="D3572" s="1">
        <v>98.67</v>
      </c>
    </row>
    <row r="3573" spans="1:4" x14ac:dyDescent="0.3">
      <c r="A3573" s="1" t="str">
        <f>"16000087400"</f>
        <v>16000087400</v>
      </c>
      <c r="B3573" s="1" t="str">
        <f>"DODSON BOBBY"</f>
        <v>DODSON BOBBY</v>
      </c>
      <c r="C3573" s="1" t="str">
        <f>"BROWN RD M JEANNETTE MCDOWELL LOT 19"</f>
        <v>BROWN RD M JEANNETTE MCDOWELL LOT 19</v>
      </c>
      <c r="D3573" s="1">
        <v>584.13</v>
      </c>
    </row>
    <row r="3574" spans="1:4" x14ac:dyDescent="0.3">
      <c r="A3574" s="1" t="str">
        <f>"16000087500"</f>
        <v>16000087500</v>
      </c>
      <c r="B3574" s="1" t="str">
        <f>"DODSON BOBBY"</f>
        <v>DODSON BOBBY</v>
      </c>
      <c r="C3574" s="1" t="str">
        <f>"BROWN RD M JEANNETTE MCDOWELL LOT 20"</f>
        <v>BROWN RD M JEANNETTE MCDOWELL LOT 20</v>
      </c>
      <c r="D3574" s="1">
        <v>1113.24</v>
      </c>
    </row>
    <row r="3575" spans="1:4" x14ac:dyDescent="0.3">
      <c r="A3575" s="1" t="str">
        <f>"25415166300"</f>
        <v>25415166300</v>
      </c>
      <c r="B3575" s="1" t="str">
        <f>"DOELL DANIEL W"</f>
        <v>DOELL DANIEL W</v>
      </c>
      <c r="C3575" s="1" t="str">
        <f>"346 ROSSLYN AVE TREMONT GRDNS 2 LOT 340"</f>
        <v>346 ROSSLYN AVE TREMONT GRDNS 2 LOT 340</v>
      </c>
      <c r="D3575" s="1">
        <v>3401.62</v>
      </c>
    </row>
    <row r="3576" spans="1:4" x14ac:dyDescent="0.3">
      <c r="A3576" s="1" t="str">
        <f>"25415166400"</f>
        <v>25415166400</v>
      </c>
      <c r="B3576" s="1" t="str">
        <f>"DOELL DANIEL W"</f>
        <v>DOELL DANIEL W</v>
      </c>
      <c r="C3576" s="1" t="str">
        <f>"ROSSLYN AVE TREMONT GRDNS 2 LOT 341"</f>
        <v>ROSSLYN AVE TREMONT GRDNS 2 LOT 341</v>
      </c>
      <c r="D3576" s="1">
        <v>1375.69</v>
      </c>
    </row>
    <row r="3577" spans="1:4" x14ac:dyDescent="0.3">
      <c r="A3577" s="1" t="str">
        <f>"07000442100"</f>
        <v>07000442100</v>
      </c>
      <c r="B3577" s="1" t="str">
        <f>"DOERFLEIN JONATHAN, RIPPE CRISTOL"</f>
        <v>DOERFLEIN JONATHAN, RIPPE CRISTOL</v>
      </c>
      <c r="C3577" s="1" t="str">
        <f>"EXMOOR RD CANTERBURY PL EXT 3 2 BLK 271"</f>
        <v>EXMOOR RD CANTERBURY PL EXT 3 2 BLK 271</v>
      </c>
      <c r="D3577" s="1">
        <v>1258.74</v>
      </c>
    </row>
    <row r="3578" spans="1:4" x14ac:dyDescent="0.3">
      <c r="A3578" s="1" t="str">
        <f>"01008482500"</f>
        <v>01008482500</v>
      </c>
      <c r="B3578" s="1" t="str">
        <f>"DOLAN DONNA B TR"</f>
        <v>DOLAN DONNA B TR</v>
      </c>
      <c r="C3578" s="1" t="str">
        <f>"WETMORE RD HIGHLAND GARDENS 2 LOT 475"</f>
        <v>WETMORE RD HIGHLAND GARDENS 2 LOT 475</v>
      </c>
      <c r="D3578" s="1">
        <v>275.64</v>
      </c>
    </row>
    <row r="3579" spans="1:4" x14ac:dyDescent="0.3">
      <c r="A3579" s="1" t="str">
        <f>"01014135100"</f>
        <v>01014135100</v>
      </c>
      <c r="B3579" s="1" t="str">
        <f>"DOLAN PATRICK F"</f>
        <v>DOLAN PATRICK F</v>
      </c>
      <c r="C3579" s="1" t="str">
        <f>"BOSWORTH PLACE DEVONSHIRE 5 SEC 8 LOT 642"</f>
        <v>BOSWORTH PLACE DEVONSHIRE 5 SEC 8 LOT 642</v>
      </c>
      <c r="D3579" s="1">
        <v>149.62</v>
      </c>
    </row>
    <row r="3580" spans="1:4" x14ac:dyDescent="0.3">
      <c r="A3580" s="1" t="str">
        <f>"01002171700"</f>
        <v>01002171700</v>
      </c>
      <c r="B3580" s="1" t="str">
        <f>"DOLAND PROPERTY INVESTMENTS LLC"</f>
        <v>DOLAND PROPERTY INVESTMENTS LLC</v>
      </c>
      <c r="C3580" s="1" t="str">
        <f>"394 E OAKLAND AVE INDIANOLA SUMMIT LOT 19 BLK 23"</f>
        <v>394 E OAKLAND AVE INDIANOLA SUMMIT LOT 19 BLK 23</v>
      </c>
      <c r="D3580" s="1">
        <v>154.62</v>
      </c>
    </row>
    <row r="3581" spans="1:4" x14ac:dyDescent="0.3">
      <c r="A3581" s="1" t="str">
        <f>"01018796800"</f>
        <v>01018796800</v>
      </c>
      <c r="B3581" s="1" t="str">
        <f>"DOMINGOS ANTHONY J LLC"</f>
        <v>DOMINGOS ANTHONY J LLC</v>
      </c>
      <c r="C3581" s="1" t="str">
        <f>"1159 W SELLS A SOMERSET SQ A CONDO BLDG 7 UNIT 49"</f>
        <v>1159 W SELLS A SOMERSET SQ A CONDO BLDG 7 UNIT 49</v>
      </c>
      <c r="D3581" s="1">
        <v>1850.4</v>
      </c>
    </row>
    <row r="3582" spans="1:4" x14ac:dyDescent="0.3">
      <c r="A3582" s="1" t="str">
        <f>"01003535600"</f>
        <v>01003535600</v>
      </c>
      <c r="B3582" s="1" t="str">
        <f>"DOMINGUEZ ANDREA, MUNIZ GUILLERMO DOMINGUEZ"</f>
        <v>DOMINGUEZ ANDREA, MUNIZ GUILLERMO DOMINGUEZ</v>
      </c>
      <c r="C3582" s="1" t="str">
        <f>"105 RICHARDSON LANDSCAPE LOT 231-2"</f>
        <v>105 RICHARDSON LANDSCAPE LOT 231-2</v>
      </c>
      <c r="D3582" s="1">
        <v>137.16999999999999</v>
      </c>
    </row>
    <row r="3583" spans="1:4" x14ac:dyDescent="0.3">
      <c r="A3583" s="1" t="str">
        <f>"01005920600"</f>
        <v>01005920600</v>
      </c>
      <c r="B3583" s="1" t="str">
        <f>"DOMINGUEZ CONCEPCION"</f>
        <v>DOMINGUEZ CONCEPCION</v>
      </c>
      <c r="C3583" s="1" t="str">
        <f>"LINDEN ADD LOT 771  "</f>
        <v xml:space="preserve">LINDEN ADD LOT 771  </v>
      </c>
      <c r="D3583" s="1">
        <v>2611.39</v>
      </c>
    </row>
    <row r="3584" spans="1:4" x14ac:dyDescent="0.3">
      <c r="A3584" s="1" t="str">
        <f>"01000971700"</f>
        <v>01000971700</v>
      </c>
      <c r="B3584" s="1" t="str">
        <f>"DOMINGUEZ MANUEL DE JESUS, SHOEMAKER JENNIFER"</f>
        <v>DOMINGUEZ MANUEL DE JESUS, SHOEMAKER JENNIFER</v>
      </c>
      <c r="C3584" s="1" t="str">
        <f>"880 CASSADY AVE DUNHAMS 1ST LOT 2"</f>
        <v>880 CASSADY AVE DUNHAMS 1ST LOT 2</v>
      </c>
      <c r="D3584" s="1">
        <v>815.3</v>
      </c>
    </row>
    <row r="3585" spans="1:4" x14ac:dyDescent="0.3">
      <c r="A3585" s="1" t="str">
        <f>"60015022400"</f>
        <v>60015022400</v>
      </c>
      <c r="B3585" s="1" t="str">
        <f>"DOMINNGUEZ MARIA LUISA"</f>
        <v>DOMINNGUEZ MARIA LUISA</v>
      </c>
      <c r="C3585" s="1" t="str">
        <f>"FAIRGROVE ROAD PARKRIDGE VILLAGE SEC 2 LOT 312"</f>
        <v>FAIRGROVE ROAD PARKRIDGE VILLAGE SEC 2 LOT 312</v>
      </c>
      <c r="D3585" s="1">
        <v>5031.72</v>
      </c>
    </row>
    <row r="3586" spans="1:4" x14ac:dyDescent="0.3">
      <c r="A3586" s="1" t="str">
        <f>"16000298500"</f>
        <v>16000298500</v>
      </c>
      <c r="B3586" s="1" t="str">
        <f>"DONALDSON ERIC J, DONALDSON CYNTHIA J"</f>
        <v>DONALDSON ERIC J, DONALDSON CYNTHIA J</v>
      </c>
      <c r="C3586" s="1" t="str">
        <f>"LYNNBROOK COURT LYNNBROOK SUBDIV PHASE 1 LOT 8  2.676 ACRES"</f>
        <v>LYNNBROOK COURT LYNNBROOK SUBDIV PHASE 1 LOT 8  2.676 ACRES</v>
      </c>
      <c r="D3586" s="1">
        <v>5195.3999999999996</v>
      </c>
    </row>
    <row r="3587" spans="1:4" x14ac:dyDescent="0.3">
      <c r="A3587" s="1" t="str">
        <f>"22200415100"</f>
        <v>22200415100</v>
      </c>
      <c r="B3587" s="1" t="str">
        <f>"DONALDSON JEFFREY H TR, DONALDSON ELIZABETH Z TR"</f>
        <v>DONALDSON JEFFREY H TR, DONALDSON ELIZABETH Z TR</v>
      </c>
      <c r="C3587" s="1" t="str">
        <f>"1 EALY CROSSING SOUTH     NEW ALBANY COUNTRY CLUB   SEC 22 EALY CROSS LOT 10 "</f>
        <v xml:space="preserve">1 EALY CROSSING SOUTH     NEW ALBANY COUNTRY CLUB   SEC 22 EALY CROSS LOT 10 </v>
      </c>
      <c r="D3587" s="1">
        <v>2122.8200000000002</v>
      </c>
    </row>
    <row r="3588" spans="1:4" x14ac:dyDescent="0.3">
      <c r="A3588" s="1" t="str">
        <f>"14000311400"</f>
        <v>14000311400</v>
      </c>
      <c r="B3588" s="1" t="str">
        <f>"DONALDSON THOMAS L"</f>
        <v>DONALDSON THOMAS L</v>
      </c>
      <c r="C3588" s="1" t="str">
        <f>"3201 PONDEROSA DR ALL9&amp;20FT ES 10 PONDEROSA"</f>
        <v>3201 PONDEROSA DR ALL9&amp;20FT ES 10 PONDEROSA</v>
      </c>
      <c r="D3588" s="1">
        <v>5679.11</v>
      </c>
    </row>
    <row r="3589" spans="1:4" x14ac:dyDescent="0.3">
      <c r="A3589" s="1" t="str">
        <f>"01018998100"</f>
        <v>01018998100</v>
      </c>
      <c r="B3589" s="1" t="str">
        <f>"DONATO SEAN, DONATO DIANE"</f>
        <v>DONATO SEAN, DONATO DIANE</v>
      </c>
      <c r="C3589" s="1" t="str">
        <f>"WEBER RD WEBER WEST CONDO UNIT 70"</f>
        <v>WEBER RD WEBER WEST CONDO UNIT 70</v>
      </c>
      <c r="D3589" s="1">
        <v>1637.14</v>
      </c>
    </row>
    <row r="3590" spans="1:4" x14ac:dyDescent="0.3">
      <c r="A3590" s="1" t="str">
        <f>"01005123600"</f>
        <v>01005123600</v>
      </c>
      <c r="B3590" s="1" t="str">
        <f>"DONCOL PROPERTIES LLC"</f>
        <v>DONCOL PROPERTIES LLC</v>
      </c>
      <c r="C3590" s="1" t="str">
        <f>"279 S TERRACE AVE BRONX LOT 246"</f>
        <v>279 S TERRACE AVE BRONX LOT 246</v>
      </c>
      <c r="D3590" s="1">
        <v>72.739999999999995</v>
      </c>
    </row>
    <row r="3591" spans="1:4" x14ac:dyDescent="0.3">
      <c r="A3591" s="1" t="str">
        <f>"01019431000"</f>
        <v>01019431000</v>
      </c>
      <c r="B3591" s="1" t="str">
        <f>"DONG YINGZHONG"</f>
        <v>DONG YINGZHONG</v>
      </c>
      <c r="C3591" s="1" t="str">
        <f>"5285-202 PORTLAND ST NORTHAMPTON VILLAGE CONDO PH1 BLDG 2 UNIT 42"</f>
        <v>5285-202 PORTLAND ST NORTHAMPTON VILLAGE CONDO PH1 BLDG 2 UNIT 42</v>
      </c>
      <c r="D3591" s="1">
        <v>2003.95</v>
      </c>
    </row>
    <row r="3592" spans="1:4" x14ac:dyDescent="0.3">
      <c r="A3592" s="1" t="str">
        <f>"01024511200"</f>
        <v>01024511200</v>
      </c>
      <c r="B3592" s="1" t="str">
        <f>"DONKOR KWAME, NTIAMOAH CHARLOTTE"</f>
        <v>DONKOR KWAME, NTIAMOAH CHARLOTTE</v>
      </c>
      <c r="C3592" s="1" t="str">
        <f>"HICKORY RIDGE CONDOMINIUM 2ND AMD UNIT 8-2922"</f>
        <v>HICKORY RIDGE CONDOMINIUM 2ND AMD UNIT 8-2922</v>
      </c>
      <c r="D3592" s="1">
        <v>386.39</v>
      </c>
    </row>
    <row r="3593" spans="1:4" x14ac:dyDescent="0.3">
      <c r="A3593" s="1" t="str">
        <f>"07001384900"</f>
        <v>07001384900</v>
      </c>
      <c r="B3593" s="1" t="str">
        <f>"DONLEY MARY J TR"</f>
        <v>DONLEY MARY J TR</v>
      </c>
      <c r="C3593" s="1" t="str">
        <f>"CONCORD VILLAGE DR CONCORD VILLAGE PH 2 .416 ACRE  LOT 32"</f>
        <v>CONCORD VILLAGE DR CONCORD VILLAGE PH 2 .416 ACRE  LOT 32</v>
      </c>
      <c r="D3593" s="1">
        <v>1190.53</v>
      </c>
    </row>
    <row r="3594" spans="1:4" x14ac:dyDescent="0.3">
      <c r="A3594" s="1" t="str">
        <f>"08000578000"</f>
        <v>08000578000</v>
      </c>
      <c r="B3594" s="1" t="str">
        <f>"DONNELLAN SMITH KATHARINE A, SMITH JARED"</f>
        <v>DONNELLAN SMITH KATHARINE A, SMITH JARED</v>
      </c>
      <c r="C3594" s="1" t="str">
        <f>"KIM COURT WEST SPRING GROVE PHASE 2 LOT 122"</f>
        <v>KIM COURT WEST SPRING GROVE PHASE 2 LOT 122</v>
      </c>
      <c r="D3594" s="1">
        <v>4191.3599999999997</v>
      </c>
    </row>
    <row r="3595" spans="1:4" x14ac:dyDescent="0.3">
      <c r="A3595" s="1" t="str">
        <f>"01001254400"</f>
        <v>01001254400</v>
      </c>
      <c r="B3595" s="1" t="str">
        <f>"DONOHOE SUSAN O"</f>
        <v>DONOHOE SUSAN O</v>
      </c>
      <c r="C3595" s="1" t="str">
        <f>"2549 N 4TH ST INDIANOLS PARK VIEW LOT 149"</f>
        <v>2549 N 4TH ST INDIANOLS PARK VIEW LOT 149</v>
      </c>
      <c r="D3595" s="1">
        <v>2307.91</v>
      </c>
    </row>
    <row r="3596" spans="1:4" x14ac:dyDescent="0.3">
      <c r="A3596" s="1" t="str">
        <f>"07000061200"</f>
        <v>07000061200</v>
      </c>
      <c r="B3596" s="1" t="str">
        <f>"DONOHUE MICHAEL B"</f>
        <v>DONOHUE MICHAEL B</v>
      </c>
      <c r="C3596" s="1" t="str">
        <f>"2088 TREMONT RD UPPER ARLINGTON LOT 4 BLK 72"</f>
        <v>2088 TREMONT RD UPPER ARLINGTON LOT 4 BLK 72</v>
      </c>
      <c r="D3596" s="1">
        <v>686.17</v>
      </c>
    </row>
    <row r="3597" spans="1:4" x14ac:dyDescent="0.3">
      <c r="A3597" s="1" t="str">
        <f>"56029609900"</f>
        <v>56029609900</v>
      </c>
      <c r="B3597" s="1" t="str">
        <f>"DONUM EXIGO LLC"</f>
        <v>DONUM EXIGO LLC</v>
      </c>
      <c r="C3597" s="1" t="str">
        <f>"4660 ROBERTS RD WESTBELT BUS PARK 1.005 ACRES"</f>
        <v>4660 ROBERTS RD WESTBELT BUS PARK 1.005 ACRES</v>
      </c>
      <c r="D3597" s="1">
        <v>3380.5</v>
      </c>
    </row>
    <row r="3598" spans="1:4" x14ac:dyDescent="0.3">
      <c r="A3598" s="1" t="str">
        <f>"01006947400"</f>
        <v>01006947400</v>
      </c>
      <c r="B3598" s="1" t="str">
        <f>"DOODLEY JACKIE T"</f>
        <v>DOODLEY JACKIE T</v>
      </c>
      <c r="C3598" s="1" t="str">
        <f>"2677 FERN AVE 57.5 FT N MID PT EAST LINDEN LOT 18"</f>
        <v>2677 FERN AVE 57.5 FT N MID PT EAST LINDEN LOT 18</v>
      </c>
      <c r="D3598" s="1">
        <v>1328.64</v>
      </c>
    </row>
    <row r="3599" spans="1:4" x14ac:dyDescent="0.3">
      <c r="A3599" s="1" t="str">
        <f>"07000113500"</f>
        <v>07000113500</v>
      </c>
      <c r="B3599" s="1" t="str">
        <f>"DOODY KAREN J"</f>
        <v>DOODY KAREN J</v>
      </c>
      <c r="C3599" s="1" t="str">
        <f>"2407 TREMONT RD UPPER ARLINGTON LOT 22-23 BLK 97"</f>
        <v>2407 TREMONT RD UPPER ARLINGTON LOT 22-23 BLK 97</v>
      </c>
      <c r="D3599" s="1">
        <v>3870.65</v>
      </c>
    </row>
    <row r="3600" spans="1:4" x14ac:dyDescent="0.3">
      <c r="A3600" s="1" t="str">
        <f>"60017496800"</f>
        <v>60017496800</v>
      </c>
      <c r="B3600" s="1" t="str">
        <f>"DORAN DAVID W TR, DORAN LISA A TRUSTEE OF THE LISA A DORAN REVOCABLE TRUST"</f>
        <v>DORAN DAVID W TR, DORAN LISA A TRUSTEE OF THE LISA A DORAN REVOCABLE TRUST</v>
      </c>
      <c r="C3600" s="1" t="str">
        <f>"RAINIER AVE COOPER CROSSING LOT 15"</f>
        <v>RAINIER AVE COOPER CROSSING LOT 15</v>
      </c>
      <c r="D3600" s="1">
        <v>238.08</v>
      </c>
    </row>
    <row r="3601" spans="1:4" x14ac:dyDescent="0.3">
      <c r="A3601" s="1" t="str">
        <f>"22000130100"</f>
        <v>22000130100</v>
      </c>
      <c r="B3601" s="1" t="str">
        <f>"DORAN DAVID, DORAN JUDY, DORAN JEFFREY"</f>
        <v>DORAN DAVID, DORAN JUDY, DORAN JEFFREY</v>
      </c>
      <c r="C3601" s="1" t="str">
        <f>"HARLEM RD 2.368 ACRES "</f>
        <v xml:space="preserve">HARLEM RD 2.368 ACRES </v>
      </c>
      <c r="D3601" s="1">
        <v>5674.45</v>
      </c>
    </row>
    <row r="3602" spans="1:4" x14ac:dyDescent="0.3">
      <c r="A3602" s="1" t="str">
        <f>"61021384900"</f>
        <v>61021384900</v>
      </c>
      <c r="B3602" s="1" t="str">
        <f>"DORAN PAUL W"</f>
        <v>DORAN PAUL W</v>
      </c>
      <c r="C3602" s="1" t="str">
        <f>"DUBLIN &amp; WORTHINGTON ELMWOOD LOT 21"</f>
        <v>DUBLIN &amp; WORTHINGTON ELMWOOD LOT 21</v>
      </c>
      <c r="D3602" s="1">
        <v>22</v>
      </c>
    </row>
    <row r="3603" spans="1:4" x14ac:dyDescent="0.3">
      <c r="A3603" s="1" t="str">
        <f>"04000291400"</f>
        <v>04000291400</v>
      </c>
      <c r="B3603" s="1" t="str">
        <f>"DORCY JACK E, DORCY DEENA E"</f>
        <v>DORCY JACK E, DORCY DEENA E</v>
      </c>
      <c r="C3603" s="1" t="str">
        <f>"2534 DOLORES DRIVE BROOK PARK SEC 2 LOT 24"</f>
        <v>2534 DOLORES DRIVE BROOK PARK SEC 2 LOT 24</v>
      </c>
      <c r="D3603" s="1">
        <v>2282.5100000000002</v>
      </c>
    </row>
    <row r="3604" spans="1:4" x14ac:dyDescent="0.3">
      <c r="A3604" s="1" t="str">
        <f>"18000083000"</f>
        <v>18000083000</v>
      </c>
      <c r="B3604" s="1" t="str">
        <f>"DORION MICHAEL J, DORION SHEILA D"</f>
        <v>DORION MICHAEL J, DORION SHEILA D</v>
      </c>
      <c r="C3604" s="1" t="str">
        <f>"COURTWRIGHT RD TWILIGHT FARMS 17 S 1/2"</f>
        <v>COURTWRIGHT RD TWILIGHT FARMS 17 S 1/2</v>
      </c>
      <c r="D3604" s="1">
        <v>2287.31</v>
      </c>
    </row>
    <row r="3605" spans="1:4" x14ac:dyDescent="0.3">
      <c r="A3605" s="1" t="str">
        <f>"01030813000"</f>
        <v>01030813000</v>
      </c>
      <c r="B3605" s="1" t="str">
        <f>"DORSEY ELLEN SUE"</f>
        <v>DORSEY ELLEN SUE</v>
      </c>
      <c r="C3605" s="1" t="str">
        <f>"PRESERVE AT ROCKY FORK CONDOMINIUM 13TH AMD UNIT 62"</f>
        <v>PRESERVE AT ROCKY FORK CONDOMINIUM 13TH AMD UNIT 62</v>
      </c>
      <c r="D3605" s="1">
        <v>2608.14</v>
      </c>
    </row>
    <row r="3606" spans="1:4" x14ac:dyDescent="0.3">
      <c r="A3606" s="1" t="str">
        <f>"01016087100"</f>
        <v>01016087100</v>
      </c>
      <c r="B3606" s="1" t="str">
        <f>"DORSEY VALERIE L, DORSEY VONDELL L, DORSEY PRESTON E, DORSEY-SMITH VICKIE L"</f>
        <v>DORSEY VALERIE L, DORSEY VONDELL L, DORSEY PRESTON E, DORSEY-SMITH VICKIE L</v>
      </c>
      <c r="C3606" s="1" t="str">
        <f>"CASSADY AVE CASSADY FARMS NO 1 LOT 19"</f>
        <v>CASSADY AVE CASSADY FARMS NO 1 LOT 19</v>
      </c>
      <c r="D3606" s="1">
        <v>1053.93</v>
      </c>
    </row>
    <row r="3607" spans="1:4" x14ac:dyDescent="0.3">
      <c r="A3607" s="1" t="str">
        <f>"07001280600"</f>
        <v>07001280600</v>
      </c>
      <c r="B3607" s="1" t="str">
        <f>"DORSI JUDITH, DORSI NICHOLAS"</f>
        <v>DORSI JUDITH, DORSI NICHOLAS</v>
      </c>
      <c r="C3607" s="1" t="str">
        <f>"TROUVILLE TREMONT COND UNIT 6-I "</f>
        <v xml:space="preserve">TROUVILLE TREMONT COND UNIT 6-I </v>
      </c>
      <c r="D3607" s="1">
        <v>374.63</v>
      </c>
    </row>
    <row r="3608" spans="1:4" x14ac:dyDescent="0.3">
      <c r="A3608" s="1" t="str">
        <f>"14100008800"</f>
        <v>14100008800</v>
      </c>
      <c r="B3608" s="1" t="str">
        <f>"DORSIA PROPERTIES LLC"</f>
        <v>DORSIA PROPERTIES LLC</v>
      </c>
      <c r="C3608" s="1" t="str">
        <f>"420 EUREKA AVE PROSPECT LOT 44"</f>
        <v>420 EUREKA AVE PROSPECT LOT 44</v>
      </c>
      <c r="D3608" s="1">
        <v>138.91</v>
      </c>
    </row>
    <row r="3609" spans="1:4" x14ac:dyDescent="0.3">
      <c r="A3609" s="1" t="str">
        <f>"14100008900"</f>
        <v>14100008900</v>
      </c>
      <c r="B3609" s="1" t="str">
        <f>"DORSIA PROPERTIES LLC"</f>
        <v>DORSIA PROPERTIES LLC</v>
      </c>
      <c r="C3609" s="1" t="str">
        <f>"N EUREKA AVE PROSPECT PK LOT 45"</f>
        <v>N EUREKA AVE PROSPECT PK LOT 45</v>
      </c>
      <c r="D3609" s="1">
        <v>138.91</v>
      </c>
    </row>
    <row r="3610" spans="1:4" x14ac:dyDescent="0.3">
      <c r="A3610" s="1" t="str">
        <f>"14100009000"</f>
        <v>14100009000</v>
      </c>
      <c r="B3610" s="1" t="str">
        <f>"DORSIA PROPERTIES LLC"</f>
        <v>DORSIA PROPERTIES LLC</v>
      </c>
      <c r="C3610" s="1" t="str">
        <f>"N EUREKA AVE PROSPECT PK LOT 46"</f>
        <v>N EUREKA AVE PROSPECT PK LOT 46</v>
      </c>
      <c r="D3610" s="1">
        <v>138.91</v>
      </c>
    </row>
    <row r="3611" spans="1:4" x14ac:dyDescent="0.3">
      <c r="A3611" s="1" t="str">
        <f>"01018517900"</f>
        <v>01018517900</v>
      </c>
      <c r="B3611" s="1" t="str">
        <f>"DORTCH JUSTIN M"</f>
        <v>DORTCH JUSTIN M</v>
      </c>
      <c r="C3611" s="1" t="str">
        <f>"PLANTATION LAKES CONDO PHASE III BLDG 3 UNIT C"</f>
        <v>PLANTATION LAKES CONDO PHASE III BLDG 3 UNIT C</v>
      </c>
      <c r="D3611" s="1">
        <v>727.96</v>
      </c>
    </row>
    <row r="3612" spans="1:4" x14ac:dyDescent="0.3">
      <c r="A3612" s="1" t="str">
        <f>"02500696700"</f>
        <v>02500696700</v>
      </c>
      <c r="B3612" s="1" t="str">
        <f>"DOTA ROBERT A"</f>
        <v>DOTA ROBERT A</v>
      </c>
      <c r="C3612" s="1" t="str">
        <f>"254 MAYBANK COURT RESUB PT CHERRY BOTTOM SEC 2 LOT 237"</f>
        <v>254 MAYBANK COURT RESUB PT CHERRY BOTTOM SEC 2 LOT 237</v>
      </c>
      <c r="D3612" s="1">
        <v>366.61</v>
      </c>
    </row>
    <row r="3613" spans="1:4" x14ac:dyDescent="0.3">
      <c r="A3613" s="1" t="str">
        <f>"06000350400"</f>
        <v>06000350400</v>
      </c>
      <c r="B3613" s="1" t="str">
        <f>"DOTEL-RUIZ BERNABE, MACKIN-DOTEL MAUREEN"</f>
        <v>DOTEL-RUIZ BERNABE, MACKIN-DOTEL MAUREEN</v>
      </c>
      <c r="C3613" s="1" t="str">
        <f>"8134 HILTON DR AMD LUDLOW 11-11-71 LOT 66"</f>
        <v>8134 HILTON DR AMD LUDLOW 11-11-71 LOT 66</v>
      </c>
      <c r="D3613" s="1">
        <v>2833.79</v>
      </c>
    </row>
    <row r="3614" spans="1:4" x14ac:dyDescent="0.3">
      <c r="A3614" s="1" t="str">
        <f>"57024369800"</f>
        <v>57024369800</v>
      </c>
      <c r="B3614" s="1" t="str">
        <f>"DOTSON STEPHANIE J"</f>
        <v>DOTSON STEPHANIE J</v>
      </c>
      <c r="C3614" s="1" t="str">
        <f>"EASTBROOK DRIVE SENECA WOODS SECTION 4 LOT 192"</f>
        <v>EASTBROOK DRIVE SENECA WOODS SECTION 4 LOT 192</v>
      </c>
      <c r="D3614" s="1">
        <v>1596.97</v>
      </c>
    </row>
    <row r="3615" spans="1:4" x14ac:dyDescent="0.3">
      <c r="A3615" s="1" t="str">
        <f>"01019102600"</f>
        <v>01019102600</v>
      </c>
      <c r="B3615" s="1" t="str">
        <f>"DOUBLE PORTIONS LLC"</f>
        <v>DOUBLE PORTIONS LLC</v>
      </c>
      <c r="C3615" s="1" t="str">
        <f>"WORTHINGTON FOREST CONDO UNIT 5443 BLDG 1B"</f>
        <v>WORTHINGTON FOREST CONDO UNIT 5443 BLDG 1B</v>
      </c>
      <c r="D3615" s="1">
        <v>1514.79</v>
      </c>
    </row>
    <row r="3616" spans="1:4" x14ac:dyDescent="0.3">
      <c r="A3616" s="1" t="str">
        <f>"57019341700"</f>
        <v>57019341700</v>
      </c>
      <c r="B3616" s="1" t="str">
        <f>"DOUGLAS LINDA S"</f>
        <v>DOUGLAS LINDA S</v>
      </c>
      <c r="C3616" s="1" t="str">
        <f>"BOWDOIN CIR WESTEN RUN SEC 1 LOT 30"</f>
        <v>BOWDOIN CIR WESTEN RUN SEC 1 LOT 30</v>
      </c>
      <c r="D3616" s="1">
        <v>3470.8</v>
      </c>
    </row>
    <row r="3617" spans="1:4" x14ac:dyDescent="0.3">
      <c r="A3617" s="1" t="str">
        <f>"01025343500"</f>
        <v>01025343500</v>
      </c>
      <c r="B3617" s="1" t="str">
        <f>"DOUGLAS STEPHAN R, DOUGLAS REGINA M"</f>
        <v>DOUGLAS STEPHAN R, DOUGLAS REGINA M</v>
      </c>
      <c r="C3617" s="1" t="str">
        <f>"CANNOCK LN MCCUTCHEON MEADOWS LOT 37"</f>
        <v>CANNOCK LN MCCUTCHEON MEADOWS LOT 37</v>
      </c>
      <c r="D3617" s="1">
        <v>8289.83</v>
      </c>
    </row>
    <row r="3618" spans="1:4" x14ac:dyDescent="0.3">
      <c r="A3618" s="1" t="str">
        <f>"01001290900"</f>
        <v>01001290900</v>
      </c>
      <c r="B3618" s="1" t="str">
        <f>"DOUGLASS THEODORE J"</f>
        <v>DOUGLASS THEODORE J</v>
      </c>
      <c r="C3618" s="1" t="str">
        <f>"200 SYCAMORE ST DENNER LT 6 &amp; 29.51'WS LT 7"</f>
        <v>200 SYCAMORE ST DENNER LT 6 &amp; 29.51'WS LT 7</v>
      </c>
      <c r="D3618" s="1">
        <v>18378.87</v>
      </c>
    </row>
    <row r="3619" spans="1:4" x14ac:dyDescent="0.3">
      <c r="A3619" s="1" t="str">
        <f>"01008636000"</f>
        <v>01008636000</v>
      </c>
      <c r="B3619" s="1" t="str">
        <f>"DOURIDAS REGINA TR"</f>
        <v>DOURIDAS REGINA TR</v>
      </c>
      <c r="C3619" s="1" t="str">
        <f>"SHEFFIELD RD BEECHWOLD SOUTH LOT 89"</f>
        <v>SHEFFIELD RD BEECHWOLD SOUTH LOT 89</v>
      </c>
      <c r="D3619" s="1">
        <v>295.12</v>
      </c>
    </row>
    <row r="3620" spans="1:4" x14ac:dyDescent="0.3">
      <c r="A3620" s="1" t="str">
        <f>"23000088900"</f>
        <v>23000088900</v>
      </c>
      <c r="B3620" s="1" t="str">
        <f>"DOUTHITT ROY T, DOUTHITT PAULA"</f>
        <v>DOUTHITT ROY T, DOUTHITT PAULA</v>
      </c>
      <c r="C3620" s="1" t="str">
        <f>"BROWNING RD .922 ACRE ENTRY 7281- 12796"</f>
        <v>BROWNING RD .922 ACRE ENTRY 7281- 12796</v>
      </c>
      <c r="D3620" s="1">
        <v>3582.07</v>
      </c>
    </row>
    <row r="3621" spans="1:4" x14ac:dyDescent="0.3">
      <c r="A3621" s="1" t="str">
        <f>"04001774000"</f>
        <v>04001774000</v>
      </c>
      <c r="B3621" s="1" t="str">
        <f>"DOVER ALEXANDER DUANE, DOVER KRISTEN ANN"</f>
        <v>DOVER ALEXANDER DUANE, DOVER KRISTEN ANN</v>
      </c>
      <c r="C3621" s="1" t="str">
        <f>"HOLTON RUN SECTION 4 LOT 168"</f>
        <v>HOLTON RUN SECTION 4 LOT 168</v>
      </c>
      <c r="D3621" s="1">
        <v>1054.44</v>
      </c>
    </row>
    <row r="3622" spans="1:4" x14ac:dyDescent="0.3">
      <c r="A3622" s="1" t="str">
        <f>"59018666400"</f>
        <v>59018666400</v>
      </c>
      <c r="B3622" s="1" t="str">
        <f>"DOVER MATTHEW V, JALLAQ OTTA I"</f>
        <v>DOVER MATTHEW V, JALLAQ OTTA I</v>
      </c>
      <c r="C3622" s="1" t="str">
        <f>"BANNISTER DR NW WOODGATE CONDO 1 UNIT 6268"</f>
        <v>BANNISTER DR NW WOODGATE CONDO 1 UNIT 6268</v>
      </c>
      <c r="D3622" s="1">
        <v>3652</v>
      </c>
    </row>
    <row r="3623" spans="1:4" x14ac:dyDescent="0.3">
      <c r="A3623" s="1" t="str">
        <f>"01004455500"</f>
        <v>01004455500</v>
      </c>
      <c r="B3623" s="1" t="str">
        <f>"DOVES' NEST 184 LLC"</f>
        <v>DOVES' NEST 184 LLC</v>
      </c>
      <c r="C3623" s="1" t="str">
        <f>"184 REINHARD AVE JAEGER LOT 160 W1/2"</f>
        <v>184 REINHARD AVE JAEGER LOT 160 W1/2</v>
      </c>
      <c r="D3623" s="1">
        <v>7343.89</v>
      </c>
    </row>
    <row r="3624" spans="1:4" x14ac:dyDescent="0.3">
      <c r="A3624" s="1" t="str">
        <f>"01006726000"</f>
        <v>01006726000</v>
      </c>
      <c r="B3624" s="1" t="str">
        <f>"DOWELL SHARON D"</f>
        <v>DOWELL SHARON D</v>
      </c>
      <c r="C3624" s="1" t="str">
        <f>"860 S WAYNE AVE WESTLAND EXT ALL LOT 184 PT 183"</f>
        <v>860 S WAYNE AVE WESTLAND EXT ALL LOT 184 PT 183</v>
      </c>
      <c r="D3624" s="1">
        <v>303.33999999999997</v>
      </c>
    </row>
    <row r="3625" spans="1:4" x14ac:dyDescent="0.3">
      <c r="A3625" s="1" t="str">
        <f>"05000127600"</f>
        <v>05000127600</v>
      </c>
      <c r="B3625" s="1" t="str">
        <f>"DOWNEY JOHN F, DOWNEY JANET L"</f>
        <v>DOWNEY JOHN F, DOWNEY JANET L</v>
      </c>
      <c r="C3625" s="1" t="str">
        <f>"5246 SCIOTO DARBY DR LUXAIR 2 LOT 115"</f>
        <v>5246 SCIOTO DARBY DR LUXAIR 2 LOT 115</v>
      </c>
      <c r="D3625" s="1">
        <v>255.51</v>
      </c>
    </row>
    <row r="3626" spans="1:4" x14ac:dyDescent="0.3">
      <c r="A3626" s="1" t="str">
        <f>"07000048300"</f>
        <v>07000048300</v>
      </c>
      <c r="B3626" s="1" t="str">
        <f>"DOWNEY LISA, GEARHART RODNEY"</f>
        <v>DOWNEY LISA, GEARHART RODNEY</v>
      </c>
      <c r="C3626" s="1" t="str">
        <f>"1918 TREMONT RD UPPER ARLINGTON LOT 3 BLK 27"</f>
        <v>1918 TREMONT RD UPPER ARLINGTON LOT 3 BLK 27</v>
      </c>
      <c r="D3626" s="1">
        <v>684.79</v>
      </c>
    </row>
    <row r="3627" spans="1:4" x14ac:dyDescent="0.3">
      <c r="A3627" s="1" t="str">
        <f>"16000310600"</f>
        <v>16000310600</v>
      </c>
      <c r="B3627" s="1" t="str">
        <f>"DOWNEY MARIA, DOWNEY ROBERT"</f>
        <v>DOWNEY MARIA, DOWNEY ROBERT</v>
      </c>
      <c r="C3627" s="1" t="str">
        <f>"BORROR RD BADGER &amp; MITCHELL 1.906 ACRES"</f>
        <v>BORROR RD BADGER &amp; MITCHELL 1.906 ACRES</v>
      </c>
      <c r="D3627" s="1">
        <v>1811.96</v>
      </c>
    </row>
    <row r="3628" spans="1:4" x14ac:dyDescent="0.3">
      <c r="A3628" s="1" t="str">
        <f>"05000178800"</f>
        <v>05000178800</v>
      </c>
      <c r="B3628" s="1" t="str">
        <f>"DOWNEY WALTER A, DOWNEY LISA R"</f>
        <v>DOWNEY WALTER A, DOWNEY LISA R</v>
      </c>
      <c r="C3628" s="1" t="str">
        <f>"5087 WYANDOT PLACE LUXAIR 3 LOT 82"</f>
        <v>5087 WYANDOT PLACE LUXAIR 3 LOT 82</v>
      </c>
      <c r="D3628" s="1">
        <v>280.74</v>
      </c>
    </row>
    <row r="3629" spans="1:4" x14ac:dyDescent="0.3">
      <c r="A3629" s="1" t="str">
        <f>"01026761300"</f>
        <v>01026761300</v>
      </c>
      <c r="B3629" s="1" t="str">
        <f>"DOWNING DANIEL J"</f>
        <v>DOWNING DANIEL J</v>
      </c>
      <c r="C3629" s="1" t="str">
        <f>"DENNISON HOMES            CONDOMINIUM               UNIT 928                 "</f>
        <v xml:space="preserve">DENNISON HOMES            CONDOMINIUM               UNIT 928                 </v>
      </c>
      <c r="D3629" s="1">
        <v>2264.79</v>
      </c>
    </row>
    <row r="3630" spans="1:4" x14ac:dyDescent="0.3">
      <c r="A3630" s="1" t="str">
        <f>"01018481200"</f>
        <v>01018481200</v>
      </c>
      <c r="B3630" s="1" t="str">
        <f>"DOWNTOWN TIANO III LTD"</f>
        <v>DOWNTOWN TIANO III LTD</v>
      </c>
      <c r="C3630" s="1" t="str">
        <f>"175 S THIRD STREET IN LOT PT LOT 428-429-430"</f>
        <v>175 S THIRD STREET IN LOT PT LOT 428-429-430</v>
      </c>
      <c r="D3630" s="1">
        <v>21854.77</v>
      </c>
    </row>
    <row r="3631" spans="1:4" x14ac:dyDescent="0.3">
      <c r="A3631" s="1" t="str">
        <f>"05001195200"</f>
        <v>05001195200</v>
      </c>
      <c r="B3631" s="1" t="str">
        <f>"DOYLE CHRISTOPHER S TTEE"</f>
        <v>DOYLE CHRISTOPHER S TTEE</v>
      </c>
      <c r="C3631" s="1" t="str">
        <f>"THE COURTYARDS AT CARR FARMS SECTION 6 LOT 215"</f>
        <v>THE COURTYARDS AT CARR FARMS SECTION 6 LOT 215</v>
      </c>
      <c r="D3631" s="1">
        <v>304.81</v>
      </c>
    </row>
    <row r="3632" spans="1:4" x14ac:dyDescent="0.3">
      <c r="A3632" s="1" t="str">
        <f>"18000494400"</f>
        <v>18000494400</v>
      </c>
      <c r="B3632" s="1" t="str">
        <f>"DP REAL ESTATE HOLDINGS LLC"</f>
        <v>DP REAL ESTATE HOLDINGS LLC</v>
      </c>
      <c r="C3632" s="1" t="str">
        <f>"HENDRON ROAD R21 T11 S20 1.97 ACRES"</f>
        <v>HENDRON ROAD R21 T11 S20 1.97 ACRES</v>
      </c>
      <c r="D3632" s="1">
        <v>6107.18</v>
      </c>
    </row>
    <row r="3633" spans="1:4" x14ac:dyDescent="0.3">
      <c r="A3633" s="1" t="str">
        <f>"10000074800"</f>
        <v>10000074800</v>
      </c>
      <c r="B3633" s="1" t="str">
        <f>"DRABANT DONALD J TR"</f>
        <v>DRABANT DONALD J TR</v>
      </c>
      <c r="C3633" s="1" t="str">
        <f>"872 OXFORD ST PTS INLOTS 11 22 CITY OF WORTHINGTON"</f>
        <v>872 OXFORD ST PTS INLOTS 11 22 CITY OF WORTHINGTON</v>
      </c>
      <c r="D3633" s="1">
        <v>6565.02</v>
      </c>
    </row>
    <row r="3634" spans="1:4" x14ac:dyDescent="0.3">
      <c r="A3634" s="1" t="str">
        <f>"54524164300"</f>
        <v>54524164300</v>
      </c>
      <c r="B3634" s="1" t="str">
        <f>"DRABEK MICHAEL J, DRABEK JENNIFER LYNN"</f>
        <v>DRABEK MICHAEL J, DRABEK JENNIFER LYNN</v>
      </c>
      <c r="C3634" s="1" t="str">
        <f>"HEADWATER TRAIL WEST HAMPSTED SECTION 2 LOT 119"</f>
        <v>HEADWATER TRAIL WEST HAMPSTED SECTION 2 LOT 119</v>
      </c>
      <c r="D3634" s="1">
        <v>246.6</v>
      </c>
    </row>
    <row r="3635" spans="1:4" x14ac:dyDescent="0.3">
      <c r="A3635" s="1" t="str">
        <f>"07000145100"</f>
        <v>07000145100</v>
      </c>
      <c r="B3635" s="1" t="str">
        <f>"DRAGON - ARLINGTON LLC"</f>
        <v>DRAGON - ARLINGTON LLC</v>
      </c>
      <c r="C3635" s="1" t="str">
        <f>"2208 ARLINGTON AVE UPPER ARLINGTON AMD LOT 9-10 BLK 70"</f>
        <v>2208 ARLINGTON AVE UPPER ARLINGTON AMD LOT 9-10 BLK 70</v>
      </c>
      <c r="D3635" s="1">
        <v>2268.13</v>
      </c>
    </row>
    <row r="3636" spans="1:4" x14ac:dyDescent="0.3">
      <c r="A3636" s="1" t="str">
        <f>"01011492900"</f>
        <v>01011492900</v>
      </c>
      <c r="B3636" s="1" t="str">
        <f>"DRAKE CHRISTOPHER, BARLOW LAVENUS M"</f>
        <v>DRAKE CHRISTOPHER, BARLOW LAVENUS M</v>
      </c>
      <c r="C3636" s="1" t="str">
        <f>"OAKWOOD AVE ALL L61 &amp;10FT N END L 62 EARHART LOT 61-62"</f>
        <v>OAKWOOD AVE ALL L61 &amp;10FT N END L 62 EARHART LOT 61-62</v>
      </c>
      <c r="D3636" s="1">
        <v>113</v>
      </c>
    </row>
    <row r="3637" spans="1:4" x14ac:dyDescent="0.3">
      <c r="A3637" s="1" t="str">
        <f>"13000201800"</f>
        <v>13000201800</v>
      </c>
      <c r="B3637" s="1" t="str">
        <f>"DRAKE RHIANA, SHELTON DAVID"</f>
        <v>DRAKE RHIANA, SHELTON DAVID</v>
      </c>
      <c r="C3637" s="1" t="str">
        <f>"WARD ROAD ALL LOT 385 &amp; W1/2 LOT 386 NORTH LINDEN #1"</f>
        <v>WARD ROAD ALL LOT 385 &amp; W1/2 LOT 386 NORTH LINDEN #1</v>
      </c>
      <c r="D3637" s="1">
        <v>4722.25</v>
      </c>
    </row>
    <row r="3638" spans="1:4" x14ac:dyDescent="0.3">
      <c r="A3638" s="1" t="str">
        <f>"01016677700"</f>
        <v>01016677700</v>
      </c>
      <c r="B3638" s="1" t="str">
        <f>"DRAPER ALISSA MARIE"</f>
        <v>DRAPER ALISSA MARIE</v>
      </c>
      <c r="C3638" s="1" t="str">
        <f>"1808 BRENTNELL AVE AMVET HOMESTEAD 2 LOT 4 BLK J"</f>
        <v>1808 BRENTNELL AVE AMVET HOMESTEAD 2 LOT 4 BLK J</v>
      </c>
      <c r="D3638" s="1">
        <v>1701.82</v>
      </c>
    </row>
    <row r="3639" spans="1:4" x14ac:dyDescent="0.3">
      <c r="A3639" s="1" t="str">
        <f>"01016124200"</f>
        <v>01016124200</v>
      </c>
      <c r="B3639" s="1" t="str">
        <f>"DRAUDT JANE L TOD"</f>
        <v>DRAUDT JANE L TOD</v>
      </c>
      <c r="C3639" s="1" t="str">
        <f>"WOODBROOK LANE WOODBROOK VILLAGE CONDO UNIT 276"</f>
        <v>WOODBROOK LANE WOODBROOK VILLAGE CONDO UNIT 276</v>
      </c>
      <c r="D3639" s="1">
        <v>43.89</v>
      </c>
    </row>
    <row r="3640" spans="1:4" x14ac:dyDescent="0.3">
      <c r="A3640" s="1" t="str">
        <f>"01007102200"</f>
        <v>01007102200</v>
      </c>
      <c r="B3640" s="1" t="str">
        <f>"DRAUGHON LATASHA C"</f>
        <v>DRAUGHON LATASHA C</v>
      </c>
      <c r="C3640" s="1" t="str">
        <f>"E 5TH AVE 1701 GEORG E WASHINGTON CARVER LOT 2"</f>
        <v>E 5TH AVE 1701 GEORG E WASHINGTON CARVER LOT 2</v>
      </c>
      <c r="D3640" s="1">
        <v>2857.72</v>
      </c>
    </row>
    <row r="3641" spans="1:4" x14ac:dyDescent="0.3">
      <c r="A3641" s="1" t="str">
        <f>"01007104500"</f>
        <v>01007104500</v>
      </c>
      <c r="B3641" s="1" t="str">
        <f>"DRAUGHON LATASHA C, MCCRARY TAMLYN R"</f>
        <v>DRAUGHON LATASHA C, MCCRARY TAMLYN R</v>
      </c>
      <c r="C3641" s="1" t="str">
        <f>"45 GEORGE WASHINGTON CARVER LOT RES B "</f>
        <v xml:space="preserve">45 GEORGE WASHINGTON CARVER LOT RES B </v>
      </c>
      <c r="D3641" s="1">
        <v>278.75</v>
      </c>
    </row>
    <row r="3642" spans="1:4" x14ac:dyDescent="0.3">
      <c r="A3642" s="1" t="str">
        <f>"01001173400"</f>
        <v>01001173400</v>
      </c>
      <c r="B3642" s="1" t="str">
        <f>"DRE PROPERTIES LLC"</f>
        <v>DRE PROPERTIES LLC</v>
      </c>
      <c r="C3642" s="1" t="str">
        <f>"15TH AVE L290&amp;11FT WSL 291 LOUIS HTS LOT 290-291"</f>
        <v>15TH AVE L290&amp;11FT WSL 291 LOUIS HTS LOT 290-291</v>
      </c>
      <c r="D3642" s="1">
        <v>2019.57</v>
      </c>
    </row>
    <row r="3643" spans="1:4" x14ac:dyDescent="0.3">
      <c r="A3643" s="1" t="str">
        <f>"01009893700"</f>
        <v>01009893700</v>
      </c>
      <c r="B3643" s="1" t="str">
        <f>"DREAM HOMES ELITE LLC"</f>
        <v>DREAM HOMES ELITE LLC</v>
      </c>
      <c r="C3643" s="1" t="str">
        <f>"KENMORE AVE EX11 FT WS NORLEA PK LOT 29"</f>
        <v>KENMORE AVE EX11 FT WS NORLEA PK LOT 29</v>
      </c>
      <c r="D3643" s="1">
        <v>2371.87</v>
      </c>
    </row>
    <row r="3644" spans="1:4" x14ac:dyDescent="0.3">
      <c r="A3644" s="1" t="str">
        <f>"01013509000"</f>
        <v>01013509000</v>
      </c>
      <c r="B3644" s="1" t="str">
        <f>"DREAM LIVING LLC"</f>
        <v>DREAM LIVING LLC</v>
      </c>
      <c r="C3644" s="1" t="str">
        <f>"LONGFIELD RD BROOKSHIRE SOUTH LOT 121"</f>
        <v>LONGFIELD RD BROOKSHIRE SOUTH LOT 121</v>
      </c>
      <c r="D3644" s="1">
        <v>3725.55</v>
      </c>
    </row>
    <row r="3645" spans="1:4" x14ac:dyDescent="0.3">
      <c r="A3645" s="1" t="str">
        <f>"01011192600"</f>
        <v>01011192600</v>
      </c>
      <c r="B3645" s="1" t="str">
        <f>"DREAM LIVING LLC"</f>
        <v>DREAM LIVING LLC</v>
      </c>
      <c r="C3645" s="1" t="str">
        <f>"SMITH RD R22 T5 S261/2 S39 .26 ACRES"</f>
        <v>SMITH RD R22 T5 S261/2 S39 .26 ACRES</v>
      </c>
      <c r="D3645" s="1">
        <v>2659.53</v>
      </c>
    </row>
    <row r="3646" spans="1:4" x14ac:dyDescent="0.3">
      <c r="A3646" s="1" t="str">
        <f>"01003048500"</f>
        <v>01003048500</v>
      </c>
      <c r="B3646" s="1" t="str">
        <f>"DREAM LIVING LLC"</f>
        <v>DREAM LIVING LLC</v>
      </c>
      <c r="C3646" s="1" t="str">
        <f>"1211 E WHITTIER ST STUDER AMD LOT 331"</f>
        <v>1211 E WHITTIER ST STUDER AMD LOT 331</v>
      </c>
      <c r="D3646" s="1">
        <v>3335.75</v>
      </c>
    </row>
    <row r="3647" spans="1:4" x14ac:dyDescent="0.3">
      <c r="A3647" s="1" t="str">
        <f>"01005177000"</f>
        <v>01005177000</v>
      </c>
      <c r="B3647" s="1" t="str">
        <f>"DREAM LIVING LLC"</f>
        <v>DREAM LIVING LLC</v>
      </c>
      <c r="C3647" s="1" t="str">
        <f>"1207 E WHITTIER ST STUDER AMD LOT 330"</f>
        <v>1207 E WHITTIER ST STUDER AMD LOT 330</v>
      </c>
      <c r="D3647" s="1">
        <v>1053.94</v>
      </c>
    </row>
    <row r="3648" spans="1:4" x14ac:dyDescent="0.3">
      <c r="A3648" s="1" t="str">
        <f>"01012544100"</f>
        <v>01012544100</v>
      </c>
      <c r="B3648" s="1" t="str">
        <f>"DREAM LIVING LLC"</f>
        <v>DREAM LIVING LLC</v>
      </c>
      <c r="C3648" s="1" t="str">
        <f>"GROVEWOOD DR SOUTHFIELD 2ND LOT 246"</f>
        <v>GROVEWOOD DR SOUTHFIELD 2ND LOT 246</v>
      </c>
      <c r="D3648" s="1">
        <v>2211.9499999999998</v>
      </c>
    </row>
    <row r="3649" spans="1:4" x14ac:dyDescent="0.3">
      <c r="A3649" s="1" t="str">
        <f>"01003550900"</f>
        <v>01003550900</v>
      </c>
      <c r="B3649" s="1" t="str">
        <f>"DREAM LIVING LLC"</f>
        <v>DREAM LIVING LLC</v>
      </c>
      <c r="C3649" s="1" t="str">
        <f>"18-24 WHITETHORNE LOT 6 OBLENNESS"</f>
        <v>18-24 WHITETHORNE LOT 6 OBLENNESS</v>
      </c>
      <c r="D3649" s="1">
        <v>2753.12</v>
      </c>
    </row>
    <row r="3650" spans="1:4" x14ac:dyDescent="0.3">
      <c r="A3650" s="1" t="str">
        <f>"01001867200"</f>
        <v>01001867200</v>
      </c>
      <c r="B3650" s="1" t="str">
        <f>"DREAM LIVING LLC"</f>
        <v>DREAM LIVING LLC</v>
      </c>
      <c r="C3650" s="1" t="str">
        <f>"1270-72 ATCHESON ST WETMORE LOT 166"</f>
        <v>1270-72 ATCHESON ST WETMORE LOT 166</v>
      </c>
      <c r="D3650" s="1">
        <v>4094.18</v>
      </c>
    </row>
    <row r="3651" spans="1:4" x14ac:dyDescent="0.3">
      <c r="A3651" s="1" t="str">
        <f>"02501131000"</f>
        <v>02501131000</v>
      </c>
      <c r="B3651" s="1" t="str">
        <f>"DREAM PROJECT LLC"</f>
        <v>DREAM PROJECT LLC</v>
      </c>
      <c r="C3651" s="1" t="str">
        <f>"BROOK HOLLOW TAYLOR FALLS  LTS 9-16 &amp; PT VAC ST,PT RES=0.672 AC"</f>
        <v>BROOK HOLLOW TAYLOR FALLS  LTS 9-16 &amp; PT VAC ST,PT RES=0.672 AC</v>
      </c>
      <c r="D3651" s="1">
        <v>29659.1</v>
      </c>
    </row>
    <row r="3652" spans="1:4" x14ac:dyDescent="0.3">
      <c r="A3652" s="1" t="str">
        <f>"01020847800"</f>
        <v>01020847800</v>
      </c>
      <c r="B3652" s="1" t="str">
        <f>"DREAMA COOPER"</f>
        <v>DREAMA COOPER</v>
      </c>
      <c r="C3652" s="1" t="str">
        <f>"NORTHLAND SENIOR VILLAGE CONDO 3 UNIT 308"</f>
        <v>NORTHLAND SENIOR VILLAGE CONDO 3 UNIT 308</v>
      </c>
      <c r="D3652" s="1">
        <v>331.41</v>
      </c>
    </row>
    <row r="3653" spans="1:4" x14ac:dyDescent="0.3">
      <c r="A3653" s="1" t="str">
        <f>"01014425200"</f>
        <v>01014425200</v>
      </c>
      <c r="B3653" s="1" t="str">
        <f>"DREAMHOUSE LLC"</f>
        <v>DREAMHOUSE LLC</v>
      </c>
      <c r="C3653" s="1" t="str">
        <f>"REFUGEE RD MAYBURY LOT 9"</f>
        <v>REFUGEE RD MAYBURY LOT 9</v>
      </c>
      <c r="D3653" s="1">
        <v>959.57</v>
      </c>
    </row>
    <row r="3654" spans="1:4" x14ac:dyDescent="0.3">
      <c r="A3654" s="1" t="str">
        <f>"20000180800"</f>
        <v>20000180800</v>
      </c>
      <c r="B3654" s="1" t="str">
        <f>"DREI KINDER GROUP LLC"</f>
        <v>DREI KINDER GROUP LLC</v>
      </c>
      <c r="C3654" s="1" t="str">
        <f>"4023 THE OLD POST RD CHANTICLEER 26 "</f>
        <v xml:space="preserve">4023 THE OLD POST RD CHANTICLEER 26 </v>
      </c>
      <c r="D3654" s="1">
        <v>932.42</v>
      </c>
    </row>
    <row r="3655" spans="1:4" x14ac:dyDescent="0.3">
      <c r="A3655" s="1" t="str">
        <f>"07000838600"</f>
        <v>07000838600</v>
      </c>
      <c r="B3655" s="1" t="str">
        <f>"DRENNEN MARY CECELIA TR"</f>
        <v>DRENNEN MARY CECELIA TR</v>
      </c>
      <c r="C3655" s="1" t="str">
        <f>"3811 SURREY HILL PL SURREY HILL 103 "</f>
        <v xml:space="preserve">3811 SURREY HILL PL SURREY HILL 103 </v>
      </c>
      <c r="D3655" s="1">
        <v>532.46</v>
      </c>
    </row>
    <row r="3656" spans="1:4" x14ac:dyDescent="0.3">
      <c r="A3656" s="1" t="str">
        <f>"02501156900"</f>
        <v>02501156900</v>
      </c>
      <c r="B3656" s="1" t="str">
        <f>"DRESKA JOHN M, DRESKA CAROL J"</f>
        <v>DRESKA JOHN M, DRESKA CAROL J</v>
      </c>
      <c r="C3656" s="1" t="str">
        <f>"FARMWOOD PLACE FARM CREEK SECTION 3 LOT 100"</f>
        <v>FARMWOOD PLACE FARM CREEK SECTION 3 LOT 100</v>
      </c>
      <c r="D3656" s="1">
        <v>4212.55</v>
      </c>
    </row>
    <row r="3657" spans="1:4" x14ac:dyDescent="0.3">
      <c r="A3657" s="1" t="str">
        <f>"27300558900"</f>
        <v>27300558900</v>
      </c>
      <c r="B3657" s="1" t="str">
        <f>"DRESVYANNIKOV NIKOLAY M, DRESVYANNIKOV MIKHAIL, DRESVYANNIKOV ALEKSANDR M"</f>
        <v>DRESVYANNIKOV NIKOLAY M, DRESVYANNIKOV MIKHAIL, DRESVYANNIKOV ALEKSANDR M</v>
      </c>
      <c r="C3657" s="1" t="str">
        <f>"6345 WILCOX RD 1.657 AC "</f>
        <v xml:space="preserve">6345 WILCOX RD 1.657 AC </v>
      </c>
      <c r="D3657" s="1">
        <v>3802.82</v>
      </c>
    </row>
    <row r="3658" spans="1:4" x14ac:dyDescent="0.3">
      <c r="A3658" s="1" t="str">
        <f>"01006089600"</f>
        <v>01006089600</v>
      </c>
      <c r="B3658" s="1" t="str">
        <f>"DREW MARILYN L"</f>
        <v>DREW MARILYN L</v>
      </c>
      <c r="C3658" s="1" t="str">
        <f>"1597 CORDELL AVE INNIS CREST LOT 289"</f>
        <v>1597 CORDELL AVE INNIS CREST LOT 289</v>
      </c>
      <c r="D3658" s="1">
        <v>1055.53</v>
      </c>
    </row>
    <row r="3659" spans="1:4" x14ac:dyDescent="0.3">
      <c r="A3659" s="1" t="str">
        <f>"01006089700"</f>
        <v>01006089700</v>
      </c>
      <c r="B3659" s="1" t="str">
        <f>"DREW MARILYN L"</f>
        <v>DREW MARILYN L</v>
      </c>
      <c r="C3659" s="1" t="str">
        <f>"CORDELL AVE INNIS CREST LOT 290"</f>
        <v>CORDELL AVE INNIS CREST LOT 290</v>
      </c>
      <c r="D3659" s="1">
        <v>282.47000000000003</v>
      </c>
    </row>
    <row r="3660" spans="1:4" x14ac:dyDescent="0.3">
      <c r="A3660" s="1" t="str">
        <f>"55028342800"</f>
        <v>55028342800</v>
      </c>
      <c r="B3660" s="1" t="str">
        <f>"DREYZIN ALEXANDER, DREYZIN TATYANA"</f>
        <v>DREYZIN ALEXANDER, DREYZIN TATYANA</v>
      </c>
      <c r="C3660" s="1" t="str">
        <f>"GRAND RESERVE AT REYNOLDS CROSSING CONDOMINIUM      UNIT 11                  "</f>
        <v xml:space="preserve">GRAND RESERVE AT REYNOLDS CROSSING CONDOMINIUM      UNIT 11                  </v>
      </c>
      <c r="D3660" s="1">
        <v>213.17</v>
      </c>
    </row>
    <row r="3661" spans="1:4" x14ac:dyDescent="0.3">
      <c r="A3661" s="1" t="str">
        <f>"01000818600"</f>
        <v>01000818600</v>
      </c>
      <c r="B3661" s="1" t="str">
        <f>"DREZ PROPERTIES LLC"</f>
        <v>DREZ PROPERTIES LLC</v>
      </c>
      <c r="C3661" s="1" t="str">
        <f>"846 TAYLOR AVE LOT 5-6 "</f>
        <v xml:space="preserve">846 TAYLOR AVE LOT 5-6 </v>
      </c>
      <c r="D3661" s="1">
        <v>2233.42</v>
      </c>
    </row>
    <row r="3662" spans="1:4" x14ac:dyDescent="0.3">
      <c r="A3662" s="1" t="str">
        <f>"01000641300"</f>
        <v>01000641300</v>
      </c>
      <c r="B3662" s="1" t="str">
        <f>"DRISCOLL WILLIAM J TR, DRISCOLL PHYLLIS J TR"</f>
        <v>DRISCOLL WILLIAM J TR, DRISCOLL PHYLLIS J TR</v>
      </c>
      <c r="C3662" s="1" t="str">
        <f>"870 CITY PK AVE 31.25X93.50FT SW COR JAEGER LOT 89"</f>
        <v>870 CITY PK AVE 31.25X93.50FT SW COR JAEGER LOT 89</v>
      </c>
      <c r="D3662" s="1">
        <v>5108.79</v>
      </c>
    </row>
    <row r="3663" spans="1:4" x14ac:dyDescent="0.3">
      <c r="A3663" s="1" t="str">
        <f>"01002195100"</f>
        <v>01002195100</v>
      </c>
      <c r="B3663" s="1" t="str">
        <f>"DRIVER TERI C, SPENCER STACY L"</f>
        <v>DRIVER TERI C, SPENCER STACY L</v>
      </c>
      <c r="C3663" s="1" t="str">
        <f>"1343 N SIXTH ST NEW INDIANOLA LOT 286"</f>
        <v>1343 N SIXTH ST NEW INDIANOLA LOT 286</v>
      </c>
      <c r="D3663" s="1">
        <v>577.29</v>
      </c>
    </row>
    <row r="3664" spans="1:4" x14ac:dyDescent="0.3">
      <c r="A3664" s="1" t="str">
        <f>"61019479600"</f>
        <v>61019479600</v>
      </c>
      <c r="B3664" s="1" t="str">
        <f>"DROWN WILLIAM K"</f>
        <v>DROWN WILLIAM K</v>
      </c>
      <c r="C3664" s="1" t="str">
        <f>"DOWNEY DR WORTHINGTON RUN SEC 3 LOT 144"</f>
        <v>DOWNEY DR WORTHINGTON RUN SEC 3 LOT 144</v>
      </c>
      <c r="D3664" s="1">
        <v>283.69</v>
      </c>
    </row>
    <row r="3665" spans="1:4" x14ac:dyDescent="0.3">
      <c r="A3665" s="1" t="str">
        <f>"23200003800"</f>
        <v>23200003800</v>
      </c>
      <c r="B3665" s="1" t="str">
        <f>"DRUM WAYNE E, DRUM JUDY K"</f>
        <v>DRUM WAYNE E, DRUM JUDY K</v>
      </c>
      <c r="C3665" s="1" t="str">
        <f>"GEORGES-WRIGHTS ENTRY 8423 1.245 ACRES"</f>
        <v>GEORGES-WRIGHTS ENTRY 8423 1.245 ACRES</v>
      </c>
      <c r="D3665" s="1">
        <v>163.08000000000001</v>
      </c>
    </row>
    <row r="3666" spans="1:4" x14ac:dyDescent="0.3">
      <c r="A3666" s="1" t="str">
        <f>"06000469600"</f>
        <v>06000469600</v>
      </c>
      <c r="B3666" s="1" t="str">
        <f>"DRUMMOND MICHAEL P TR"</f>
        <v>DRUMMOND MICHAEL P TR</v>
      </c>
      <c r="C3666" s="1" t="str">
        <f>"MATTERHORN DR BRIARCLIFF NO 5 LOT 432"</f>
        <v>MATTERHORN DR BRIARCLIFF NO 5 LOT 432</v>
      </c>
      <c r="D3666" s="1">
        <v>206.06</v>
      </c>
    </row>
    <row r="3667" spans="1:4" x14ac:dyDescent="0.3">
      <c r="A3667" s="1" t="str">
        <f>"01011371700"</f>
        <v>01011371700</v>
      </c>
      <c r="B3667" s="1" t="str">
        <f>"DRW 8 GROUP LLC"</f>
        <v>DRW 8 GROUP LLC</v>
      </c>
      <c r="C3667" s="1" t="str">
        <f>"BULEN AVE OPPORTUNITY FARMS LOT 86"</f>
        <v>BULEN AVE OPPORTUNITY FARMS LOT 86</v>
      </c>
      <c r="D3667" s="1">
        <v>5058.32</v>
      </c>
    </row>
    <row r="3668" spans="1:4" x14ac:dyDescent="0.3">
      <c r="A3668" s="1" t="str">
        <f>"01011370600"</f>
        <v>01011370600</v>
      </c>
      <c r="B3668" s="1" t="str">
        <f>"DRW 8 GROUP LLC"</f>
        <v>DRW 8 GROUP LLC</v>
      </c>
      <c r="C3668" s="1" t="str">
        <f>"BULEN AVE OPPORTUNITY FARMS LOT 75"</f>
        <v>BULEN AVE OPPORTUNITY FARMS LOT 75</v>
      </c>
      <c r="D3668" s="1">
        <v>5149.7700000000004</v>
      </c>
    </row>
    <row r="3669" spans="1:4" x14ac:dyDescent="0.3">
      <c r="A3669" s="1" t="str">
        <f>"17000267800"</f>
        <v>17000267800</v>
      </c>
      <c r="B3669" s="1" t="str">
        <f>"DRW 8 GROUP LLC"</f>
        <v>DRW 8 GROUP LLC</v>
      </c>
      <c r="C3669" s="1" t="str">
        <f>"WESTERKIRK DRIVE BLACKLICK RIDGE SEC 1 PART 1 LOT 50"</f>
        <v>WESTERKIRK DRIVE BLACKLICK RIDGE SEC 1 PART 1 LOT 50</v>
      </c>
      <c r="D3669" s="1">
        <v>13547.43</v>
      </c>
    </row>
    <row r="3670" spans="1:4" x14ac:dyDescent="0.3">
      <c r="A3670" s="1" t="str">
        <f>"01011374400"</f>
        <v>01011374400</v>
      </c>
      <c r="B3670" s="1" t="str">
        <f>"DRW INVESTMENT INC"</f>
        <v>DRW INVESTMENT INC</v>
      </c>
      <c r="C3670" s="1" t="str">
        <f>"BULEN AVE OPPORTUNITY FARMS LOT 114"</f>
        <v>BULEN AVE OPPORTUNITY FARMS LOT 114</v>
      </c>
      <c r="D3670" s="1">
        <v>5161.8</v>
      </c>
    </row>
    <row r="3671" spans="1:4" x14ac:dyDescent="0.3">
      <c r="A3671" s="1" t="str">
        <f>"01006671700"</f>
        <v>01006671700</v>
      </c>
      <c r="B3671" s="1" t="str">
        <f>"DRW INVESTMENT INC"</f>
        <v>DRW INVESTMENT INC</v>
      </c>
      <c r="C3671" s="1" t="str">
        <f>"2633 EAST 5TH AVE NORTH BEXLEY VIEW 2 LOT 11"</f>
        <v>2633 EAST 5TH AVE NORTH BEXLEY VIEW 2 LOT 11</v>
      </c>
      <c r="D3671" s="1">
        <v>2736.59</v>
      </c>
    </row>
    <row r="3672" spans="1:4" x14ac:dyDescent="0.3">
      <c r="A3672" s="1" t="str">
        <f>"01016658500"</f>
        <v>01016658500</v>
      </c>
      <c r="B3672" s="1" t="str">
        <f>"DRW INVESTMENT INC"</f>
        <v>DRW INVESTMENT INC</v>
      </c>
      <c r="C3672" s="1" t="str">
        <f>"PLANTATION LAKES CONDO PHASE II BLDG 21 UNIT A"</f>
        <v>PLANTATION LAKES CONDO PHASE II BLDG 21 UNIT A</v>
      </c>
      <c r="D3672" s="1">
        <v>2578.9699999999998</v>
      </c>
    </row>
    <row r="3673" spans="1:4" x14ac:dyDescent="0.3">
      <c r="A3673" s="1" t="str">
        <f>"01001840000"</f>
        <v>01001840000</v>
      </c>
      <c r="B3673" s="1" t="str">
        <f>"DRW INVESTMENT INC"</f>
        <v>DRW INVESTMENT INC</v>
      </c>
      <c r="C3673" s="1" t="str">
        <f>"REAR 323 YALE WEST PARK LOT 555"</f>
        <v>REAR 323 YALE WEST PARK LOT 555</v>
      </c>
      <c r="D3673" s="1">
        <v>1865.56</v>
      </c>
    </row>
    <row r="3674" spans="1:4" x14ac:dyDescent="0.3">
      <c r="A3674" s="1" t="str">
        <f>"01016679700"</f>
        <v>01016679700</v>
      </c>
      <c r="B3674" s="1" t="str">
        <f>"DRW INVESTMENT INC"</f>
        <v>DRW INVESTMENT INC</v>
      </c>
      <c r="C3674" s="1" t="str">
        <f>"1803 DEVONSHIRE RD AMVET HOMESTEAD 2 LOT 24 BLK J"</f>
        <v>1803 DEVONSHIRE RD AMVET HOMESTEAD 2 LOT 24 BLK J</v>
      </c>
      <c r="D3674" s="1">
        <v>875.31</v>
      </c>
    </row>
    <row r="3675" spans="1:4" x14ac:dyDescent="0.3">
      <c r="A3675" s="1" t="str">
        <f>"01000288200"</f>
        <v>01000288200</v>
      </c>
      <c r="B3675" s="1" t="str">
        <f>"DRW INVESTMENT INC"</f>
        <v>DRW INVESTMENT INC</v>
      </c>
      <c r="C3675" s="1" t="str">
        <f>"756 SUNBURY AVE WILSHIRE LOT 40"</f>
        <v>756 SUNBURY AVE WILSHIRE LOT 40</v>
      </c>
      <c r="D3675" s="1">
        <v>5431.3</v>
      </c>
    </row>
    <row r="3676" spans="1:4" x14ac:dyDescent="0.3">
      <c r="A3676" s="1" t="str">
        <f>"01009921500"</f>
        <v>01009921500</v>
      </c>
      <c r="B3676" s="1" t="str">
        <f>"DRW INVESTMENT INC"</f>
        <v>DRW INVESTMENT INC</v>
      </c>
      <c r="C3676" s="1" t="str">
        <f>"1076 BEECHWOOD RD R21 T12 S17 1/4S27 .4823 ACRE"</f>
        <v>1076 BEECHWOOD RD R21 T12 S17 1/4S27 .4823 ACRE</v>
      </c>
      <c r="D3676" s="1">
        <v>5092.54</v>
      </c>
    </row>
    <row r="3677" spans="1:4" x14ac:dyDescent="0.3">
      <c r="A3677" s="1" t="str">
        <f>"13000217300"</f>
        <v>13000217300</v>
      </c>
      <c r="B3677" s="1" t="str">
        <f>"DRW INVESTMENT INC"</f>
        <v>DRW INVESTMENT INC</v>
      </c>
      <c r="C3677" s="1" t="str">
        <f>"SALE ROAD NORTH LINDEN 3 LOT 74"</f>
        <v>SALE ROAD NORTH LINDEN 3 LOT 74</v>
      </c>
      <c r="D3677" s="1">
        <v>1426.05</v>
      </c>
    </row>
    <row r="3678" spans="1:4" x14ac:dyDescent="0.3">
      <c r="A3678" s="1" t="str">
        <f>"19000381900"</f>
        <v>19000381900</v>
      </c>
      <c r="B3678" s="1" t="str">
        <f>"DRW INVESTMENT INC"</f>
        <v>DRW INVESTMENT INC</v>
      </c>
      <c r="C3678" s="1" t="str">
        <f>"AGLER RD NORTHGLEN LOT 59"</f>
        <v>AGLER RD NORTHGLEN LOT 59</v>
      </c>
      <c r="D3678" s="1">
        <v>5848.65</v>
      </c>
    </row>
    <row r="3679" spans="1:4" x14ac:dyDescent="0.3">
      <c r="A3679" s="1" t="str">
        <f>"01001720000"</f>
        <v>01001720000</v>
      </c>
      <c r="B3679" s="1" t="str">
        <f>"DRW INVESTMENT INC"</f>
        <v>DRW INVESTMENT INC</v>
      </c>
      <c r="C3679" s="1" t="str">
        <f>"2317 RIDGEWAY ALL 32 &amp; 3 FT E S 31 SHEPARD&amp;CALLENDER"</f>
        <v>2317 RIDGEWAY ALL 32 &amp; 3 FT E S 31 SHEPARD&amp;CALLENDER</v>
      </c>
      <c r="D3679" s="1">
        <v>1150.4000000000001</v>
      </c>
    </row>
    <row r="3680" spans="1:4" x14ac:dyDescent="0.3">
      <c r="A3680" s="1" t="str">
        <f>"01007103100"</f>
        <v>01007103100</v>
      </c>
      <c r="B3680" s="1" t="str">
        <f>"DRW INVESTMENT INC"</f>
        <v>DRW INVESTMENT INC</v>
      </c>
      <c r="C3680" s="1" t="str">
        <f>"E 5TH AVE 1753 GEORGE WASHINGTON CARVER   LOT 11"</f>
        <v>E 5TH AVE 1753 GEORGE WASHINGTON CARVER   LOT 11</v>
      </c>
      <c r="D3680" s="1">
        <v>2543.9499999999998</v>
      </c>
    </row>
    <row r="3681" spans="1:4" x14ac:dyDescent="0.3">
      <c r="A3681" s="1" t="str">
        <f>"01008329000"</f>
        <v>01008329000</v>
      </c>
      <c r="B3681" s="1" t="str">
        <f>"DRW INVESTMENT INC"</f>
        <v>DRW INVESTMENT INC</v>
      </c>
      <c r="C3681" s="1" t="str">
        <f>"AZELDA AVE SUNNYSIDE LOT 136"</f>
        <v>AZELDA AVE SUNNYSIDE LOT 136</v>
      </c>
      <c r="D3681" s="1">
        <v>3505.78</v>
      </c>
    </row>
    <row r="3682" spans="1:4" x14ac:dyDescent="0.3">
      <c r="A3682" s="1" t="str">
        <f>"01015848800"</f>
        <v>01015848800</v>
      </c>
      <c r="B3682" s="1" t="str">
        <f>"DRW INVESTMENT INC"</f>
        <v>DRW INVESTMENT INC</v>
      </c>
      <c r="C3682" s="1" t="str">
        <f>"LEATHERWOOD DR WALNUT CREEK SEC 1 LOT 19"</f>
        <v>LEATHERWOOD DR WALNUT CREEK SEC 1 LOT 19</v>
      </c>
      <c r="D3682" s="1">
        <v>1963.45</v>
      </c>
    </row>
    <row r="3683" spans="1:4" x14ac:dyDescent="0.3">
      <c r="A3683" s="1" t="str">
        <f>"09000084600"</f>
        <v>09000084600</v>
      </c>
      <c r="B3683" s="1" t="str">
        <f>"DRW INVESTMENT INC"</f>
        <v>DRW INVESTMENT INC</v>
      </c>
      <c r="C3683" s="1" t="str">
        <f>"COLLINGWOOD AVE LOWRIE BROS LOT 180 "</f>
        <v xml:space="preserve">COLLINGWOOD AVE LOWRIE BROS LOT 180 </v>
      </c>
      <c r="D3683" s="1">
        <v>4641.1099999999997</v>
      </c>
    </row>
    <row r="3684" spans="1:4" x14ac:dyDescent="0.3">
      <c r="A3684" s="1" t="str">
        <f>"14000360700"</f>
        <v>14000360700</v>
      </c>
      <c r="B3684" s="1" t="str">
        <f>"DRW INVESTMENTS INC"</f>
        <v>DRW INVESTMENTS INC</v>
      </c>
      <c r="C3684" s="1" t="str">
        <f>"1721 RICHMOND RD H E RICHTERS LOT 115-118 INC"</f>
        <v>1721 RICHMOND RD H E RICHTERS LOT 115-118 INC</v>
      </c>
      <c r="D3684" s="1">
        <v>3588.86</v>
      </c>
    </row>
    <row r="3685" spans="1:4" x14ac:dyDescent="0.3">
      <c r="A3685" s="1" t="str">
        <f>"01012048200"</f>
        <v>01012048200</v>
      </c>
      <c r="B3685" s="1" t="str">
        <f>"DRY INVESTMENTS LLC"</f>
        <v>DRY INVESTMENTS LLC</v>
      </c>
      <c r="C3685" s="1" t="str">
        <f>"BURLINGTON AVE THUNDERBIRD ACRES LOT 180"</f>
        <v>BURLINGTON AVE THUNDERBIRD ACRES LOT 180</v>
      </c>
      <c r="D3685" s="1">
        <v>89.78</v>
      </c>
    </row>
    <row r="3686" spans="1:4" x14ac:dyDescent="0.3">
      <c r="A3686" s="1" t="str">
        <f>"01012085600"</f>
        <v>01012085600</v>
      </c>
      <c r="B3686" s="1" t="str">
        <f>"DRY INVESTMENTS LLC"</f>
        <v>DRY INVESTMENTS LLC</v>
      </c>
      <c r="C3686" s="1" t="str">
        <f>"ELLERY DR WALNUT VILLAGE LOT 95"</f>
        <v>ELLERY DR WALNUT VILLAGE LOT 95</v>
      </c>
      <c r="D3686" s="1">
        <v>106.37</v>
      </c>
    </row>
    <row r="3687" spans="1:4" x14ac:dyDescent="0.3">
      <c r="A3687" s="1" t="str">
        <f>"01010615900"</f>
        <v>01010615900</v>
      </c>
      <c r="B3687" s="1" t="str">
        <f>"DRY INVESTMENTS LLC"</f>
        <v>DRY INVESTMENTS LLC</v>
      </c>
      <c r="C3687" s="1" t="str">
        <f>"GENOA PLC LEA-WOOD GARDENS LOT 58"</f>
        <v>GENOA PLC LEA-WOOD GARDENS LOT 58</v>
      </c>
      <c r="D3687" s="1">
        <v>109.66</v>
      </c>
    </row>
    <row r="3688" spans="1:4" x14ac:dyDescent="0.3">
      <c r="A3688" s="1" t="str">
        <f>"01010634200"</f>
        <v>01010634200</v>
      </c>
      <c r="B3688" s="1" t="str">
        <f>"DRY INVESTMENTS LLC"</f>
        <v>DRY INVESTMENTS LLC</v>
      </c>
      <c r="C3688" s="1" t="str">
        <f>"HUXLEY DR LEA- WOOD GARDENS LOT 241"</f>
        <v>HUXLEY DR LEA- WOOD GARDENS LOT 241</v>
      </c>
      <c r="D3688" s="1">
        <v>113.11</v>
      </c>
    </row>
    <row r="3689" spans="1:4" x14ac:dyDescent="0.3">
      <c r="A3689" s="1" t="str">
        <f>"01010636300"</f>
        <v>01010636300</v>
      </c>
      <c r="B3689" s="1" t="str">
        <f>"DRY INVESTMENTS LLC"</f>
        <v>DRY INVESTMENTS LLC</v>
      </c>
      <c r="C3689" s="1" t="str">
        <f>"HUXLEY DR LEA-WOOD GARDENS LOT 262"</f>
        <v>HUXLEY DR LEA-WOOD GARDENS LOT 262</v>
      </c>
      <c r="D3689" s="1">
        <v>136.44</v>
      </c>
    </row>
    <row r="3690" spans="1:4" x14ac:dyDescent="0.3">
      <c r="A3690" s="1" t="str">
        <f>"01010137700"</f>
        <v>01010137700</v>
      </c>
      <c r="B3690" s="1" t="str">
        <f>"DRY INVESTMENTS LLC"</f>
        <v>DRY INVESTMENTS LLC</v>
      </c>
      <c r="C3690" s="1" t="str">
        <f>"SELKIRK RD BERWICK MANOR LOT 431-432"</f>
        <v>SELKIRK RD BERWICK MANOR LOT 431-432</v>
      </c>
      <c r="D3690" s="1">
        <v>138.53</v>
      </c>
    </row>
    <row r="3691" spans="1:4" x14ac:dyDescent="0.3">
      <c r="A3691" s="1" t="str">
        <f>"01012155800"</f>
        <v>01012155800</v>
      </c>
      <c r="B3691" s="1" t="str">
        <f>"DRY INVESTMENTS LLC"</f>
        <v>DRY INVESTMENTS LLC</v>
      </c>
      <c r="C3691" s="1" t="str">
        <f>"BURLINGTON AVE THUNDERBIRD ACRES 2 LOT 290"</f>
        <v>BURLINGTON AVE THUNDERBIRD ACRES 2 LOT 290</v>
      </c>
      <c r="D3691" s="1">
        <v>94.05</v>
      </c>
    </row>
    <row r="3692" spans="1:4" x14ac:dyDescent="0.3">
      <c r="A3692" s="1" t="str">
        <f>"01006545500"</f>
        <v>01006545500</v>
      </c>
      <c r="B3692" s="1" t="str">
        <f>"DRY INVESTMENTS LLC"</f>
        <v>DRY INVESTMENTS LLC</v>
      </c>
      <c r="C3692" s="1" t="str">
        <f>"N BRINKER AVE COLUMBIA PARK LOT 18 BLK 2"</f>
        <v>N BRINKER AVE COLUMBIA PARK LOT 18 BLK 2</v>
      </c>
      <c r="D3692" s="1">
        <v>136.6</v>
      </c>
    </row>
    <row r="3693" spans="1:4" x14ac:dyDescent="0.3">
      <c r="A3693" s="1" t="str">
        <f>"01013729000"</f>
        <v>01013729000</v>
      </c>
      <c r="B3693" s="1" t="str">
        <f>"DRY INVESTMENTS LLC"</f>
        <v>DRY INVESTMENTS LLC</v>
      </c>
      <c r="C3693" s="1" t="str">
        <f>"EASTHAVEN DR GLENBROOK LOT 60"</f>
        <v>EASTHAVEN DR GLENBROOK LOT 60</v>
      </c>
      <c r="D3693" s="1">
        <v>105.89</v>
      </c>
    </row>
    <row r="3694" spans="1:4" x14ac:dyDescent="0.3">
      <c r="A3694" s="1" t="str">
        <f>"01014076900"</f>
        <v>01014076900</v>
      </c>
      <c r="B3694" s="1" t="str">
        <f>"DRY INVESTMENTS LLC"</f>
        <v>DRY INVESTMENTS LLC</v>
      </c>
      <c r="C3694" s="1" t="str">
        <f>"BINBROOK RD HAIVLAND 3 LOT 166"</f>
        <v>BINBROOK RD HAIVLAND 3 LOT 166</v>
      </c>
      <c r="D3694" s="1">
        <v>112.57</v>
      </c>
    </row>
    <row r="3695" spans="1:4" x14ac:dyDescent="0.3">
      <c r="A3695" s="1" t="str">
        <f>"53017992200"</f>
        <v>53017992200</v>
      </c>
      <c r="B3695" s="1" t="str">
        <f>"DRY INVESTMENTS LLC"</f>
        <v>DRY INVESTMENTS LLC</v>
      </c>
      <c r="C3695" s="1" t="str">
        <f>"MILLVIEW DR MADISON MILLS SEC 5 LOT 108"</f>
        <v>MILLVIEW DR MADISON MILLS SEC 5 LOT 108</v>
      </c>
      <c r="D3695" s="1">
        <v>137.57</v>
      </c>
    </row>
    <row r="3696" spans="1:4" x14ac:dyDescent="0.3">
      <c r="A3696" s="1" t="str">
        <f>"01006032600"</f>
        <v>01006032600</v>
      </c>
      <c r="B3696" s="1" t="str">
        <f>"DTB PROPERTIES LLC"</f>
        <v>DTB PROPERTIES LLC</v>
      </c>
      <c r="C3696" s="1" t="str">
        <f>"RENWOOD PL MC GUFFEY SCHOOL LOT 89"</f>
        <v>RENWOOD PL MC GUFFEY SCHOOL LOT 89</v>
      </c>
      <c r="D3696" s="1">
        <v>1446.25</v>
      </c>
    </row>
    <row r="3697" spans="1:4" x14ac:dyDescent="0.3">
      <c r="A3697" s="1" t="str">
        <f>"01003633500"</f>
        <v>01003633500</v>
      </c>
      <c r="B3697" s="1" t="str">
        <f>"DTB PROPERTIES LLC"</f>
        <v>DTB PROPERTIES LLC</v>
      </c>
      <c r="C3697" s="1" t="str">
        <f>"150 N BURGESS AVE CLAHANE HIGH PK LOT 39"</f>
        <v>150 N BURGESS AVE CLAHANE HIGH PK LOT 39</v>
      </c>
      <c r="D3697" s="1">
        <v>1490.23</v>
      </c>
    </row>
    <row r="3698" spans="1:4" x14ac:dyDescent="0.3">
      <c r="A3698" s="1" t="str">
        <f>"11000451100"</f>
        <v>11000451100</v>
      </c>
      <c r="B3698" s="1" t="str">
        <f>"DTL HOLDINGS LLC"</f>
        <v>DTL HOLDINGS LLC</v>
      </c>
      <c r="C3698" s="1" t="str">
        <f>"ARNETT RD HAMSTEAD 1 32"</f>
        <v>ARNETT RD HAMSTEAD 1 32</v>
      </c>
      <c r="D3698" s="1">
        <v>236.14</v>
      </c>
    </row>
    <row r="3699" spans="1:4" x14ac:dyDescent="0.3">
      <c r="A3699" s="1" t="str">
        <f>"17000093800"</f>
        <v>17000093800</v>
      </c>
      <c r="B3699" s="1" t="str">
        <f>"DTL HOLDINGS LLC"</f>
        <v>DTL HOLDINGS LLC</v>
      </c>
      <c r="C3699" s="1" t="str">
        <f>"8001 MORSE RD ACRES 1.1 "</f>
        <v xml:space="preserve">8001 MORSE RD ACRES 1.1 </v>
      </c>
      <c r="D3699" s="1">
        <v>229.2</v>
      </c>
    </row>
    <row r="3700" spans="1:4" x14ac:dyDescent="0.3">
      <c r="A3700" s="1" t="str">
        <f>"01026693700"</f>
        <v>01026693700</v>
      </c>
      <c r="B3700" s="1" t="str">
        <f>"DTL HOLDINGS LLC"</f>
        <v>DTL HOLDINGS LLC</v>
      </c>
      <c r="C3700" s="1" t="str">
        <f>"ALMA TERRACE DRIVE        UPPER ALBANY SECTION 2    LOT 291                  "</f>
        <v xml:space="preserve">ALMA TERRACE DRIVE        UPPER ALBANY SECTION 2    LOT 291                  </v>
      </c>
      <c r="D3700" s="1">
        <v>304.29000000000002</v>
      </c>
    </row>
    <row r="3701" spans="1:4" x14ac:dyDescent="0.3">
      <c r="A3701" s="1" t="str">
        <f>"01027517600"</f>
        <v>01027517600</v>
      </c>
      <c r="B3701" s="1" t="str">
        <f>"DTL HOLDINGS LLC"</f>
        <v>DTL HOLDINGS LLC</v>
      </c>
      <c r="C3701" s="1" t="str">
        <f>"6213 ALBANY WAY DR        VILLAGE @ ALBANY CROSSING SECTION 1 PART 1 LOT 5   "</f>
        <v xml:space="preserve">6213 ALBANY WAY DR        VILLAGE @ ALBANY CROSSING SECTION 1 PART 1 LOT 5   </v>
      </c>
      <c r="D3701" s="1">
        <v>256.63</v>
      </c>
    </row>
    <row r="3702" spans="1:4" x14ac:dyDescent="0.3">
      <c r="A3702" s="1" t="str">
        <f>"02500201100"</f>
        <v>02500201100</v>
      </c>
      <c r="B3702" s="1" t="str">
        <f>"DTM INDUSTRIES LLC"</f>
        <v>DTM INDUSTRIES LLC</v>
      </c>
      <c r="C3702" s="1" t="str">
        <f>"86 STYGLER RD MOORFIELD 13 "</f>
        <v xml:space="preserve">86 STYGLER RD MOORFIELD 13 </v>
      </c>
      <c r="D3702" s="1">
        <v>341.74</v>
      </c>
    </row>
    <row r="3703" spans="1:4" x14ac:dyDescent="0.3">
      <c r="A3703" s="1" t="str">
        <f>"07000633800"</f>
        <v>07000633800</v>
      </c>
      <c r="B3703" s="1" t="str">
        <f>"DTRT PROPERTIES LLC"</f>
        <v>DTRT PROPERTIES LLC</v>
      </c>
      <c r="C3703" s="1" t="str">
        <f>"SWANSEA RD RIVER RIDGE 23 BLK 14"</f>
        <v>SWANSEA RD RIVER RIDGE 23 BLK 14</v>
      </c>
      <c r="D3703" s="1">
        <v>3302.08</v>
      </c>
    </row>
    <row r="3704" spans="1:4" x14ac:dyDescent="0.3">
      <c r="A3704" s="1" t="str">
        <f>"01024735000"</f>
        <v>01024735000</v>
      </c>
      <c r="B3704" s="1" t="str">
        <f>"DUALE AHMED TTEE"</f>
        <v>DUALE AHMED TTEE</v>
      </c>
      <c r="C3704" s="1" t="str">
        <f>"JETSTREAM DRIVE WALTHAM PLACE SECTION 4 LOT 301"</f>
        <v>JETSTREAM DRIVE WALTHAM PLACE SECTION 4 LOT 301</v>
      </c>
      <c r="D3704" s="1">
        <v>4168.6499999999996</v>
      </c>
    </row>
    <row r="3705" spans="1:4" x14ac:dyDescent="0.3">
      <c r="A3705" s="1" t="str">
        <f>"01024206400"</f>
        <v>01024206400</v>
      </c>
      <c r="B3705" s="1" t="str">
        <f>"DUALE AHMED TTEE"</f>
        <v>DUALE AHMED TTEE</v>
      </c>
      <c r="C3705" s="1" t="str">
        <f>"IRONSTONE DRIVE WALTHAM PLACE SECTION 2 LOT 135"</f>
        <v>IRONSTONE DRIVE WALTHAM PLACE SECTION 2 LOT 135</v>
      </c>
      <c r="D3705" s="1">
        <v>2454.4899999999998</v>
      </c>
    </row>
    <row r="3706" spans="1:4" x14ac:dyDescent="0.3">
      <c r="A3706" s="1" t="str">
        <f>"01018521500"</f>
        <v>01018521500</v>
      </c>
      <c r="B3706" s="1" t="str">
        <f>"DUALE AHMED TTEE"</f>
        <v>DUALE AHMED TTEE</v>
      </c>
      <c r="C3706" s="1" t="str">
        <f>"MORSETOWN CT BRENTWOOD CONDO UNIT 4265 BLDG 1"</f>
        <v>MORSETOWN CT BRENTWOOD CONDO UNIT 4265 BLDG 1</v>
      </c>
      <c r="D3706" s="1">
        <v>1284.53</v>
      </c>
    </row>
    <row r="3707" spans="1:4" x14ac:dyDescent="0.3">
      <c r="A3707" s="1" t="str">
        <f>"01016351800"</f>
        <v>01016351800</v>
      </c>
      <c r="B3707" s="1" t="str">
        <f>"DUALE AHMED TTEE"</f>
        <v>DUALE AHMED TTEE</v>
      </c>
      <c r="C3707" s="1" t="str">
        <f>"ROCKWOOD COURT ROCKWOOD CT CONDO UNIT R-70"</f>
        <v>ROCKWOOD COURT ROCKWOOD CT CONDO UNIT R-70</v>
      </c>
      <c r="D3707" s="1">
        <v>1045.55</v>
      </c>
    </row>
    <row r="3708" spans="1:4" x14ac:dyDescent="0.3">
      <c r="A3708" s="1" t="str">
        <f>"01006791700"</f>
        <v>01006791700</v>
      </c>
      <c r="B3708" s="1" t="str">
        <f>"DUARTE JOSE A"</f>
        <v>DUARTE JOSE A</v>
      </c>
      <c r="C3708" s="1" t="str">
        <f>"458 NASHOBA AVE HILLTONIA ANNEX LOT 34 BLK 3"</f>
        <v>458 NASHOBA AVE HILLTONIA ANNEX LOT 34 BLK 3</v>
      </c>
      <c r="D3708" s="1">
        <v>97.25</v>
      </c>
    </row>
    <row r="3709" spans="1:4" x14ac:dyDescent="0.3">
      <c r="A3709" s="1" t="str">
        <f>"57016854000"</f>
        <v>57016854000</v>
      </c>
      <c r="B3709" s="1" t="str">
        <f>"DUARTE JUAN, DUARTE FATIMA"</f>
        <v>DUARTE JUAN, DUARTE FATIMA</v>
      </c>
      <c r="C3709" s="1" t="str">
        <f>"703 ATHENS AVE BURNSIDE HTS LOT 112"</f>
        <v>703 ATHENS AVE BURNSIDE HTS LOT 112</v>
      </c>
      <c r="D3709" s="1">
        <v>1928.16</v>
      </c>
    </row>
    <row r="3710" spans="1:4" x14ac:dyDescent="0.3">
      <c r="A3710" s="1" t="str">
        <f>"01005118800"</f>
        <v>01005118800</v>
      </c>
      <c r="B3710" s="1" t="str">
        <f>"DUARTE MARIA ANTONIA"</f>
        <v>DUARTE MARIA ANTONIA</v>
      </c>
      <c r="C3710" s="1" t="str">
        <f>"RICHARDSON AVE BRONX LOT 178"</f>
        <v>RICHARDSON AVE BRONX LOT 178</v>
      </c>
      <c r="D3710" s="1">
        <v>299.45999999999998</v>
      </c>
    </row>
    <row r="3711" spans="1:4" x14ac:dyDescent="0.3">
      <c r="A3711" s="1" t="str">
        <f>"01005114500"</f>
        <v>01005114500</v>
      </c>
      <c r="B3711" s="1" t="str">
        <f>"DUARTE MIGUEL A"</f>
        <v>DUARTE MIGUEL A</v>
      </c>
      <c r="C3711" s="1" t="str">
        <f>"393 S RICHARDSON AVE BRONX LOT 125"</f>
        <v>393 S RICHARDSON AVE BRONX LOT 125</v>
      </c>
      <c r="D3711" s="1">
        <v>2079.7399999999998</v>
      </c>
    </row>
    <row r="3712" spans="1:4" x14ac:dyDescent="0.3">
      <c r="A3712" s="1" t="str">
        <f>"01005116700"</f>
        <v>01005116700</v>
      </c>
      <c r="B3712" s="1" t="str">
        <f>"DUARTE MIGUEL A"</f>
        <v>DUARTE MIGUEL A</v>
      </c>
      <c r="C3712" s="1" t="str">
        <f>"286 RICHARDSON BRONX LOT 155"</f>
        <v>286 RICHARDSON BRONX LOT 155</v>
      </c>
      <c r="D3712" s="1">
        <v>905.4</v>
      </c>
    </row>
    <row r="3713" spans="1:4" x14ac:dyDescent="0.3">
      <c r="A3713" s="1" t="str">
        <f>"53017052300"</f>
        <v>53017052300</v>
      </c>
      <c r="B3713" s="1" t="str">
        <f>"DUARTE YUDELKA MARIA, DUARTE JUAN"</f>
        <v>DUARTE YUDELKA MARIA, DUARTE JUAN</v>
      </c>
      <c r="C3713" s="1" t="str">
        <f>"FREEDOM TRAIL INDEPENDENCE VLG 1 LOT 89"</f>
        <v>FREEDOM TRAIL INDEPENDENCE VLG 1 LOT 89</v>
      </c>
      <c r="D3713" s="1">
        <v>4085.47</v>
      </c>
    </row>
    <row r="3714" spans="1:4" x14ac:dyDescent="0.3">
      <c r="A3714" s="1" t="str">
        <f>"27300951200"</f>
        <v>27300951200</v>
      </c>
      <c r="B3714" s="1" t="str">
        <f>"DUBLIN 18 LLC"</f>
        <v>DUBLIN 18 LLC</v>
      </c>
      <c r="C3714" s="1" t="str">
        <f>"SAWMILL ROAD DUBLIN CITY CENTER PT RES D=0.407 ACRE"</f>
        <v>SAWMILL ROAD DUBLIN CITY CENTER PT RES D=0.407 ACRE</v>
      </c>
      <c r="D3714" s="1">
        <v>3964.1</v>
      </c>
    </row>
    <row r="3715" spans="1:4" x14ac:dyDescent="0.3">
      <c r="A3715" s="1" t="str">
        <f>"27301322200"</f>
        <v>27301322200</v>
      </c>
      <c r="B3715" s="1" t="str">
        <f>"DUBLIN 18 LLC"</f>
        <v>DUBLIN 18 LLC</v>
      </c>
      <c r="C3715" s="1" t="str">
        <f>"DUBLIN CITY CENTER RESUB RESERVE A LOT 2"</f>
        <v>DUBLIN CITY CENTER RESUB RESERVE A LOT 2</v>
      </c>
      <c r="D3715" s="1">
        <v>104214.87</v>
      </c>
    </row>
    <row r="3716" spans="1:4" x14ac:dyDescent="0.3">
      <c r="A3716" s="1" t="str">
        <f>"27000032500"</f>
        <v>27000032500</v>
      </c>
      <c r="B3716" s="1" t="str">
        <f>"DUBLIN PHOENIX PROPERTIES LLC"</f>
        <v>DUBLIN PHOENIX PROPERTIES LLC</v>
      </c>
      <c r="C3716" s="1" t="str">
        <f>"DUBLIN RD 0.527 ACRE ENTRY 2419"</f>
        <v>DUBLIN RD 0.527 ACRE ENTRY 2419</v>
      </c>
      <c r="D3716" s="1">
        <v>15724.89</v>
      </c>
    </row>
    <row r="3717" spans="1:4" x14ac:dyDescent="0.3">
      <c r="A3717" s="1" t="str">
        <f>"01027934400"</f>
        <v>01027934400</v>
      </c>
      <c r="B3717" s="1" t="str">
        <f>"DUBLINITE LLC"</f>
        <v>DUBLINITE LLC</v>
      </c>
      <c r="C3717" s="1" t="str">
        <f>"AVERY PLACE CONDOMINIUM BLDG 6 UNIT 5183"</f>
        <v>AVERY PLACE CONDOMINIUM BLDG 6 UNIT 5183</v>
      </c>
      <c r="D3717" s="1">
        <v>2860.07</v>
      </c>
    </row>
    <row r="3718" spans="1:4" x14ac:dyDescent="0.3">
      <c r="A3718" s="1" t="str">
        <f>"01027935400"</f>
        <v>01027935400</v>
      </c>
      <c r="B3718" s="1" t="str">
        <f>"DUBLINITE LLC"</f>
        <v>DUBLINITE LLC</v>
      </c>
      <c r="C3718" s="1" t="str">
        <f>"AVERY PLACE CONDOMINIUM BLDG 1 UNIT 5233"</f>
        <v>AVERY PLACE CONDOMINIUM BLDG 1 UNIT 5233</v>
      </c>
      <c r="D3718" s="1">
        <v>3030.98</v>
      </c>
    </row>
    <row r="3719" spans="1:4" x14ac:dyDescent="0.3">
      <c r="A3719" s="1" t="str">
        <f>"01027935500"</f>
        <v>01027935500</v>
      </c>
      <c r="B3719" s="1" t="str">
        <f>"DUBLINITE LLC"</f>
        <v>DUBLINITE LLC</v>
      </c>
      <c r="C3719" s="1" t="str">
        <f>"AVERY PLACE CONDOMINIUM BLDG 1 UNIT 5239"</f>
        <v>AVERY PLACE CONDOMINIUM BLDG 1 UNIT 5239</v>
      </c>
      <c r="D3719" s="1">
        <v>3104.3</v>
      </c>
    </row>
    <row r="3720" spans="1:4" x14ac:dyDescent="0.3">
      <c r="A3720" s="1" t="str">
        <f>"51526205300"</f>
        <v>51526205300</v>
      </c>
      <c r="B3720" s="1" t="str">
        <f>"DUCKETT CAMDEN, GREGORY PAMELA"</f>
        <v>DUCKETT CAMDEN, GREGORY PAMELA</v>
      </c>
      <c r="C3720" s="1" t="str">
        <f>"WAGGONER PARK CONDOMINIUM 4TH AMD BLDG 20 UNIT 215"</f>
        <v>WAGGONER PARK CONDOMINIUM 4TH AMD BLDG 20 UNIT 215</v>
      </c>
      <c r="D3720" s="1">
        <v>4641.92</v>
      </c>
    </row>
    <row r="3721" spans="1:4" x14ac:dyDescent="0.3">
      <c r="A3721" s="1" t="str">
        <f>"02500165200"</f>
        <v>02500165200</v>
      </c>
      <c r="B3721" s="1" t="str">
        <f>"DUCKWORTH DAVID H"</f>
        <v>DUCKWORTH DAVID H</v>
      </c>
      <c r="C3721" s="1" t="str">
        <f>"264 MUSKINGUM DR COLLEGE PARK 24 "</f>
        <v xml:space="preserve">264 MUSKINGUM DR COLLEGE PARK 24 </v>
      </c>
      <c r="D3721" s="1">
        <v>8029.12</v>
      </c>
    </row>
    <row r="3722" spans="1:4" x14ac:dyDescent="0.3">
      <c r="A3722" s="1" t="str">
        <f>"22000190900"</f>
        <v>22000190900</v>
      </c>
      <c r="B3722" s="1" t="str">
        <f>"DUCLOS SHANNON"</f>
        <v>DUCLOS SHANNON</v>
      </c>
      <c r="C3722" s="1" t="str">
        <f>"TIPPET RD R16 T2 1/4 T1 2.0 ACRES LOT 1"</f>
        <v>TIPPET RD R16 T2 1/4 T1 2.0 ACRES LOT 1</v>
      </c>
      <c r="D3722" s="1">
        <v>9187.4</v>
      </c>
    </row>
    <row r="3723" spans="1:4" x14ac:dyDescent="0.3">
      <c r="A3723" s="1" t="str">
        <f>"01010906200"</f>
        <v>01010906200</v>
      </c>
      <c r="B3723" s="1" t="str">
        <f>"DUDLEY ROBERT, DUDLEY MARY"</f>
        <v>DUDLEY ROBERT, DUDLEY MARY</v>
      </c>
      <c r="C3723" s="1" t="str">
        <f>"BRENTNELL BLVD ARLINGTON PK TRACT 2 LOT 3 BLK C"</f>
        <v>BRENTNELL BLVD ARLINGTON PK TRACT 2 LOT 3 BLK C</v>
      </c>
      <c r="D3723" s="1">
        <v>711.6</v>
      </c>
    </row>
    <row r="3724" spans="1:4" x14ac:dyDescent="0.3">
      <c r="A3724" s="1" t="str">
        <f>"01015817800"</f>
        <v>01015817800</v>
      </c>
      <c r="B3724" s="1" t="str">
        <f>"DUDLEY RONALD"</f>
        <v>DUDLEY RONALD</v>
      </c>
      <c r="C3724" s="1" t="str">
        <f>"DIANE PLACE TOWNHOMES SUB DIV LOT 24"</f>
        <v>DIANE PLACE TOWNHOMES SUB DIV LOT 24</v>
      </c>
      <c r="D3724" s="1">
        <v>1039.67</v>
      </c>
    </row>
    <row r="3725" spans="1:4" x14ac:dyDescent="0.3">
      <c r="A3725" s="1" t="str">
        <f>"59020335800"</f>
        <v>59020335800</v>
      </c>
      <c r="B3725" s="1" t="str">
        <f>"DUECKER MAUREEN, DUECKER WILLIAM"</f>
        <v>DUECKER MAUREEN, DUECKER WILLIAM</v>
      </c>
      <c r="C3725" s="1" t="str">
        <f>"TULLERS PLANTATION CONDOMINIUM BLDG 11 UNIT 6422 A"</f>
        <v>TULLERS PLANTATION CONDOMINIUM BLDG 11 UNIT 6422 A</v>
      </c>
      <c r="D3725" s="1">
        <v>1240.78</v>
      </c>
    </row>
    <row r="3726" spans="1:4" x14ac:dyDescent="0.3">
      <c r="A3726" s="1" t="str">
        <f>"01001786600"</f>
        <v>01001786600</v>
      </c>
      <c r="B3726" s="1" t="str">
        <f>"DUEHRING NATHAN D, DUEHRING ASHLEY P"</f>
        <v>DUEHRING NATHAN D, DUEHRING ASHLEY P</v>
      </c>
      <c r="C3726" s="1" t="str">
        <f>"773-5E2NDAVE BIDLEMAN LOT 353"</f>
        <v>773-5E2NDAVE BIDLEMAN LOT 353</v>
      </c>
      <c r="D3726" s="1">
        <v>256.45</v>
      </c>
    </row>
    <row r="3727" spans="1:4" x14ac:dyDescent="0.3">
      <c r="A3727" s="1" t="str">
        <f>"01015849300"</f>
        <v>01015849300</v>
      </c>
      <c r="B3727" s="1" t="str">
        <f>"DUFF TERRY L, DUFF VIKKI A"</f>
        <v>DUFF TERRY L, DUFF VIKKI A</v>
      </c>
      <c r="C3727" s="1" t="str">
        <f>"BRAMBLEBUSH CT WALNUT CREEK SEC 1 LOT 24"</f>
        <v>BRAMBLEBUSH CT WALNUT CREEK SEC 1 LOT 24</v>
      </c>
      <c r="D3727" s="1">
        <v>171.73</v>
      </c>
    </row>
    <row r="3728" spans="1:4" x14ac:dyDescent="0.3">
      <c r="A3728" s="1" t="str">
        <f>"01016099900"</f>
        <v>01016099900</v>
      </c>
      <c r="B3728" s="1" t="str">
        <f>"DUFOUR JANET"</f>
        <v>DUFOUR JANET</v>
      </c>
      <c r="C3728" s="1" t="str">
        <f>"WOODBROOK COURT WOODBROOK VILLAGE CONDOMINIUM UNIT 33"</f>
        <v>WOODBROOK COURT WOODBROOK VILLAGE CONDOMINIUM UNIT 33</v>
      </c>
      <c r="D3728" s="1">
        <v>684.27</v>
      </c>
    </row>
    <row r="3729" spans="1:4" x14ac:dyDescent="0.3">
      <c r="A3729" s="1" t="str">
        <f>"01025547500"</f>
        <v>01025547500</v>
      </c>
      <c r="B3729" s="1" t="str">
        <f>"DUHL KYLIE NICOLE"</f>
        <v>DUHL KYLIE NICOLE</v>
      </c>
      <c r="C3729" s="1" t="str">
        <f>"EL MADA PLACE ENTRY 1279 0.055 ACRE"</f>
        <v>EL MADA PLACE ENTRY 1279 0.055 ACRE</v>
      </c>
      <c r="D3729" s="1">
        <v>95.03</v>
      </c>
    </row>
    <row r="3730" spans="1:4" x14ac:dyDescent="0.3">
      <c r="A3730" s="1" t="str">
        <f>"01011170700"</f>
        <v>01011170700</v>
      </c>
      <c r="B3730" s="1" t="str">
        <f>"DULANEY GLENDA L"</f>
        <v>DULANEY GLENDA L</v>
      </c>
      <c r="C3730" s="1" t="str">
        <f>"ZIEGLER AVE N AMSTERDAM VILLAGE LOT 98"</f>
        <v>ZIEGLER AVE N AMSTERDAM VILLAGE LOT 98</v>
      </c>
      <c r="D3730" s="1">
        <v>2613.35</v>
      </c>
    </row>
    <row r="3731" spans="1:4" x14ac:dyDescent="0.3">
      <c r="A3731" s="1" t="str">
        <f>"01015245800"</f>
        <v>01015245800</v>
      </c>
      <c r="B3731" s="1" t="str">
        <f>"DULANEY KENNETH J TR"</f>
        <v>DULANEY KENNETH J TR</v>
      </c>
      <c r="C3731" s="1" t="str">
        <f>"ASPEN RD FOREST PARK E SEC 9 LOT 964"</f>
        <v>ASPEN RD FOREST PARK E SEC 9 LOT 964</v>
      </c>
      <c r="D3731" s="1">
        <v>186.4</v>
      </c>
    </row>
    <row r="3732" spans="1:4" x14ac:dyDescent="0.3">
      <c r="A3732" s="1" t="str">
        <f>"01007358400"</f>
        <v>01007358400</v>
      </c>
      <c r="B3732" s="1" t="str">
        <f>"DULANEY LEORDIS, ODOM TYIANNA"</f>
        <v>DULANEY LEORDIS, ODOM TYIANNA</v>
      </c>
      <c r="C3732" s="1" t="str">
        <f>"1707 E DUNEDIN RD KENMORE KNOLLS WS LOT 47&amp;ES 48"</f>
        <v>1707 E DUNEDIN RD KENMORE KNOLLS WS LOT 47&amp;ES 48</v>
      </c>
      <c r="D3732" s="1">
        <v>126.23</v>
      </c>
    </row>
    <row r="3733" spans="1:4" x14ac:dyDescent="0.3">
      <c r="A3733" s="1" t="str">
        <f>"01011937400"</f>
        <v>01011937400</v>
      </c>
      <c r="B3733" s="1" t="str">
        <f>"DULIN WILLIAM J"</f>
        <v>DULIN WILLIAM J</v>
      </c>
      <c r="C3733" s="1" t="str">
        <f>"SHELLY DR SCIOTO VILLAGE LOT 23"</f>
        <v>SHELLY DR SCIOTO VILLAGE LOT 23</v>
      </c>
      <c r="D3733" s="1">
        <v>2662.74</v>
      </c>
    </row>
    <row r="3734" spans="1:4" x14ac:dyDescent="0.3">
      <c r="A3734" s="1" t="str">
        <f>"01010748200"</f>
        <v>01010748200</v>
      </c>
      <c r="B3734" s="1" t="str">
        <f>"DULINSKI JOANNE P"</f>
        <v>DULINSKI JOANNE P</v>
      </c>
      <c r="C3734" s="1" t="str">
        <f>"TRENTWOOD RD KENNY HEIGHTS LOT 16 BLK 316"</f>
        <v>TRENTWOOD RD KENNY HEIGHTS LOT 16 BLK 316</v>
      </c>
      <c r="D3734" s="1">
        <v>246.12</v>
      </c>
    </row>
    <row r="3735" spans="1:4" x14ac:dyDescent="0.3">
      <c r="A3735" s="1" t="str">
        <f>"01007323000"</f>
        <v>01007323000</v>
      </c>
      <c r="B3735" s="1" t="str">
        <f>"DUMAS AARIUS R"</f>
        <v>DUMAS AARIUS R</v>
      </c>
      <c r="C3735" s="1" t="str">
        <f>"1172 20TH AVE RICHMOND LOT 151"</f>
        <v>1172 20TH AVE RICHMOND LOT 151</v>
      </c>
      <c r="D3735" s="1">
        <v>2487.89</v>
      </c>
    </row>
    <row r="3736" spans="1:4" x14ac:dyDescent="0.3">
      <c r="A3736" s="1" t="str">
        <f>"01006386500"</f>
        <v>01006386500</v>
      </c>
      <c r="B3736" s="1" t="str">
        <f>"DUMAS DORIS L"</f>
        <v>DUMAS DORIS L</v>
      </c>
      <c r="C3736" s="1" t="str">
        <f>"569 FAIRWOOD AVE FAIRWOOD TERRACE LOT 6"</f>
        <v>569 FAIRWOOD AVE FAIRWOOD TERRACE LOT 6</v>
      </c>
      <c r="D3736" s="1">
        <v>112.37</v>
      </c>
    </row>
    <row r="3737" spans="1:4" x14ac:dyDescent="0.3">
      <c r="A3737" s="1" t="str">
        <f>"02500249600"</f>
        <v>02500249600</v>
      </c>
      <c r="B3737" s="1" t="str">
        <f>"DUMMITT SHELBY W"</f>
        <v>DUMMITT SHELBY W</v>
      </c>
      <c r="C3737" s="1" t="str">
        <f>"332 LINCOLNSHIRE ROA ROYAL MANOR 2 667"</f>
        <v>332 LINCOLNSHIRE ROA ROYAL MANOR 2 667</v>
      </c>
      <c r="D3737" s="1">
        <v>1833.14</v>
      </c>
    </row>
    <row r="3738" spans="1:4" x14ac:dyDescent="0.3">
      <c r="A3738" s="1" t="str">
        <f>"01001725200"</f>
        <v>01001725200</v>
      </c>
      <c r="B3738" s="1" t="str">
        <f>"DUNBAR CATHERINE M, DUNBAR CHARLES F, DAVIS ALBERTA R"</f>
        <v>DUNBAR CATHERINE M, DUNBAR CHARLES F, DAVIS ALBERTA R</v>
      </c>
      <c r="C3738" s="1" t="str">
        <f>"602 GILBERT ST 12FT S PT 55&amp;18 FT N PT 56"</f>
        <v>602 GILBERT ST 12FT S PT 55&amp;18 FT N PT 56</v>
      </c>
      <c r="D3738" s="1">
        <v>37.97</v>
      </c>
    </row>
    <row r="3739" spans="1:4" x14ac:dyDescent="0.3">
      <c r="A3739" s="1" t="str">
        <f>"01004308200"</f>
        <v>01004308200</v>
      </c>
      <c r="B3739" s="1" t="str">
        <f>"DUNCAN CIARA, DUNCAN MATTHEW T"</f>
        <v>DUNCAN CIARA, DUNCAN MATTHEW T</v>
      </c>
      <c r="C3739" s="1" t="str">
        <f>"50 BURGESS AVE LANDSCAPE LOT 258"</f>
        <v>50 BURGESS AVE LANDSCAPE LOT 258</v>
      </c>
      <c r="D3739" s="1">
        <v>595.85</v>
      </c>
    </row>
    <row r="3740" spans="1:4" x14ac:dyDescent="0.3">
      <c r="A3740" s="1" t="str">
        <f>"23000039400"</f>
        <v>23000039400</v>
      </c>
      <c r="B3740" s="1" t="str">
        <f>"DUNCAN DUSTIN S, DUNCAN JODI R"</f>
        <v>DUNCAN DUSTIN S, DUNCAN JODI R</v>
      </c>
      <c r="C3740" s="1" t="str">
        <f>"JAMES GARDNER RD ENTRY 2676 0.199 ACRE"</f>
        <v>JAMES GARDNER RD ENTRY 2676 0.199 ACRE</v>
      </c>
      <c r="D3740" s="1">
        <v>117.33</v>
      </c>
    </row>
    <row r="3741" spans="1:4" x14ac:dyDescent="0.3">
      <c r="A3741" s="1" t="str">
        <f>"57023219000"</f>
        <v>57023219000</v>
      </c>
      <c r="B3741" s="1" t="str">
        <f>"DUNCAN GENE T"</f>
        <v>DUNCAN GENE T</v>
      </c>
      <c r="C3741" s="1" t="str">
        <f>"EGRET COURT DEMOREST HIGHLANDS SECTION 4 LOT 126"</f>
        <v>EGRET COURT DEMOREST HIGHLANDS SECTION 4 LOT 126</v>
      </c>
      <c r="D3741" s="1">
        <v>4.4000000000000004</v>
      </c>
    </row>
    <row r="3742" spans="1:4" x14ac:dyDescent="0.3">
      <c r="A3742" s="1" t="str">
        <f>"01012405400"</f>
        <v>01012405400</v>
      </c>
      <c r="B3742" s="1" t="str">
        <f>"DUNCAN MICHAEL L, DUNCAN JODIE A"</f>
        <v>DUNCAN MICHAEL L, DUNCAN JODIE A</v>
      </c>
      <c r="C3742" s="1" t="str">
        <f>"AMSTERDAM AVE. HILLGATE 3 LOT 284"</f>
        <v>AMSTERDAM AVE. HILLGATE 3 LOT 284</v>
      </c>
      <c r="D3742" s="1">
        <v>99.99</v>
      </c>
    </row>
    <row r="3743" spans="1:4" x14ac:dyDescent="0.3">
      <c r="A3743" s="1" t="str">
        <f>"01009955800"</f>
        <v>01009955800</v>
      </c>
      <c r="B3743" s="1" t="str">
        <f>"DUNCAN ROBERT W"</f>
        <v>DUNCAN ROBERT W</v>
      </c>
      <c r="C3743" s="1" t="str">
        <f>"DELLWOOD AVE BEECHWOOD LOT 86"</f>
        <v>DELLWOOD AVE BEECHWOOD LOT 86</v>
      </c>
      <c r="D3743" s="1">
        <v>2055.33</v>
      </c>
    </row>
    <row r="3744" spans="1:4" x14ac:dyDescent="0.3">
      <c r="A3744" s="1" t="str">
        <f>"01010648100"</f>
        <v>01010648100</v>
      </c>
      <c r="B3744" s="1" t="str">
        <f>"DUNCAN SHIRLEY A TOD"</f>
        <v>DUNCAN SHIRLEY A TOD</v>
      </c>
      <c r="C3744" s="1" t="str">
        <f>"FLORIBUNDA DR SOUTH BERWICK LOT 20 "</f>
        <v xml:space="preserve">FLORIBUNDA DR SOUTH BERWICK LOT 20 </v>
      </c>
      <c r="D3744" s="1">
        <v>360.11</v>
      </c>
    </row>
    <row r="3745" spans="1:4" x14ac:dyDescent="0.3">
      <c r="A3745" s="1" t="str">
        <f>"01010170500"</f>
        <v>01010170500</v>
      </c>
      <c r="B3745" s="1" t="str">
        <f>"DUNCAN SHIRLEY T TOD"</f>
        <v>DUNCAN SHIRLEY T TOD</v>
      </c>
      <c r="C3745" s="1" t="str">
        <f>"BERWICK HTS 2 LOT 348 RES C "</f>
        <v xml:space="preserve">BERWICK HTS 2 LOT 348 RES C </v>
      </c>
      <c r="D3745" s="1">
        <v>376.67</v>
      </c>
    </row>
    <row r="3746" spans="1:4" x14ac:dyDescent="0.3">
      <c r="A3746" s="1" t="str">
        <f>"01009841600"</f>
        <v>01009841600</v>
      </c>
      <c r="B3746" s="1" t="str">
        <f>"DUNFEE SUSAN"</f>
        <v>DUNFEE SUSAN</v>
      </c>
      <c r="C3746" s="1" t="str">
        <f>"OAK PARK 10 LOT 158 "</f>
        <v xml:space="preserve">OAK PARK 10 LOT 158 </v>
      </c>
      <c r="D3746" s="1">
        <v>1306.29</v>
      </c>
    </row>
    <row r="3747" spans="1:4" x14ac:dyDescent="0.3">
      <c r="A3747" s="1" t="str">
        <f>"01004992500"</f>
        <v>01004992500</v>
      </c>
      <c r="B3747" s="1" t="str">
        <f>"DUNLAP JOHN"</f>
        <v>DUNLAP JOHN</v>
      </c>
      <c r="C3747" s="1" t="str">
        <f>"ANN ST SWAYNE LOT 137"</f>
        <v>ANN ST SWAYNE LOT 137</v>
      </c>
      <c r="D3747" s="1">
        <v>4332.1000000000004</v>
      </c>
    </row>
    <row r="3748" spans="1:4" x14ac:dyDescent="0.3">
      <c r="A3748" s="1" t="str">
        <f>"08001122400"</f>
        <v>08001122400</v>
      </c>
      <c r="B3748" s="1" t="str">
        <f>"DUNLAP THOMAS S TR, DUNLAP PAMELA L TR"</f>
        <v>DUNLAP THOMAS S TR, DUNLAP PAMELA L TR</v>
      </c>
      <c r="C3748" s="1" t="str">
        <f>"OAKWOOD COURT SPRING GROVE NORTH SEC 1 PHASE 2 LOT 61"</f>
        <v>OAKWOOD COURT SPRING GROVE NORTH SEC 1 PHASE 2 LOT 61</v>
      </c>
      <c r="D3748" s="1">
        <v>432.75</v>
      </c>
    </row>
    <row r="3749" spans="1:4" x14ac:dyDescent="0.3">
      <c r="A3749" s="1" t="str">
        <f>"27300676300"</f>
        <v>27300676300</v>
      </c>
      <c r="B3749" s="1" t="str">
        <f>"DUNLEA TIMOTHY F, DUNLEA LESLIE J"</f>
        <v>DUNLEA TIMOTHY F, DUNLEA LESLIE J</v>
      </c>
      <c r="C3749" s="1" t="str">
        <f>"WYLER DRIVE WYNDHAM VILLAGE SEC2 LOT 134"</f>
        <v>WYLER DRIVE WYNDHAM VILLAGE SEC2 LOT 134</v>
      </c>
      <c r="D3749" s="1">
        <v>503.16</v>
      </c>
    </row>
    <row r="3750" spans="1:4" x14ac:dyDescent="0.3">
      <c r="A3750" s="1" t="str">
        <f>"15000247800"</f>
        <v>15000247800</v>
      </c>
      <c r="B3750" s="1" t="str">
        <f>"DUNN JEFFREY P"</f>
        <v>DUNN JEFFREY P</v>
      </c>
      <c r="C3750" s="1" t="str">
        <f>"147 BUCKEYE CR STEEPLECHASE GARDENS BLDG 10 UNIT B147"</f>
        <v>147 BUCKEYE CR STEEPLECHASE GARDENS BLDG 10 UNIT B147</v>
      </c>
      <c r="D3750" s="1">
        <v>56.92</v>
      </c>
    </row>
    <row r="3751" spans="1:4" x14ac:dyDescent="0.3">
      <c r="A3751" s="1" t="str">
        <f>"18500067000"</f>
        <v>18500067000</v>
      </c>
      <c r="B3751" s="1" t="str">
        <f>"DUNN JERRY W, DUNN PHYLLIS A"</f>
        <v>DUNN JERRY W, DUNN PHYLLIS A</v>
      </c>
      <c r="C3751" s="1" t="str">
        <f>"5092 OLD GROVEPORT RD R21 T11 S19 2.476 ACRES"</f>
        <v>5092 OLD GROVEPORT RD R21 T11 S19 2.476 ACRES</v>
      </c>
      <c r="D3751" s="1">
        <v>421.58</v>
      </c>
    </row>
    <row r="3752" spans="1:4" x14ac:dyDescent="0.3">
      <c r="A3752" s="1" t="str">
        <f>"18000146700"</f>
        <v>18000146700</v>
      </c>
      <c r="B3752" s="1" t="str">
        <f>"DUNN JOSEPHINE E"</f>
        <v>DUNN JOSEPHINE E</v>
      </c>
      <c r="C3752" s="1" t="str">
        <f>"WESTWICK RD MARWICK ESTATES 3 53 "</f>
        <v xml:space="preserve">WESTWICK RD MARWICK ESTATES 3 53 </v>
      </c>
      <c r="D3752" s="1">
        <v>8671.56</v>
      </c>
    </row>
    <row r="3753" spans="1:4" x14ac:dyDescent="0.3">
      <c r="A3753" s="1" t="str">
        <f>"06000478600"</f>
        <v>06000478600</v>
      </c>
      <c r="B3753" s="1" t="str">
        <f>"DUNNE JAMES T TR, DUNNE GERALDINE TR"</f>
        <v>DUNNE JAMES T TR, DUNNE GERALDINE TR</v>
      </c>
      <c r="C3753" s="1" t="str">
        <f>"TWILIGHT DR BRIARCLIFF 8 LOT 507"</f>
        <v>TWILIGHT DR BRIARCLIFF 8 LOT 507</v>
      </c>
      <c r="D3753" s="1">
        <v>287.76</v>
      </c>
    </row>
    <row r="3754" spans="1:4" x14ac:dyDescent="0.3">
      <c r="A3754" s="1" t="str">
        <f>"01011319900"</f>
        <v>01011319900</v>
      </c>
      <c r="B3754" s="1" t="str">
        <f>"DUNNO ANGELO"</f>
        <v>DUNNO ANGELO</v>
      </c>
      <c r="C3754" s="1" t="str">
        <f>"FORNOFF RD OBETZ LOT 7"</f>
        <v>FORNOFF RD OBETZ LOT 7</v>
      </c>
      <c r="D3754" s="1">
        <v>990.43</v>
      </c>
    </row>
    <row r="3755" spans="1:4" x14ac:dyDescent="0.3">
      <c r="A3755" s="1" t="str">
        <f>"01012600600"</f>
        <v>01012600600</v>
      </c>
      <c r="B3755" s="1" t="str">
        <f>"DUNSTON ELLEN RUTH TR"</f>
        <v>DUNSTON ELLEN RUTH TR</v>
      </c>
      <c r="C3755" s="1" t="str">
        <f>"4498 KENFIELD RD CLINTON ESTATES 5 LOT 152"</f>
        <v>4498 KENFIELD RD CLINTON ESTATES 5 LOT 152</v>
      </c>
      <c r="D3755" s="1">
        <v>154.35</v>
      </c>
    </row>
    <row r="3756" spans="1:4" x14ac:dyDescent="0.3">
      <c r="A3756" s="1" t="str">
        <f>"49023241500"</f>
        <v>49023241500</v>
      </c>
      <c r="B3756" s="1" t="str">
        <f>"DUONG THAO UYEN T"</f>
        <v>DUONG THAO UYEN T</v>
      </c>
      <c r="C3756" s="1" t="str">
        <f>"EASTBEND DRIVE ESSEX PLACE SEC 3 LOT 110"</f>
        <v>EASTBEND DRIVE ESSEX PLACE SEC 3 LOT 110</v>
      </c>
      <c r="D3756" s="1">
        <v>246.41</v>
      </c>
    </row>
    <row r="3757" spans="1:4" x14ac:dyDescent="0.3">
      <c r="A3757" s="1" t="str">
        <f>"59020003400"</f>
        <v>59020003400</v>
      </c>
      <c r="B3757" s="1" t="str">
        <f>"DURAJ EUANDA"</f>
        <v>DURAJ EUANDA</v>
      </c>
      <c r="C3757" s="1" t="str">
        <f>"7835 MEADOWHAVEN BL MILLCREEK COM CONDO 1ST AMD UNIT 71"</f>
        <v>7835 MEADOWHAVEN BL MILLCREEK COM CONDO 1ST AMD UNIT 71</v>
      </c>
      <c r="D3757" s="1">
        <v>173.7</v>
      </c>
    </row>
    <row r="3758" spans="1:4" x14ac:dyDescent="0.3">
      <c r="A3758" s="1" t="str">
        <f>"01006995300"</f>
        <v>01006995300</v>
      </c>
      <c r="B3758" s="1" t="str">
        <f>"DURAJ VLADIMIR, DURAJ FLAJDO"</f>
        <v>DURAJ VLADIMIR, DURAJ FLAJDO</v>
      </c>
      <c r="C3758" s="1" t="str">
        <f>"3115-7 W BROAD 40FT ES WESTGATE LOT 7"</f>
        <v>3115-7 W BROAD 40FT ES WESTGATE LOT 7</v>
      </c>
      <c r="D3758" s="1">
        <v>1779.4</v>
      </c>
    </row>
    <row r="3759" spans="1:4" x14ac:dyDescent="0.3">
      <c r="A3759" s="1" t="str">
        <f>"01007827600"</f>
        <v>01007827600</v>
      </c>
      <c r="B3759" s="1" t="str">
        <f>"DURAN GUADALUPE"</f>
        <v>DURAN GUADALUPE</v>
      </c>
      <c r="C3759" s="1" t="str">
        <f>"696 S TERRACE AVE WESTLAND EXT LOT 301"</f>
        <v>696 S TERRACE AVE WESTLAND EXT LOT 301</v>
      </c>
      <c r="D3759" s="1">
        <v>117.25</v>
      </c>
    </row>
    <row r="3760" spans="1:4" x14ac:dyDescent="0.3">
      <c r="A3760" s="1" t="str">
        <f>"01005423400"</f>
        <v>01005423400</v>
      </c>
      <c r="B3760" s="1" t="str">
        <f>"DURAN MIGUEL ANGEL RAMIREZ"</f>
        <v>DURAN MIGUEL ANGEL RAMIREZ</v>
      </c>
      <c r="C3760" s="1" t="str">
        <f>"1316 17TH AVE LOUIS HEIGHTS LOT 83"</f>
        <v>1316 17TH AVE LOUIS HEIGHTS LOT 83</v>
      </c>
      <c r="D3760" s="1">
        <v>2180.7800000000002</v>
      </c>
    </row>
    <row r="3761" spans="1:4" x14ac:dyDescent="0.3">
      <c r="A3761" s="1" t="str">
        <f>"01029472500"</f>
        <v>01029472500</v>
      </c>
      <c r="B3761" s="1" t="str">
        <f>"DURFEY ROBERT, DURFEY JANET"</f>
        <v>DURFEY ROBERT, DURFEY JANET</v>
      </c>
      <c r="C3761" s="1" t="str">
        <f>"HAYDENS CROSSING SECTION 12 LOT 544"</f>
        <v>HAYDENS CROSSING SECTION 12 LOT 544</v>
      </c>
      <c r="D3761" s="1">
        <v>2677.86</v>
      </c>
    </row>
    <row r="3762" spans="1:4" x14ac:dyDescent="0.3">
      <c r="A3762" s="1" t="str">
        <f>"02500490700"</f>
        <v>02500490700</v>
      </c>
      <c r="B3762" s="1" t="str">
        <f>"DURIS &amp; DURIS LLC"</f>
        <v>DURIS &amp; DURIS LLC</v>
      </c>
      <c r="C3762" s="1" t="str">
        <f>"00000 JOHNSTOWN ROAD      .475 ACRE                 R17 T1 1/4T4             "</f>
        <v xml:space="preserve">00000 JOHNSTOWN ROAD      .475 ACRE                 R17 T1 1/4T4             </v>
      </c>
      <c r="D3762" s="1">
        <v>278.81</v>
      </c>
    </row>
    <row r="3763" spans="1:4" x14ac:dyDescent="0.3">
      <c r="A3763" s="1" t="str">
        <f>"02500819200"</f>
        <v>02500819200</v>
      </c>
      <c r="B3763" s="1" t="str">
        <f>"DURKEE DIANE L"</f>
        <v>DURKEE DIANE L</v>
      </c>
      <c r="C3763" s="1" t="str">
        <f>"511 WHITLEY DRIVE RATHBURN WOODS SEC 4 LOT 150"</f>
        <v>511 WHITLEY DRIVE RATHBURN WOODS SEC 4 LOT 150</v>
      </c>
      <c r="D3763" s="1">
        <v>3749.82</v>
      </c>
    </row>
    <row r="3764" spans="1:4" x14ac:dyDescent="0.3">
      <c r="A3764" s="1" t="str">
        <f>"15200102100"</f>
        <v>15200102100</v>
      </c>
      <c r="B3764" s="1" t="str">
        <f>"DURRER RONALD T, DURRER RACHEL M"</f>
        <v>DURRER RONALD T, DURRER RACHEL M</v>
      </c>
      <c r="C3764" s="1" t="str">
        <f>"SPANGLER RD R22 T4 S14 0.674 ACRE"</f>
        <v>SPANGLER RD R22 T4 S14 0.674 ACRE</v>
      </c>
      <c r="D3764" s="1">
        <v>1356.18</v>
      </c>
    </row>
    <row r="3765" spans="1:4" x14ac:dyDescent="0.3">
      <c r="A3765" s="1" t="str">
        <f>"15000016300"</f>
        <v>15000016300</v>
      </c>
      <c r="B3765" s="1" t="str">
        <f>"DURRER RONALD T, DURRER RACHEL M"</f>
        <v>DURRER RONALD T, DURRER RACHEL M</v>
      </c>
      <c r="C3765" s="1" t="str">
        <f>"4850 REESE RD 3.25 ACRES R22 T4 S 26"</f>
        <v>4850 REESE RD 3.25 ACRES R22 T4 S 26</v>
      </c>
      <c r="D3765" s="1">
        <v>4471.8100000000004</v>
      </c>
    </row>
    <row r="3766" spans="1:4" x14ac:dyDescent="0.3">
      <c r="A3766" s="1" t="str">
        <f>"15200086200"</f>
        <v>15200086200</v>
      </c>
      <c r="B3766" s="1" t="str">
        <f>"DURRER RONALD T, DURRER RACHEL M"</f>
        <v>DURRER RONALD T, DURRER RACHEL M</v>
      </c>
      <c r="C3766" s="1" t="str">
        <f>"WILLIAMS RD 0.390 ACRE R22 T4 SEC 14 NW QR"</f>
        <v>WILLIAMS RD 0.390 ACRE R22 T4 SEC 14 NW QR</v>
      </c>
      <c r="D3766" s="1">
        <v>569.59</v>
      </c>
    </row>
    <row r="3767" spans="1:4" x14ac:dyDescent="0.3">
      <c r="A3767" s="1" t="str">
        <f>"57016755900"</f>
        <v>57016755900</v>
      </c>
      <c r="B3767" s="1" t="str">
        <f>"DURTHALER DOUGLAS H"</f>
        <v>DURTHALER DOUGLAS H</v>
      </c>
      <c r="C3767" s="1" t="str">
        <f>"GREENE COUNTRIE PEPPERWOOD COURT LOT 13"</f>
        <v>GREENE COUNTRIE PEPPERWOOD COURT LOT 13</v>
      </c>
      <c r="D3767" s="1">
        <v>766.91</v>
      </c>
    </row>
    <row r="3768" spans="1:4" x14ac:dyDescent="0.3">
      <c r="A3768" s="1" t="str">
        <f>"01009127100"</f>
        <v>01009127100</v>
      </c>
      <c r="B3768" s="1" t="str">
        <f>"DUSTIN PROPERTY GROUP LLC"</f>
        <v>DUSTIN PROPERTY GROUP LLC</v>
      </c>
      <c r="C3768" s="1" t="str">
        <f>"ASHBURTON RD EASTHAMPTON LOT 47"</f>
        <v>ASHBURTON RD EASTHAMPTON LOT 47</v>
      </c>
      <c r="D3768" s="1">
        <v>1992.65</v>
      </c>
    </row>
    <row r="3769" spans="1:4" x14ac:dyDescent="0.3">
      <c r="A3769" s="1" t="str">
        <f>"01004576300"</f>
        <v>01004576300</v>
      </c>
      <c r="B3769" s="1" t="str">
        <f>"DUTCHER TAMELA D TTEE"</f>
        <v>DUTCHER TAMELA D TTEE</v>
      </c>
      <c r="C3769" s="1" t="str">
        <f>"388 S GLENWOOD AVE 40FT MID PT AVONDALE LOT 96-95"</f>
        <v>388 S GLENWOOD AVE 40FT MID PT AVONDALE LOT 96-95</v>
      </c>
      <c r="D3769" s="1">
        <v>81.59</v>
      </c>
    </row>
    <row r="3770" spans="1:4" x14ac:dyDescent="0.3">
      <c r="A3770" s="1" t="str">
        <f>"01005935100"</f>
        <v>01005935100</v>
      </c>
      <c r="B3770" s="1" t="str">
        <f>"DUTIEL JEFF, GESSNER MARK"</f>
        <v>DUTIEL JEFF, GESSNER MARK</v>
      </c>
      <c r="C3770" s="1" t="str">
        <f>"1588 ARLINGTON AVE WALDON LOT 19"</f>
        <v>1588 ARLINGTON AVE WALDON LOT 19</v>
      </c>
      <c r="D3770" s="1">
        <v>2254.42</v>
      </c>
    </row>
    <row r="3771" spans="1:4" x14ac:dyDescent="0.3">
      <c r="A3771" s="1" t="str">
        <f>"01007974400"</f>
        <v>01007974400</v>
      </c>
      <c r="B3771" s="1" t="str">
        <f>"DUTIEL JEFF, GESSNER MARK"</f>
        <v>DUTIEL JEFF, GESSNER MARK</v>
      </c>
      <c r="C3771" s="1" t="str">
        <f>"1228 MANCHESTER AVE HARRISON VILLA LOT 38"</f>
        <v>1228 MANCHESTER AVE HARRISON VILLA LOT 38</v>
      </c>
      <c r="D3771" s="1">
        <v>1264.68</v>
      </c>
    </row>
    <row r="3772" spans="1:4" x14ac:dyDescent="0.3">
      <c r="A3772" s="1" t="str">
        <f>"11000403500"</f>
        <v>11000403500</v>
      </c>
      <c r="B3772" s="1" t="str">
        <f>"DUTIEL JEFFREY D, DUTIEL CHERYL L, DUTIEL CARLA R, SCHWARTZ YVETTA K, SCHWARTZ WILLIAM C, SCHWARTZ BRITTANY A"</f>
        <v>DUTIEL JEFFREY D, DUTIEL CHERYL L, DUTIEL CARLA R, SCHWARTZ YVETTA K, SCHWARTZ WILLIAM C, SCHWARTZ BRITTANY A</v>
      </c>
      <c r="C3772" s="1" t="str">
        <f>"MONTEVIDEO RD GLENGARY HTS 3 LOT 678"</f>
        <v>MONTEVIDEO RD GLENGARY HTS 3 LOT 678</v>
      </c>
      <c r="D3772" s="1">
        <v>274.68</v>
      </c>
    </row>
    <row r="3773" spans="1:4" x14ac:dyDescent="0.3">
      <c r="A3773" s="1" t="str">
        <f>"19100041800"</f>
        <v>19100041800</v>
      </c>
      <c r="B3773" s="1" t="str">
        <f>"DUUBLE INVESTMENTS LLC"</f>
        <v>DUUBLE INVESTMENTS LLC</v>
      </c>
      <c r="C3773" s="1" t="str">
        <f>"STELZER RD LEONARD PARK      BLK D 93.5'ES LT 1 EX SE COR"</f>
        <v>STELZER RD LEONARD PARK      BLK D 93.5'ES LT 1 EX SE COR</v>
      </c>
      <c r="D3773" s="1">
        <v>713.93</v>
      </c>
    </row>
    <row r="3774" spans="1:4" x14ac:dyDescent="0.3">
      <c r="A3774" s="1" t="str">
        <f>"01014728800"</f>
        <v>01014728800</v>
      </c>
      <c r="B3774" s="1" t="str">
        <f>"DUUBLE INVESTMENTS LLC"</f>
        <v>DUUBLE INVESTMENTS LLC</v>
      </c>
      <c r="C3774" s="1" t="str">
        <f>"SAVILLE ROW HYDE PARK PLAT 1 LOT 67"</f>
        <v>SAVILLE ROW HYDE PARK PLAT 1 LOT 67</v>
      </c>
      <c r="D3774" s="1">
        <v>2077.73</v>
      </c>
    </row>
    <row r="3775" spans="1:4" x14ac:dyDescent="0.3">
      <c r="A3775" s="1" t="str">
        <f>"19100041900"</f>
        <v>19100041900</v>
      </c>
      <c r="B3775" s="1" t="str">
        <f>"DUUBLE INVESTMENTS LLC"</f>
        <v>DUUBLE INVESTMENTS LLC</v>
      </c>
      <c r="C3775" s="1" t="str">
        <f>"STELZER RD LEONARD PARK 93.5'ES LOT 2 BLK D"</f>
        <v>STELZER RD LEONARD PARK 93.5'ES LOT 2 BLK D</v>
      </c>
      <c r="D3775" s="1">
        <v>684.13</v>
      </c>
    </row>
    <row r="3776" spans="1:4" x14ac:dyDescent="0.3">
      <c r="A3776" s="1" t="str">
        <f>"60016503000"</f>
        <v>60016503000</v>
      </c>
      <c r="B3776" s="1" t="str">
        <f>"DUUBLE INVESTMENTS LLC"</f>
        <v>DUUBLE INVESTMENTS LLC</v>
      </c>
      <c r="C3776" s="1" t="str">
        <f>"KILBOURNE AVE KILBOURNE WOODS SECTION 1 LOT 41"</f>
        <v>KILBOURNE AVE KILBOURNE WOODS SECTION 1 LOT 41</v>
      </c>
      <c r="D3776" s="1">
        <v>2752.48</v>
      </c>
    </row>
    <row r="3777" spans="1:4" x14ac:dyDescent="0.3">
      <c r="A3777" s="1" t="str">
        <f>"01007115400"</f>
        <v>01007115400</v>
      </c>
      <c r="B3777" s="1" t="str">
        <f>"DUUBLE INVESTMENTS LLC"</f>
        <v>DUUBLE INVESTMENTS LLC</v>
      </c>
      <c r="C3777" s="1" t="str">
        <f>"CLEVELAND AVE N LAWN LOT 3"</f>
        <v>CLEVELAND AVE N LAWN LOT 3</v>
      </c>
      <c r="D3777" s="1">
        <v>4029.61</v>
      </c>
    </row>
    <row r="3778" spans="1:4" x14ac:dyDescent="0.3">
      <c r="A3778" s="1" t="str">
        <f>"01024727500"</f>
        <v>01024727500</v>
      </c>
      <c r="B3778" s="1" t="str">
        <f>"DUUBLE INVESTMENTS LLC"</f>
        <v>DUUBLE INVESTMENTS LLC</v>
      </c>
      <c r="C3778" s="1" t="str">
        <f>"OMEGA DRIVE WALTHAM PLACE SECTION 4 LOT 226"</f>
        <v>OMEGA DRIVE WALTHAM PLACE SECTION 4 LOT 226</v>
      </c>
      <c r="D3778" s="1">
        <v>3155.71</v>
      </c>
    </row>
    <row r="3779" spans="1:4" x14ac:dyDescent="0.3">
      <c r="A3779" s="1" t="str">
        <f>"19100047400"</f>
        <v>19100047400</v>
      </c>
      <c r="B3779" s="1" t="str">
        <f>"DUUBLE INVESTMENTS LLC"</f>
        <v>DUUBLE INVESTMENTS LLC</v>
      </c>
      <c r="C3779" s="1" t="str">
        <f>"GENESSEE AVE LEONARD PARK 57 BLK D"</f>
        <v>GENESSEE AVE LEONARD PARK 57 BLK D</v>
      </c>
      <c r="D3779" s="1">
        <v>782.69</v>
      </c>
    </row>
    <row r="3780" spans="1:4" x14ac:dyDescent="0.3">
      <c r="A3780" s="1" t="str">
        <f>"09000013600"</f>
        <v>09000013600</v>
      </c>
      <c r="B3780" s="1" t="str">
        <f>"DW 771 LLC"</f>
        <v>DW 771 LLC</v>
      </c>
      <c r="C3780" s="1" t="str">
        <f>"HAMILTON RD               BERNHARD 18               "</f>
        <v xml:space="preserve">HAMILTON RD               BERNHARD 18               </v>
      </c>
      <c r="D3780" s="1">
        <v>1462.04</v>
      </c>
    </row>
    <row r="3781" spans="1:4" x14ac:dyDescent="0.3">
      <c r="A3781" s="1" t="str">
        <f>"01011161000"</f>
        <v>01011161000</v>
      </c>
      <c r="B3781" s="1" t="str">
        <f>"DYE BRUCE O"</f>
        <v>DYE BRUCE O</v>
      </c>
      <c r="C3781" s="1" t="str">
        <f>"SOUTHGATE DR NEW AMSTERDAM VLG LOT 1"</f>
        <v>SOUTHGATE DR NEW AMSTERDAM VLG LOT 1</v>
      </c>
      <c r="D3781" s="1">
        <v>3063.06</v>
      </c>
    </row>
    <row r="3782" spans="1:4" x14ac:dyDescent="0.3">
      <c r="A3782" s="1" t="str">
        <f>"24000515900"</f>
        <v>24000515900</v>
      </c>
      <c r="B3782" s="1" t="str">
        <f>"DYE JOHNNY L, DYE LUCY M"</f>
        <v>DYE JOHNNY L, DYE LUCY M</v>
      </c>
      <c r="C3782" s="1" t="str">
        <f>"AMITY RD .620 ACRE  "</f>
        <v xml:space="preserve">AMITY RD .620 ACRE  </v>
      </c>
      <c r="D3782" s="1">
        <v>385.75</v>
      </c>
    </row>
    <row r="3783" spans="1:4" x14ac:dyDescent="0.3">
      <c r="A3783" s="1" t="str">
        <f>"06000198800"</f>
        <v>06000198800</v>
      </c>
      <c r="B3783" s="1" t="str">
        <f>"DYE TYLER ANDREW, BRILL-DYE AUDREY LYNN"</f>
        <v>DYE TYLER ANDREW, BRILL-DYE AUDREY LYNN</v>
      </c>
      <c r="C3783" s="1" t="str">
        <f>"HOOTMAN RD HERBERT C HUBER PLAT 36 SEC 2 46"</f>
        <v>HOOTMAN RD HERBERT C HUBER PLAT 36 SEC 2 46</v>
      </c>
      <c r="D3783" s="1">
        <v>363.15</v>
      </c>
    </row>
    <row r="3784" spans="1:4" x14ac:dyDescent="0.3">
      <c r="A3784" s="1" t="str">
        <f>"18400019800"</f>
        <v>18400019800</v>
      </c>
      <c r="B3784" s="1" t="str">
        <f>"DYEKMAN INVESTMENTS LLC"</f>
        <v>DYEKMAN INVESTMENTS LLC</v>
      </c>
      <c r="C3784" s="1" t="str">
        <f>"WEST ALLEY FACING H V RR TRINES 2 "</f>
        <v xml:space="preserve">WEST ALLEY FACING H V RR TRINES 2 </v>
      </c>
      <c r="D3784" s="1">
        <v>2572.64</v>
      </c>
    </row>
    <row r="3785" spans="1:4" x14ac:dyDescent="0.3">
      <c r="A3785" s="1" t="str">
        <f>"18400099800"</f>
        <v>18400099800</v>
      </c>
      <c r="B3785" s="1" t="str">
        <f>"DYEKMAN INVESTMENTS LLC"</f>
        <v>DYEKMAN INVESTMENTS LLC</v>
      </c>
      <c r="C3785" s="1" t="str">
        <f>"N HIGH ST .013 AC MILLERS LOT 2"</f>
        <v>N HIGH ST .013 AC MILLERS LOT 2</v>
      </c>
      <c r="D3785" s="1">
        <v>10.039999999999999</v>
      </c>
    </row>
    <row r="3786" spans="1:4" x14ac:dyDescent="0.3">
      <c r="A3786" s="1" t="str">
        <f>"01011129400"</f>
        <v>01011129400</v>
      </c>
      <c r="B3786" s="1" t="str">
        <f>"DYER BARBARA A"</f>
        <v>DYER BARBARA A</v>
      </c>
      <c r="C3786" s="1" t="str">
        <f>"ALGONQUIN AVE ACRES .414 ENTRY 3315"</f>
        <v>ALGONQUIN AVE ACRES .414 ENTRY 3315</v>
      </c>
      <c r="D3786" s="1">
        <v>1568.16</v>
      </c>
    </row>
    <row r="3787" spans="1:4" x14ac:dyDescent="0.3">
      <c r="A3787" s="1" t="str">
        <f>"14634697400"</f>
        <v>14634697400</v>
      </c>
      <c r="B3787" s="1" t="str">
        <f>"DYER ROAD LLC"</f>
        <v>DYER ROAD LLC</v>
      </c>
      <c r="C3787" s="1" t="str">
        <f>"1350 DYER RD 13.618 ACRES ENTRY 424"</f>
        <v>1350 DYER RD 13.618 ACRES ENTRY 424</v>
      </c>
      <c r="D3787" s="1">
        <v>598.48</v>
      </c>
    </row>
    <row r="3788" spans="1:4" x14ac:dyDescent="0.3">
      <c r="A3788" s="1" t="str">
        <f>"01006902700"</f>
        <v>01006902700</v>
      </c>
      <c r="B3788" s="1" t="str">
        <f>"DYGERT TODD"</f>
        <v>DYGERT TODD</v>
      </c>
      <c r="C3788" s="1" t="str">
        <f>"S ROYS AVE WILSHIRE HTS LOT 8 BLK 27"</f>
        <v>S ROYS AVE WILSHIRE HTS LOT 8 BLK 27</v>
      </c>
      <c r="D3788" s="1">
        <v>2000</v>
      </c>
    </row>
    <row r="3789" spans="1:4" x14ac:dyDescent="0.3">
      <c r="A3789" s="1" t="str">
        <f>"57019390300"</f>
        <v>57019390300</v>
      </c>
      <c r="B3789" s="1" t="str">
        <f>"DYNASTY REALTY GROUP LLC"</f>
        <v>DYNASTY REALTY GROUP LLC</v>
      </c>
      <c r="C3789" s="1" t="str">
        <f>"LAZAR RD                  ENTRY 4641                5.001 ACRES              "</f>
        <v xml:space="preserve">LAZAR RD                  ENTRY 4641                5.001 ACRES              </v>
      </c>
      <c r="D3789" s="1">
        <v>2060.96</v>
      </c>
    </row>
    <row r="3790" spans="1:4" x14ac:dyDescent="0.3">
      <c r="A3790" s="1" t="str">
        <f>"01012860600"</f>
        <v>01012860600</v>
      </c>
      <c r="B3790" s="1" t="str">
        <f>"DYSERT STACEY TR, MUSTARD CARRIE TR"</f>
        <v>DYSERT STACEY TR, MUSTARD CARRIE TR</v>
      </c>
      <c r="C3790" s="1" t="str">
        <f>"GLENMAWR AVE MOORES &amp; DALES 5 LOT 79"</f>
        <v>GLENMAWR AVE MOORES &amp; DALES 5 LOT 79</v>
      </c>
      <c r="D3790" s="1">
        <v>5527.37</v>
      </c>
    </row>
    <row r="3791" spans="1:4" x14ac:dyDescent="0.3">
      <c r="A3791" s="1" t="str">
        <f>"57022208600"</f>
        <v>57022208600</v>
      </c>
      <c r="B3791" s="1" t="str">
        <f>"DZAMOV SASHKO A, DZAMOV TATJANA"</f>
        <v>DZAMOV SASHKO A, DZAMOV TATJANA</v>
      </c>
      <c r="C3791" s="1" t="str">
        <f>"LINDSTROM DR SCIOTO WOODS SEC 8 PART 1 LOT 481"</f>
        <v>LINDSTROM DR SCIOTO WOODS SEC 8 PART 1 LOT 481</v>
      </c>
      <c r="D3791" s="1">
        <v>194.97</v>
      </c>
    </row>
    <row r="3792" spans="1:4" x14ac:dyDescent="0.3">
      <c r="A3792" s="1" t="str">
        <f>"01004516600"</f>
        <v>01004516600</v>
      </c>
      <c r="B3792" s="1" t="str">
        <f>"E L VENTURES LLC"</f>
        <v>E L VENTURES LLC</v>
      </c>
      <c r="C3792" s="1" t="str">
        <f>"DANA AVE S1/2 11&amp;ALL 12 DANA AVE LOT 11-12"</f>
        <v>DANA AVE S1/2 11&amp;ALL 12 DANA AVE LOT 11-12</v>
      </c>
      <c r="D3792" s="1">
        <v>10770.9</v>
      </c>
    </row>
    <row r="3793" spans="1:4" x14ac:dyDescent="0.3">
      <c r="A3793" s="1" t="str">
        <f>"57022554900"</f>
        <v>57022554900</v>
      </c>
      <c r="B3793" s="1" t="str">
        <f>"E&amp;M INVESTMENT SOLUTION GROUP LLC"</f>
        <v>E&amp;M INVESTMENT SOLUTION GROUP LLC</v>
      </c>
      <c r="C3793" s="1" t="str">
        <f>"BENTONHURST COURT CHADWICK FARMS LOT 36"</f>
        <v>BENTONHURST COURT CHADWICK FARMS LOT 36</v>
      </c>
      <c r="D3793" s="1">
        <v>4140.42</v>
      </c>
    </row>
    <row r="3794" spans="1:4" x14ac:dyDescent="0.3">
      <c r="A3794" s="1" t="str">
        <f>"01001367900"</f>
        <v>01001367900</v>
      </c>
      <c r="B3794" s="1" t="str">
        <f>"EAC PROPERTIES LLC"</f>
        <v>EAC PROPERTIES LLC</v>
      </c>
      <c r="C3794" s="1" t="str">
        <f>"72 W 3RD STREET           HERSHISER &amp; ASTON         LOT 11 &amp; PT VAC AL       "</f>
        <v xml:space="preserve">72 W 3RD STREET           HERSHISER &amp; ASTON         LOT 11 &amp; PT VAC AL       </v>
      </c>
      <c r="D3794" s="1">
        <v>10401.08</v>
      </c>
    </row>
    <row r="3795" spans="1:4" x14ac:dyDescent="0.3">
      <c r="A3795" s="1" t="str">
        <f>"17000163700"</f>
        <v>17000163700</v>
      </c>
      <c r="B3795" s="1" t="str">
        <f>"EAGLESON NANCY W"</f>
        <v>EAGLESON NANCY W</v>
      </c>
      <c r="C3795" s="1" t="str">
        <f>"6251 BROOKSONG CIR WINDRUSH CREEK SEC 3 LOT 80"</f>
        <v>6251 BROOKSONG CIR WINDRUSH CREEK SEC 3 LOT 80</v>
      </c>
      <c r="D3795" s="1">
        <v>500.73</v>
      </c>
    </row>
    <row r="3796" spans="1:4" x14ac:dyDescent="0.3">
      <c r="A3796" s="1" t="str">
        <f>"03000260000"</f>
        <v>03000260000</v>
      </c>
      <c r="B3796" s="1" t="str">
        <f>"EAGLESON SARAH, DIFFENDERFFER WILLIAM"</f>
        <v>EAGLESON SARAH, DIFFENDERFFER WILLIAM</v>
      </c>
      <c r="C3796" s="1" t="str">
        <f>"SUMMIT CHASE COND UNIT 11 "</f>
        <v xml:space="preserve">SUMMIT CHASE COND UNIT 11 </v>
      </c>
      <c r="D3796" s="1">
        <v>515.04999999999995</v>
      </c>
    </row>
    <row r="3797" spans="1:4" x14ac:dyDescent="0.3">
      <c r="A3797" s="1" t="str">
        <f>"01009163600"</f>
        <v>01009163600</v>
      </c>
      <c r="B3797" s="1" t="str">
        <f>"EAKIN CAPITAL PROPERTIES LLC"</f>
        <v>EAKIN CAPITAL PROPERTIES LLC</v>
      </c>
      <c r="C3797" s="1" t="str">
        <f>"CHASE CONDOMINIUM UNIT 332 "</f>
        <v xml:space="preserve">CHASE CONDOMINIUM UNIT 332 </v>
      </c>
      <c r="D3797" s="1">
        <v>1254.17</v>
      </c>
    </row>
    <row r="3798" spans="1:4" x14ac:dyDescent="0.3">
      <c r="A3798" s="1" t="str">
        <f>"08000891000"</f>
        <v>08000891000</v>
      </c>
      <c r="B3798" s="1" t="str">
        <f>"EARHART DONNA JEANNE TR"</f>
        <v>EARHART DONNA JEANNE TR</v>
      </c>
      <c r="C3798" s="1" t="str">
        <f>"GEMSTONE SQ W BROOKSTONE SEC ONE LOT 38"</f>
        <v>GEMSTONE SQ W BROOKSTONE SEC ONE LOT 38</v>
      </c>
      <c r="D3798" s="1">
        <v>277.77999999999997</v>
      </c>
    </row>
    <row r="3799" spans="1:4" x14ac:dyDescent="0.3">
      <c r="A3799" s="1" t="str">
        <f>"01007673900"</f>
        <v>01007673900</v>
      </c>
      <c r="B3799" s="1" t="str">
        <f>"EARLY EDWARD, EARLY BEATRICE"</f>
        <v>EARLY EDWARD, EARLY BEATRICE</v>
      </c>
      <c r="C3799" s="1" t="str">
        <f>"26TH AVE HOMESTEAD HTS 2 LOT 171-172"</f>
        <v>26TH AVE HOMESTEAD HTS 2 LOT 171-172</v>
      </c>
      <c r="D3799" s="1">
        <v>563.29</v>
      </c>
    </row>
    <row r="3800" spans="1:4" x14ac:dyDescent="0.3">
      <c r="A3800" s="1" t="str">
        <f>"01015446200"</f>
        <v>01015446200</v>
      </c>
      <c r="B3800" s="1" t="str">
        <f>"EARLY THOMAS A, EARLY GAIL K"</f>
        <v>EARLY THOMAS A, EARLY GAIL K</v>
      </c>
      <c r="C3800" s="1" t="str">
        <f>"CLINTONVIEW ST SHARON WOODS SEC 5 LOT 405"</f>
        <v>CLINTONVIEW ST SHARON WOODS SEC 5 LOT 405</v>
      </c>
      <c r="D3800" s="1">
        <v>1319.45</v>
      </c>
    </row>
    <row r="3801" spans="1:4" x14ac:dyDescent="0.3">
      <c r="A3801" s="1" t="str">
        <f>"27300672400"</f>
        <v>27300672400</v>
      </c>
      <c r="B3801" s="1" t="str">
        <f>"EASON LLOYD"</f>
        <v>EASON LLOYD</v>
      </c>
      <c r="C3801" s="1" t="str">
        <f>"WYNWRIGHT DRIVE WYNDHAM VILLAGE SEC2 LOT 95"</f>
        <v>WYNWRIGHT DRIVE WYNDHAM VILLAGE SEC2 LOT 95</v>
      </c>
      <c r="D3801" s="1">
        <v>5856.18</v>
      </c>
    </row>
    <row r="3802" spans="1:4" x14ac:dyDescent="0.3">
      <c r="A3802" s="1" t="str">
        <f>"01008190300"</f>
        <v>01008190300</v>
      </c>
      <c r="B3802" s="1" t="str">
        <f>"EAST FIFTH AVENUE SUNBURY ROAD PARTNERSHIP"</f>
        <v>EAST FIFTH AVENUE SUNBURY ROAD PARTNERSHIP</v>
      </c>
      <c r="C3802" s="1" t="str">
        <f>"879-89 SUNBURY AVE HARMON &amp; DEANS LOT 7 &amp; 19"</f>
        <v>879-89 SUNBURY AVE HARMON &amp; DEANS LOT 7 &amp; 19</v>
      </c>
      <c r="D3802" s="1">
        <v>5828</v>
      </c>
    </row>
    <row r="3803" spans="1:4" x14ac:dyDescent="0.3">
      <c r="A3803" s="1" t="str">
        <f>"01003079800"</f>
        <v>01003079800</v>
      </c>
      <c r="B3803" s="1" t="str">
        <f>"EAST WOODRUFF RENTALS LLC"</f>
        <v>EAST WOODRUFF RENTALS LLC</v>
      </c>
      <c r="C3803" s="1" t="str">
        <f>"56-58 E WOODRUFF AVE TULLER BROS LOT 39"</f>
        <v>56-58 E WOODRUFF AVE TULLER BROS LOT 39</v>
      </c>
      <c r="D3803" s="1">
        <v>4221.07</v>
      </c>
    </row>
    <row r="3804" spans="1:4" x14ac:dyDescent="0.3">
      <c r="A3804" s="1" t="str">
        <f>"10000104600"</f>
        <v>10000104600</v>
      </c>
      <c r="B3804" s="1" t="str">
        <f>"EASTIN CAROL P TTEE"</f>
        <v>EASTIN CAROL P TTEE</v>
      </c>
      <c r="C3804" s="1" t="str">
        <f>"177 PINNEY DR LOT 26 WORTHINGTON SOUTHWEST"</f>
        <v>177 PINNEY DR LOT 26 WORTHINGTON SOUTHWEST</v>
      </c>
      <c r="D3804" s="1">
        <v>6032.31</v>
      </c>
    </row>
    <row r="3805" spans="1:4" x14ac:dyDescent="0.3">
      <c r="A3805" s="1" t="str">
        <f>"19000395000"</f>
        <v>19000395000</v>
      </c>
      <c r="B3805" s="1" t="str">
        <f>"EATON CAROL LYNN"</f>
        <v>EATON CAROL LYNN</v>
      </c>
      <c r="C3805" s="1" t="str">
        <f>"MECCA RD NORTHGLEN 190 "</f>
        <v xml:space="preserve">MECCA RD NORTHGLEN 190 </v>
      </c>
      <c r="D3805" s="1">
        <v>3090.25</v>
      </c>
    </row>
    <row r="3806" spans="1:4" x14ac:dyDescent="0.3">
      <c r="A3806" s="1" t="str">
        <f>"57022634200"</f>
        <v>57022634200</v>
      </c>
      <c r="B3806" s="1" t="str">
        <f>"EATON RONALD V"</f>
        <v>EATON RONALD V</v>
      </c>
      <c r="C3806" s="1" t="str">
        <f>"SUNDIAL DRIVE WESTCHESTER SEC5 PT1 LOT 284"</f>
        <v>SUNDIAL DRIVE WESTCHESTER SEC5 PT1 LOT 284</v>
      </c>
      <c r="D3806" s="1">
        <v>152.07</v>
      </c>
    </row>
    <row r="3807" spans="1:4" x14ac:dyDescent="0.3">
      <c r="A3807" s="1" t="str">
        <f>"01004610200"</f>
        <v>01004610200</v>
      </c>
      <c r="B3807" s="1" t="str">
        <f>"EATON RONNIE"</f>
        <v>EATON RONNIE</v>
      </c>
      <c r="C3807" s="1" t="str">
        <f>"WHITETHORNE AVE MUNSON LOT SUB 24"</f>
        <v>WHITETHORNE AVE MUNSON LOT SUB 24</v>
      </c>
      <c r="D3807" s="1">
        <v>5.67</v>
      </c>
    </row>
    <row r="3808" spans="1:4" x14ac:dyDescent="0.3">
      <c r="A3808" s="1" t="str">
        <f>"02501135700"</f>
        <v>02501135700</v>
      </c>
      <c r="B3808" s="1" t="str">
        <f>"EAT-RITE 3 LLC"</f>
        <v>EAT-RITE 3 LLC</v>
      </c>
      <c r="C3808" s="1" t="s">
        <v>9</v>
      </c>
      <c r="D3808" s="1">
        <v>1024.31</v>
      </c>
    </row>
    <row r="3809" spans="1:4" x14ac:dyDescent="0.3">
      <c r="A3809" s="1" t="str">
        <f>"01003887600"</f>
        <v>01003887600</v>
      </c>
      <c r="B3809" s="1" t="str">
        <f>"EB 2016 LLC"</f>
        <v>EB 2016 LLC</v>
      </c>
      <c r="C3809" s="1" t="str">
        <f>"350 E BROAD ST COR GRANT AVE 55.50FT ON BROAD STX181.50FT"</f>
        <v>350 E BROAD ST COR GRANT AVE 55.50FT ON BROAD STX181.50FT</v>
      </c>
      <c r="D3809" s="1">
        <v>21152.02</v>
      </c>
    </row>
    <row r="3810" spans="1:4" x14ac:dyDescent="0.3">
      <c r="A3810" s="1" t="str">
        <f>"01002034900"</f>
        <v>01002034900</v>
      </c>
      <c r="B3810" s="1" t="str">
        <f>"EBA EQUITY LLC"</f>
        <v>EBA EQUITY LLC</v>
      </c>
      <c r="C3810" s="1" t="str">
        <f>"HILOCK AVE .489 ACRE R22 T4 S10"</f>
        <v>HILOCK AVE .489 ACRE R22 T4 S10</v>
      </c>
      <c r="D3810" s="1">
        <v>987.9</v>
      </c>
    </row>
    <row r="3811" spans="1:4" x14ac:dyDescent="0.3">
      <c r="A3811" s="1" t="str">
        <f>"01008918600"</f>
        <v>01008918600</v>
      </c>
      <c r="B3811" s="1" t="str">
        <f>"EBERHARD SHARON S"</f>
        <v>EBERHARD SHARON S</v>
      </c>
      <c r="C3811" s="1" t="str">
        <f>"SHANLEY DR. 61.5FT WS CLINTON ESTATES 4 LOT3"</f>
        <v>SHANLEY DR. 61.5FT WS CLINTON ESTATES 4 LOT3</v>
      </c>
      <c r="D3811" s="1">
        <v>157.43</v>
      </c>
    </row>
    <row r="3812" spans="1:4" x14ac:dyDescent="0.3">
      <c r="A3812" s="1" t="str">
        <f>"09000253900"</f>
        <v>09000253900</v>
      </c>
      <c r="B3812" s="1" t="str">
        <f>"EBERSBACH COOPER M, DURUSAN SOFIALYN D"</f>
        <v>EBERSBACH COOPER M, DURUSAN SOFIALYN D</v>
      </c>
      <c r="C3812" s="1" t="str">
        <f>"4232 BROADMOOR AVE PINEWOOD LOT 73"</f>
        <v>4232 BROADMOOR AVE PINEWOOD LOT 73</v>
      </c>
      <c r="D3812" s="1">
        <v>82.53</v>
      </c>
    </row>
    <row r="3813" spans="1:4" x14ac:dyDescent="0.3">
      <c r="A3813" s="1" t="str">
        <f>"59020807600"</f>
        <v>59020807600</v>
      </c>
      <c r="B3813" s="1" t="str">
        <f>"EBERSOLE HARVEY N JR, EBERSOLE SHEILA R"</f>
        <v>EBERSOLE HARVEY N JR, EBERSOLE SHEILA R</v>
      </c>
      <c r="C3813" s="1" t="str">
        <f>"SPRUCE PINE DRIVE WHISPERING PINES LOT 38"</f>
        <v>SPRUCE PINE DRIVE WHISPERING PINES LOT 38</v>
      </c>
      <c r="D3813" s="1">
        <v>355.07</v>
      </c>
    </row>
    <row r="3814" spans="1:4" x14ac:dyDescent="0.3">
      <c r="A3814" s="1" t="str">
        <f>"01007764000"</f>
        <v>01007764000</v>
      </c>
      <c r="B3814" s="1" t="str">
        <f>"EBERTS JOHN A, EBERTS SANDRA M"</f>
        <v>EBERTS JOHN A, EBERTS SANDRA M</v>
      </c>
      <c r="C3814" s="1" t="str">
        <f>"165 ERIE RD WEBSTER PARK LOT 37"</f>
        <v>165 ERIE RD WEBSTER PARK LOT 37</v>
      </c>
      <c r="D3814" s="1">
        <v>385.5</v>
      </c>
    </row>
    <row r="3815" spans="1:4" x14ac:dyDescent="0.3">
      <c r="A3815" s="1" t="str">
        <f>"08000814200"</f>
        <v>08000814200</v>
      </c>
      <c r="B3815" s="1" t="str">
        <f>"EBERTS MARY A TOD"</f>
        <v>EBERTS MARY A TOD</v>
      </c>
      <c r="C3815" s="1" t="str">
        <f>"145 KRISTIN CT SPRING GROVE EXT 5 SECTION 3 LOT 630"</f>
        <v>145 KRISTIN CT SPRING GROVE EXT 5 SECTION 3 LOT 630</v>
      </c>
      <c r="D3815" s="1">
        <v>376.54</v>
      </c>
    </row>
    <row r="3816" spans="1:4" x14ac:dyDescent="0.3">
      <c r="A3816" s="1" t="str">
        <f>"24100111700"</f>
        <v>24100111700</v>
      </c>
      <c r="B3816" s="1" t="str">
        <f>"EBERTS RICHARD T, EBERTS JULIANA I"</f>
        <v>EBERTS RICHARD T, EBERTS JULIANA I</v>
      </c>
      <c r="C3816" s="1" t="str">
        <f>"BATTALION PLACE WESTPOINT 2 SEC 2 LOT 315"</f>
        <v>BATTALION PLACE WESTPOINT 2 SEC 2 LOT 315</v>
      </c>
      <c r="D3816" s="1">
        <v>1112.19</v>
      </c>
    </row>
    <row r="3817" spans="1:4" x14ac:dyDescent="0.3">
      <c r="A3817" s="1" t="str">
        <f>"01010965200"</f>
        <v>01010965200</v>
      </c>
      <c r="B3817" s="1" t="str">
        <f>"EBNER ALLISON ELIZABETH TR"</f>
        <v>EBNER ALLISON ELIZABETH TR</v>
      </c>
      <c r="C3817" s="1" t="str">
        <f>"CHASE AVE E 1/2 503 ALL 504 CHASELAND"</f>
        <v>CHASE AVE E 1/2 503 ALL 504 CHASELAND</v>
      </c>
      <c r="D3817" s="1">
        <v>5502.79</v>
      </c>
    </row>
    <row r="3818" spans="1:4" x14ac:dyDescent="0.3">
      <c r="A3818" s="1" t="str">
        <f>"01001838100"</f>
        <v>01001838100</v>
      </c>
      <c r="B3818" s="1" t="str">
        <f>"EBNER MARK"</f>
        <v>EBNER MARK</v>
      </c>
      <c r="C3818" s="1" t="str">
        <f>"EASTMOOR BLVD 80 FT N S EASTMOOR AMD LOT 118"</f>
        <v>EASTMOOR BLVD 80 FT N S EASTMOOR AMD LOT 118</v>
      </c>
      <c r="D3818" s="1">
        <v>438.5</v>
      </c>
    </row>
    <row r="3819" spans="1:4" x14ac:dyDescent="0.3">
      <c r="A3819" s="1" t="str">
        <f>"18000436800"</f>
        <v>18000436800</v>
      </c>
      <c r="B3819" s="1" t="str">
        <f>"EBY EDWARD J"</f>
        <v>EBY EDWARD J</v>
      </c>
      <c r="C3819" s="1" t="str">
        <f>"DUNLOE RD QUALSTAN EAST 179 "</f>
        <v xml:space="preserve">DUNLOE RD QUALSTAN EAST 179 </v>
      </c>
      <c r="D3819" s="1">
        <v>1654.15</v>
      </c>
    </row>
    <row r="3820" spans="1:4" x14ac:dyDescent="0.3">
      <c r="A3820" s="1" t="str">
        <f>"01000277800"</f>
        <v>01000277800</v>
      </c>
      <c r="B3820" s="1" t="str">
        <f>"EC4 LLC"</f>
        <v>EC4 LLC</v>
      </c>
      <c r="C3820" s="1" t="str">
        <f>"407 S EUREKA BELLAIRE EX LOT 189"</f>
        <v>407 S EUREKA BELLAIRE EX LOT 189</v>
      </c>
      <c r="D3820" s="1">
        <v>725.78</v>
      </c>
    </row>
    <row r="3821" spans="1:4" x14ac:dyDescent="0.3">
      <c r="A3821" s="1" t="str">
        <f>"13000677400"</f>
        <v>13000677400</v>
      </c>
      <c r="B3821" s="1" t="str">
        <f>"EC4 LLC"</f>
        <v>EC4 LLC</v>
      </c>
      <c r="C3821" s="1" t="str">
        <f>"1951 ELMORE AVE ELMORE LOT 358-359-360"</f>
        <v>1951 ELMORE AVE ELMORE LOT 358-359-360</v>
      </c>
      <c r="D3821" s="1">
        <v>1809.47</v>
      </c>
    </row>
    <row r="3822" spans="1:4" x14ac:dyDescent="0.3">
      <c r="A3822" s="1" t="str">
        <f>"11000450100"</f>
        <v>11000450100</v>
      </c>
      <c r="B3822" s="1" t="str">
        <f>"EC4 LLC"</f>
        <v>EC4 LLC</v>
      </c>
      <c r="C3822" s="1" t="str">
        <f>"DEMPSEY RD RESUB PART OF HAMSTEAD 1 296"</f>
        <v>DEMPSEY RD RESUB PART OF HAMSTEAD 1 296</v>
      </c>
      <c r="D3822" s="1">
        <v>3193.5</v>
      </c>
    </row>
    <row r="3823" spans="1:4" x14ac:dyDescent="0.3">
      <c r="A3823" s="1" t="str">
        <f>"01014077000"</f>
        <v>01014077000</v>
      </c>
      <c r="B3823" s="1" t="str">
        <f>"EC4 LLC"</f>
        <v>EC4 LLC</v>
      </c>
      <c r="C3823" s="1" t="str">
        <f>"BINBROOK RD HAVILAND 3 LOT 167"</f>
        <v>BINBROOK RD HAVILAND 3 LOT 167</v>
      </c>
      <c r="D3823" s="1">
        <v>1283.5</v>
      </c>
    </row>
    <row r="3824" spans="1:4" x14ac:dyDescent="0.3">
      <c r="A3824" s="1" t="str">
        <f>"01006557700"</f>
        <v>01006557700</v>
      </c>
      <c r="B3824" s="1" t="str">
        <f>"EC4 LLC"</f>
        <v>EC4 LLC</v>
      </c>
      <c r="C3824" s="1" t="str">
        <f>"117 HALDY AVE COLUMBIA PARK ANNEX LOT 19"</f>
        <v>117 HALDY AVE COLUMBIA PARK ANNEX LOT 19</v>
      </c>
      <c r="D3824" s="1">
        <v>1368.71</v>
      </c>
    </row>
    <row r="3825" spans="1:4" x14ac:dyDescent="0.3">
      <c r="A3825" s="1" t="str">
        <f>"01006411500"</f>
        <v>01006411500</v>
      </c>
      <c r="B3825" s="1" t="str">
        <f>"EC4 LLC"</f>
        <v>EC4 LLC</v>
      </c>
      <c r="C3825" s="1" t="str">
        <f>"POWELL AVE CAMP CHASE HTS AMENDED LOT 601"</f>
        <v>POWELL AVE CAMP CHASE HTS AMENDED LOT 601</v>
      </c>
      <c r="D3825" s="1">
        <v>1826.9</v>
      </c>
    </row>
    <row r="3826" spans="1:4" x14ac:dyDescent="0.3">
      <c r="A3826" s="1" t="str">
        <f>"01023891800"</f>
        <v>01023891800</v>
      </c>
      <c r="B3826" s="1" t="str">
        <f>"EC4 LLC"</f>
        <v>EC4 LLC</v>
      </c>
      <c r="C3826" s="1" t="str">
        <f>"WHIMS ROAD BRICE MEADOWS SUBDIVISION LOT 46"</f>
        <v>WHIMS ROAD BRICE MEADOWS SUBDIVISION LOT 46</v>
      </c>
      <c r="D3826" s="1">
        <v>2510.9899999999998</v>
      </c>
    </row>
    <row r="3827" spans="1:4" x14ac:dyDescent="0.3">
      <c r="A3827" s="1" t="str">
        <f>"01013886600"</f>
        <v>01013886600</v>
      </c>
      <c r="B3827" s="1" t="str">
        <f>"EC4 LLC"</f>
        <v>EC4 LLC</v>
      </c>
      <c r="C3827" s="1" t="str">
        <f>"BYCROFT RD PT L 41 BURLEIGH GARDENS "</f>
        <v xml:space="preserve">BYCROFT RD PT L 41 BURLEIGH GARDENS </v>
      </c>
      <c r="D3827" s="1">
        <v>782.09</v>
      </c>
    </row>
    <row r="3828" spans="1:4" x14ac:dyDescent="0.3">
      <c r="A3828" s="1" t="str">
        <f>"01006764000"</f>
        <v>01006764000</v>
      </c>
      <c r="B3828" s="1" t="str">
        <f>"EC4 LLC"</f>
        <v>EC4 LLC</v>
      </c>
      <c r="C3828" s="1" t="str">
        <f>"547 S WAYNE AVE SCHOENE HTS LOT 40"</f>
        <v>547 S WAYNE AVE SCHOENE HTS LOT 40</v>
      </c>
      <c r="D3828" s="1">
        <v>682.92</v>
      </c>
    </row>
    <row r="3829" spans="1:4" x14ac:dyDescent="0.3">
      <c r="A3829" s="1" t="str">
        <f>"01008920500"</f>
        <v>01008920500</v>
      </c>
      <c r="B3829" s="1" t="str">
        <f>"EC4 LLC"</f>
        <v>EC4 LLC</v>
      </c>
      <c r="C3829" s="1" t="str">
        <f>"WEYANT AVE LINCOLN PARK LOT 271 "</f>
        <v xml:space="preserve">WEYANT AVE LINCOLN PARK LOT 271 </v>
      </c>
      <c r="D3829" s="1">
        <v>1217.26</v>
      </c>
    </row>
    <row r="3830" spans="1:4" x14ac:dyDescent="0.3">
      <c r="A3830" s="1" t="str">
        <f>"01009387000"</f>
        <v>01009387000</v>
      </c>
      <c r="B3830" s="1" t="str">
        <f>"EC4 LLC"</f>
        <v>EC4 LLC</v>
      </c>
      <c r="C3830" s="1" t="str">
        <f>"EISENHOWER RD OAKLAND PARK 2ND AMD LOT 16"</f>
        <v>EISENHOWER RD OAKLAND PARK 2ND AMD LOT 16</v>
      </c>
      <c r="D3830" s="1">
        <v>1513.43</v>
      </c>
    </row>
    <row r="3831" spans="1:4" x14ac:dyDescent="0.3">
      <c r="A3831" s="1" t="str">
        <f>"01009926600"</f>
        <v>01009926600</v>
      </c>
      <c r="B3831" s="1" t="str">
        <f>"EC4 LLC"</f>
        <v>EC4 LLC</v>
      </c>
      <c r="C3831" s="1" t="str">
        <f>"FULTON ST WHITEHAL MANOR PLAT1 LOT 34"</f>
        <v>FULTON ST WHITEHAL MANOR PLAT1 LOT 34</v>
      </c>
      <c r="D3831" s="1">
        <v>1912.74</v>
      </c>
    </row>
    <row r="3832" spans="1:4" x14ac:dyDescent="0.3">
      <c r="A3832" s="1" t="str">
        <f>"14000514900"</f>
        <v>14000514900</v>
      </c>
      <c r="B3832" s="1" t="str">
        <f>"EC4 LLC"</f>
        <v>EC4 LLC</v>
      </c>
      <c r="C3832" s="1" t="str">
        <f>"2845 EL PASO DR PTS LOTS 34 35 SKIDMORE HILLS"</f>
        <v>2845 EL PASO DR PTS LOTS 34 35 SKIDMORE HILLS</v>
      </c>
      <c r="D3832" s="1">
        <v>1938.46</v>
      </c>
    </row>
    <row r="3833" spans="1:4" x14ac:dyDescent="0.3">
      <c r="A3833" s="1" t="str">
        <f>"57022287400"</f>
        <v>57022287400</v>
      </c>
      <c r="B3833" s="1" t="str">
        <f>"EC4 LLC"</f>
        <v>EC4 LLC</v>
      </c>
      <c r="C3833" s="1" t="str">
        <f>"0000 BLUHM CT MURNANE SUBDIVISION LOT 9"</f>
        <v>0000 BLUHM CT MURNANE SUBDIVISION LOT 9</v>
      </c>
      <c r="D3833" s="1">
        <v>1818</v>
      </c>
    </row>
    <row r="3834" spans="1:4" x14ac:dyDescent="0.3">
      <c r="A3834" s="1" t="str">
        <f>"01010714300"</f>
        <v>01010714300</v>
      </c>
      <c r="B3834" s="1" t="str">
        <f>"EC4 LLC"</f>
        <v>EC4 LLC</v>
      </c>
      <c r="C3834" s="1" t="str">
        <f>"KENLAWN ST KENMORE KNOLLS 2 LOT 70"</f>
        <v>KENLAWN ST KENMORE KNOLLS 2 LOT 70</v>
      </c>
      <c r="D3834" s="1">
        <v>1213.3900000000001</v>
      </c>
    </row>
    <row r="3835" spans="1:4" x14ac:dyDescent="0.3">
      <c r="A3835" s="1" t="str">
        <f>"01004190200"</f>
        <v>01004190200</v>
      </c>
      <c r="B3835" s="1" t="str">
        <f>"EC4 LLC"</f>
        <v>EC4 LLC</v>
      </c>
      <c r="C3835" s="1" t="str">
        <f>"86 N WAYNE AVE HIGHLAND PK LOT 119"</f>
        <v>86 N WAYNE AVE HIGHLAND PK LOT 119</v>
      </c>
      <c r="D3835" s="1">
        <v>834.24</v>
      </c>
    </row>
    <row r="3836" spans="1:4" x14ac:dyDescent="0.3">
      <c r="A3836" s="1" t="str">
        <f>"01009833200"</f>
        <v>01009833200</v>
      </c>
      <c r="B3836" s="1" t="str">
        <f>"EC4 LLC"</f>
        <v>EC4 LLC</v>
      </c>
      <c r="C3836" s="1" t="str">
        <f>"OAK PARK 10 LOT 74 "</f>
        <v xml:space="preserve">OAK PARK 10 LOT 74 </v>
      </c>
      <c r="D3836" s="1">
        <v>1356.5</v>
      </c>
    </row>
    <row r="3837" spans="1:4" x14ac:dyDescent="0.3">
      <c r="A3837" s="1" t="str">
        <f>"01008950000"</f>
        <v>01008950000</v>
      </c>
      <c r="B3837" s="1" t="str">
        <f>"EC4 LLC"</f>
        <v>EC4 LLC</v>
      </c>
      <c r="C3837" s="1" t="str">
        <f>"HAMPTON RD CALDWELLS MAIN ST LOT 124-126-128"</f>
        <v>HAMPTON RD CALDWELLS MAIN ST LOT 124-126-128</v>
      </c>
      <c r="D3837" s="1">
        <v>1244.2</v>
      </c>
    </row>
    <row r="3838" spans="1:4" x14ac:dyDescent="0.3">
      <c r="A3838" s="1" t="str">
        <f>"01013886500"</f>
        <v>01013886500</v>
      </c>
      <c r="B3838" s="1" t="str">
        <f>"EC4 LLC"</f>
        <v>EC4 LLC</v>
      </c>
      <c r="C3838" s="1" t="str">
        <f>"BYCROFT RD BURLEIGH GARDENS PT LOT 40"</f>
        <v>BYCROFT RD BURLEIGH GARDENS PT LOT 40</v>
      </c>
      <c r="D3838" s="1">
        <v>154.57</v>
      </c>
    </row>
    <row r="3839" spans="1:4" x14ac:dyDescent="0.3">
      <c r="A3839" s="1" t="str">
        <f>"01001392000"</f>
        <v>01001392000</v>
      </c>
      <c r="B3839" s="1" t="str">
        <f>"EC4 LLC"</f>
        <v>EC4 LLC</v>
      </c>
      <c r="C3839" s="1" t="str">
        <f>"925 ELLSWORTH AVE G WILLIAMS MILLER AV LOT 111"</f>
        <v>925 ELLSWORTH AVE G WILLIAMS MILLER AV LOT 111</v>
      </c>
      <c r="D3839" s="1">
        <v>726.72</v>
      </c>
    </row>
    <row r="3840" spans="1:4" x14ac:dyDescent="0.3">
      <c r="A3840" s="1" t="str">
        <f>"01011372600"</f>
        <v>01011372600</v>
      </c>
      <c r="B3840" s="1" t="str">
        <f>"EC4 LLC"</f>
        <v>EC4 LLC</v>
      </c>
      <c r="C3840" s="1" t="str">
        <f>"BULEN AVE OPPORTUNITY FARMS LOT 95"</f>
        <v>BULEN AVE OPPORTUNITY FARMS LOT 95</v>
      </c>
      <c r="D3840" s="1">
        <v>986.08</v>
      </c>
    </row>
    <row r="3841" spans="1:4" x14ac:dyDescent="0.3">
      <c r="A3841" s="1" t="str">
        <f>"01000384500"</f>
        <v>01000384500</v>
      </c>
      <c r="B3841" s="1" t="str">
        <f>"EC4 LLC"</f>
        <v>EC4 LLC</v>
      </c>
      <c r="C3841" s="1" t="str">
        <f>"896 MILLER AVE WILLIAMS MILLER AVE LOT 82"</f>
        <v>896 MILLER AVE WILLIAMS MILLER AVE LOT 82</v>
      </c>
      <c r="D3841" s="1">
        <v>969.18</v>
      </c>
    </row>
    <row r="3842" spans="1:4" x14ac:dyDescent="0.3">
      <c r="A3842" s="1" t="str">
        <f>"01000714700"</f>
        <v>01000714700</v>
      </c>
      <c r="B3842" s="1" t="str">
        <f>"EC4 LLC"</f>
        <v>EC4 LLC</v>
      </c>
      <c r="C3842" s="1" t="str">
        <f>"146 WARREN AVE WICKLOW LOT 281"</f>
        <v>146 WARREN AVE WICKLOW LOT 281</v>
      </c>
      <c r="D3842" s="1">
        <v>996.89</v>
      </c>
    </row>
    <row r="3843" spans="1:4" x14ac:dyDescent="0.3">
      <c r="A3843" s="1" t="str">
        <f>"01012029000"</f>
        <v>01012029000</v>
      </c>
      <c r="B3843" s="1" t="str">
        <f>"EC4 LLC"</f>
        <v>EC4 LLC</v>
      </c>
      <c r="C3843" s="1" t="str">
        <f>"BRINKER AVE VALLEYVIEW HEIGHTS LOT 44"</f>
        <v>BRINKER AVE VALLEYVIEW HEIGHTS LOT 44</v>
      </c>
      <c r="D3843" s="1">
        <v>1139.3599999999999</v>
      </c>
    </row>
    <row r="3844" spans="1:4" x14ac:dyDescent="0.3">
      <c r="A3844" s="1" t="str">
        <f>"01011372700"</f>
        <v>01011372700</v>
      </c>
      <c r="B3844" s="1" t="str">
        <f>"EC4 LLC"</f>
        <v>EC4 LLC</v>
      </c>
      <c r="C3844" s="1" t="str">
        <f>"OPPORTUNITY FARMS 10FT NS LOT 96 "</f>
        <v xml:space="preserve">OPPORTUNITY FARMS 10FT NS LOT 96 </v>
      </c>
      <c r="D3844" s="1">
        <v>40.01</v>
      </c>
    </row>
    <row r="3845" spans="1:4" x14ac:dyDescent="0.3">
      <c r="A3845" s="1" t="str">
        <f>"60020094600"</f>
        <v>60020094600</v>
      </c>
      <c r="B3845" s="1" t="str">
        <f>"ECC LLC"</f>
        <v>ECC LLC</v>
      </c>
      <c r="C3845" s="1" t="str">
        <f>"BLENDONVIEW OFF PARK CONDO 2ND AMD BLDG F UNIT 5008"</f>
        <v>BLENDONVIEW OFF PARK CONDO 2ND AMD BLDG F UNIT 5008</v>
      </c>
      <c r="D3845" s="1">
        <v>5629.58</v>
      </c>
    </row>
    <row r="3846" spans="1:4" x14ac:dyDescent="0.3">
      <c r="A3846" s="1" t="str">
        <f>"49025658000"</f>
        <v>49025658000</v>
      </c>
      <c r="B3846" s="1" t="str">
        <f>"ECHELBARGER GARY J, ECHELBARGER GEANINE C"</f>
        <v>ECHELBARGER GARY J, ECHELBARGER GEANINE C</v>
      </c>
      <c r="C3846" s="1" t="str">
        <f>"WINCHESTER MEADOWS DRIVE MEADOWS AT WINCHESTER SECTION 7 LOT 448"</f>
        <v>WINCHESTER MEADOWS DRIVE MEADOWS AT WINCHESTER SECTION 7 LOT 448</v>
      </c>
      <c r="D3846" s="1">
        <v>643.86</v>
      </c>
    </row>
    <row r="3847" spans="1:4" x14ac:dyDescent="0.3">
      <c r="A3847" s="1" t="str">
        <f>"01008001000"</f>
        <v>01008001000</v>
      </c>
      <c r="B3847" s="1" t="str">
        <f>"ECHOLS DIANNA N"</f>
        <v>ECHOLS DIANNA N</v>
      </c>
      <c r="C3847" s="1" t="str">
        <f>"NORWOOD ST KENMORE PK LOT 1 BLK 12"</f>
        <v>NORWOOD ST KENMORE PK LOT 1 BLK 12</v>
      </c>
      <c r="D3847" s="1">
        <v>1623.64</v>
      </c>
    </row>
    <row r="3848" spans="1:4" x14ac:dyDescent="0.3">
      <c r="A3848" s="1" t="str">
        <f>"01027907700"</f>
        <v>01027907700</v>
      </c>
      <c r="B3848" s="1" t="str">
        <f>"ECKERT JOHANNES G"</f>
        <v>ECKERT JOHANNES G</v>
      </c>
      <c r="C3848" s="1" t="str">
        <f>"BURNHAM SQUARE            CONDOMINIUM               UNIT 251-703             "</f>
        <v xml:space="preserve">BURNHAM SQUARE            CONDOMINIUM               UNIT 251-703             </v>
      </c>
      <c r="D3848" s="1">
        <v>10533.42</v>
      </c>
    </row>
    <row r="3849" spans="1:4" x14ac:dyDescent="0.3">
      <c r="A3849" s="1" t="str">
        <f>"01027909500"</f>
        <v>01027909500</v>
      </c>
      <c r="B3849" s="1" t="str">
        <f>"ECKERT JOHANNES G"</f>
        <v>ECKERT JOHANNES G</v>
      </c>
      <c r="C3849" s="1" t="str">
        <f>"BURNHAM SQUARE CONDOMINIUM UNIT PS-15 (PARKING UNT)"</f>
        <v>BURNHAM SQUARE CONDOMINIUM UNIT PS-15 (PARKING UNT)</v>
      </c>
      <c r="D3849" s="1">
        <v>557.49</v>
      </c>
    </row>
    <row r="3850" spans="1:4" x14ac:dyDescent="0.3">
      <c r="A3850" s="1" t="str">
        <f>"01027910500"</f>
        <v>01027910500</v>
      </c>
      <c r="B3850" s="1" t="str">
        <f>"ECKERT JOHANNES G"</f>
        <v>ECKERT JOHANNES G</v>
      </c>
      <c r="C3850" s="1" t="str">
        <f>"BURNHAM SQUARE CONDOMINIUM UNIT PS-25 (PARKING UNT)"</f>
        <v>BURNHAM SQUARE CONDOMINIUM UNIT PS-25 (PARKING UNT)</v>
      </c>
      <c r="D3850" s="1">
        <v>557.49</v>
      </c>
    </row>
    <row r="3851" spans="1:4" x14ac:dyDescent="0.3">
      <c r="A3851" s="1" t="str">
        <f>"60030031600"</f>
        <v>60030031600</v>
      </c>
      <c r="B3851" s="1" t="str">
        <f>"ECKSTEIN MICHAEL, ECKSTEIN JANE"</f>
        <v>ECKSTEIN MICHAEL, ECKSTEIN JANE</v>
      </c>
      <c r="C3851" s="1" t="str">
        <f>"HIGHPOINTE AT LITTLE TURTLE CONDOMINIUM BLDG 2 UNIT 2205 "</f>
        <v xml:space="preserve">HIGHPOINTE AT LITTLE TURTLE CONDOMINIUM BLDG 2 UNIT 2205 </v>
      </c>
      <c r="D3851" s="1">
        <v>3511.54</v>
      </c>
    </row>
    <row r="3852" spans="1:4" x14ac:dyDescent="0.3">
      <c r="A3852" s="1" t="str">
        <f>"01006360800"</f>
        <v>01006360800</v>
      </c>
      <c r="B3852" s="1" t="str">
        <f>"ECONOMIC ENTERPRISES LLC"</f>
        <v>ECONOMIC ENTERPRISES LLC</v>
      </c>
      <c r="C3852" s="1" t="str">
        <f>"1409 MYRTLE AVE WALDON LOT 170"</f>
        <v>1409 MYRTLE AVE WALDON LOT 170</v>
      </c>
      <c r="D3852" s="1">
        <v>1918.5</v>
      </c>
    </row>
    <row r="3853" spans="1:4" x14ac:dyDescent="0.3">
      <c r="A3853" s="1" t="str">
        <f>"01005511800"</f>
        <v>01005511800</v>
      </c>
      <c r="B3853" s="1" t="str">
        <f>"ECONOMIC PROPERTIES LLC"</f>
        <v>ECONOMIC PROPERTIES LLC</v>
      </c>
      <c r="C3853" s="1" t="str">
        <f>"12TH AVE CASSADY- PEAKE MEADOWS LOT 27"</f>
        <v>12TH AVE CASSADY- PEAKE MEADOWS LOT 27</v>
      </c>
      <c r="D3853" s="1">
        <v>3588.73</v>
      </c>
    </row>
    <row r="3854" spans="1:4" x14ac:dyDescent="0.3">
      <c r="A3854" s="1" t="str">
        <f>"24100104400"</f>
        <v>24100104400</v>
      </c>
      <c r="B3854" s="1" t="str">
        <f>"EDELSTEIN DANIEL, ROBINSON KELSEY"</f>
        <v>EDELSTEIN DANIEL, ROBINSON KELSEY</v>
      </c>
      <c r="C3854" s="1" t="str">
        <f>"INFANTRY DR WESTPOINT 2 SEC 1 LOT 243"</f>
        <v>INFANTRY DR WESTPOINT 2 SEC 1 LOT 243</v>
      </c>
      <c r="D3854" s="1">
        <v>3867.12</v>
      </c>
    </row>
    <row r="3855" spans="1:4" x14ac:dyDescent="0.3">
      <c r="A3855" s="1" t="str">
        <f>"09000408500"</f>
        <v>09000408500</v>
      </c>
      <c r="B3855" s="1" t="str">
        <f>"EDELSTEIN JEFFREY A"</f>
        <v>EDELSTEIN JEFFREY A</v>
      </c>
      <c r="C3855" s="1" t="str">
        <f>"682 ERICKSON AVE GLENCOE LOT 289"</f>
        <v>682 ERICKSON AVE GLENCOE LOT 289</v>
      </c>
      <c r="D3855" s="1">
        <v>79.97</v>
      </c>
    </row>
    <row r="3856" spans="1:4" x14ac:dyDescent="0.3">
      <c r="A3856" s="1" t="str">
        <f>"01010393100"</f>
        <v>01010393100</v>
      </c>
      <c r="B3856" s="1" t="str">
        <f>"EDEN GARDENS LLC"</f>
        <v>EDEN GARDENS LLC</v>
      </c>
      <c r="C3856" s="1" t="str">
        <f>"CARDINAL PARK DRIVE RANGE 16 TWP 1 QUARTER TWP 3              18.360 ACRES             "</f>
        <v xml:space="preserve">CARDINAL PARK DRIVE RANGE 16 TWP 1 QUARTER TWP 3              18.360 ACRES             </v>
      </c>
      <c r="D3856" s="1">
        <v>557.15</v>
      </c>
    </row>
    <row r="3857" spans="1:4" x14ac:dyDescent="0.3">
      <c r="A3857" s="1" t="str">
        <f>"01007781900"</f>
        <v>01007781900</v>
      </c>
      <c r="B3857" s="1" t="str">
        <f>"EDEN GARDENS LLC"</f>
        <v>EDEN GARDENS LLC</v>
      </c>
      <c r="C3857" s="1" t="str">
        <f>"852 CLEVELAND AVENUE J F LINTONS HIGHLAND ADD 21'SOUTH END LOT 24 (21' x 130')"</f>
        <v>852 CLEVELAND AVENUE J F LINTONS HIGHLAND ADD 21'SOUTH END LOT 24 (21' x 130')</v>
      </c>
      <c r="D3857" s="1">
        <v>386.84</v>
      </c>
    </row>
    <row r="3858" spans="1:4" x14ac:dyDescent="0.3">
      <c r="A3858" s="1" t="str">
        <f>"01013007600"</f>
        <v>01013007600</v>
      </c>
      <c r="B3858" s="1" t="str">
        <f>"EDEN GARDENS LLC"</f>
        <v>EDEN GARDENS LLC</v>
      </c>
      <c r="C3858" s="1" t="str">
        <f>"AMVET HOMESTEAD SUB NO 1 PART RESERVE A BLOCK A "</f>
        <v xml:space="preserve">AMVET HOMESTEAD SUB NO 1 PART RESERVE A BLOCK A </v>
      </c>
      <c r="D3858" s="1">
        <v>64.72</v>
      </c>
    </row>
    <row r="3859" spans="1:4" x14ac:dyDescent="0.3">
      <c r="A3859" s="1" t="str">
        <f>"01004720500"</f>
        <v>01004720500</v>
      </c>
      <c r="B3859" s="1" t="str">
        <f>"EDEN GARDENS LLC"</f>
        <v>EDEN GARDENS LLC</v>
      </c>
      <c r="C3859" s="1" t="str">
        <f>"999 WHITTER ST DANEHYS AMD SUB 3"</f>
        <v>999 WHITTER ST DANEHYS AMD SUB 3</v>
      </c>
      <c r="D3859" s="1">
        <v>2728.56</v>
      </c>
    </row>
    <row r="3860" spans="1:4" x14ac:dyDescent="0.3">
      <c r="A3860" s="1" t="str">
        <f>"57028312400"</f>
        <v>57028312400</v>
      </c>
      <c r="B3860" s="1" t="str">
        <f>"EDEN GARDENS LLC"</f>
        <v>EDEN GARDENS LLC</v>
      </c>
      <c r="C3860" s="1" t="str">
        <f>"40-54 N GALLOWAY ROAD       VIRGINIA MILITARY SURVEY 1474                1.263 ACRES              "</f>
        <v xml:space="preserve">40-54 N GALLOWAY ROAD       VIRGINIA MILITARY SURVEY 1474                1.263 ACRES              </v>
      </c>
      <c r="D3860" s="1">
        <v>2539.9299999999998</v>
      </c>
    </row>
    <row r="3861" spans="1:4" x14ac:dyDescent="0.3">
      <c r="A3861" s="1" t="str">
        <f>"01002171400"</f>
        <v>01002171400</v>
      </c>
      <c r="B3861" s="1" t="str">
        <f>"EDENS GARDENS LLC"</f>
        <v>EDENS GARDENS LLC</v>
      </c>
      <c r="C3861" s="1" t="str">
        <f>"767 E REYNOLDS AVENUE          ENGLEWOOD  ADD            LOT 73  (30.76' x 104')"</f>
        <v>767 E REYNOLDS AVENUE          ENGLEWOOD  ADD            LOT 73  (30.76' x 104')</v>
      </c>
      <c r="D3861" s="1">
        <v>112.51</v>
      </c>
    </row>
    <row r="3862" spans="1:4" x14ac:dyDescent="0.3">
      <c r="A3862" s="1" t="str">
        <f>"02000081000"</f>
        <v>02000081000</v>
      </c>
      <c r="B3862" s="1" t="str">
        <f>"EDGAR HEATHER, KRISTJANSSON LOFTUR"</f>
        <v>EDGAR HEATHER, KRISTJANSSON LOFTUR</v>
      </c>
      <c r="C3862" s="1" t="str">
        <f>"41 N ROOSEVELT AVE BULLITT PARK EAST LOT 56"</f>
        <v>41 N ROOSEVELT AVE BULLITT PARK EAST LOT 56</v>
      </c>
      <c r="D3862" s="1">
        <v>5440.53</v>
      </c>
    </row>
    <row r="3863" spans="1:4" x14ac:dyDescent="0.3">
      <c r="A3863" s="1" t="str">
        <f>"01032963600"</f>
        <v>01032963600</v>
      </c>
      <c r="B3863" s="1" t="str">
        <f>"EDGEMONT PROPERTIES LLC"</f>
        <v>EDGEMONT PROPERTIES LLC</v>
      </c>
      <c r="C3863" s="1" t="str">
        <f>"GRANVILLE RD R16 T1 1/4T4 1.077 ACRES"</f>
        <v>GRANVILLE RD R16 T1 1/4T4 1.077 ACRES</v>
      </c>
      <c r="D3863" s="1">
        <v>2901.22</v>
      </c>
    </row>
    <row r="3864" spans="1:4" x14ac:dyDescent="0.3">
      <c r="A3864" s="1" t="str">
        <f>"07000652300"</f>
        <v>07000652300</v>
      </c>
      <c r="B3864" s="1" t="str">
        <f>"EDGEVALE ROAD LLC"</f>
        <v>EDGEVALE ROAD LLC</v>
      </c>
      <c r="C3864" s="1" t="str">
        <f>"EDGEVALE RD RIVER RIDGE 25 BLK 20"</f>
        <v>EDGEVALE RD RIVER RIDGE 25 BLK 20</v>
      </c>
      <c r="D3864" s="1">
        <v>163.47</v>
      </c>
    </row>
    <row r="3865" spans="1:4" x14ac:dyDescent="0.3">
      <c r="A3865" s="1" t="str">
        <f>"01016167900"</f>
        <v>01016167900</v>
      </c>
      <c r="B3865" s="1" t="str">
        <f>"EDMOND LORI J, SHIRK STEVEN J"</f>
        <v>EDMOND LORI J, SHIRK STEVEN J</v>
      </c>
      <c r="C3865" s="1" t="str">
        <f>"WINDING HILLS COURT WINDING HILLS CONDOMINIUM 2486"</f>
        <v>WINDING HILLS COURT WINDING HILLS CONDOMINIUM 2486</v>
      </c>
      <c r="D3865" s="1">
        <v>724.79</v>
      </c>
    </row>
    <row r="3866" spans="1:4" x14ac:dyDescent="0.3">
      <c r="A3866" s="1" t="str">
        <f>"01005267200"</f>
        <v>01005267200</v>
      </c>
      <c r="B3866" s="1" t="str">
        <f>"EDMONDSON JAMES A TR"</f>
        <v>EDMONDSON JAMES A TR</v>
      </c>
      <c r="C3866" s="1" t="str">
        <f>"982 E 11TH AVE MILLERS CLEVELAND TERRACE LOT 35-36"</f>
        <v>982 E 11TH AVE MILLERS CLEVELAND TERRACE LOT 35-36</v>
      </c>
      <c r="D3866" s="1">
        <v>1555.04</v>
      </c>
    </row>
    <row r="3867" spans="1:4" x14ac:dyDescent="0.3">
      <c r="A3867" s="1" t="str">
        <f>"57012574000"</f>
        <v>57012574000</v>
      </c>
      <c r="B3867" s="1" t="str">
        <f>"EDWARDS ALBERTA"</f>
        <v>EDWARDS ALBERTA</v>
      </c>
      <c r="C3867" s="1" t="str">
        <f>" HARDESTY HTS CONDO N LOT N-4"</f>
        <v xml:space="preserve"> HARDESTY HTS CONDO N LOT N-4</v>
      </c>
      <c r="D3867" s="1">
        <v>1941.18</v>
      </c>
    </row>
    <row r="3868" spans="1:4" x14ac:dyDescent="0.3">
      <c r="A3868" s="1" t="str">
        <f>"02501078400"</f>
        <v>02501078400</v>
      </c>
      <c r="B3868" s="1" t="str">
        <f>"EDWARDS HANIEF"</f>
        <v>EDWARDS HANIEF</v>
      </c>
      <c r="C3868" s="1" t="str">
        <f>"HEIL DRIVE GAHANNA HTS 4 SW COR LOT 120"</f>
        <v>HEIL DRIVE GAHANNA HTS 4 SW COR LOT 120</v>
      </c>
      <c r="D3868" s="1">
        <v>5.4</v>
      </c>
    </row>
    <row r="3869" spans="1:4" x14ac:dyDescent="0.3">
      <c r="A3869" s="1" t="str">
        <f>"12000009500"</f>
        <v>12000009500</v>
      </c>
      <c r="B3869" s="1" t="str">
        <f>"EDWARDS JOHN E"</f>
        <v>EDWARDS JOHN E</v>
      </c>
      <c r="C3869" s="1" t="str">
        <f>"7167 FEDER ROAD ENTRY 6746-7071 49.9767 ACRES"</f>
        <v>7167 FEDER ROAD ENTRY 6746-7071 49.9767 ACRES</v>
      </c>
      <c r="D3869" s="1">
        <v>3015.89</v>
      </c>
    </row>
    <row r="3870" spans="1:4" x14ac:dyDescent="0.3">
      <c r="A3870" s="1" t="str">
        <f>"01003547400"</f>
        <v>01003547400</v>
      </c>
      <c r="B3870" s="1" t="str">
        <f>"EDWARDS JONIKKA, BELL STEPHEN MICHAEL, EDWARDS JAMIE"</f>
        <v>EDWARDS JONIKKA, BELL STEPHEN MICHAEL, EDWARDS JAMIE</v>
      </c>
      <c r="C3870" s="1" t="str">
        <f>"OAKLEY AVE ARLINGTON LOT 34-35"</f>
        <v>OAKLEY AVE ARLINGTON LOT 34-35</v>
      </c>
      <c r="D3870" s="1">
        <v>1020.28</v>
      </c>
    </row>
    <row r="3871" spans="1:4" x14ac:dyDescent="0.3">
      <c r="A3871" s="1" t="str">
        <f>"01004688400"</f>
        <v>01004688400</v>
      </c>
      <c r="B3871" s="1" t="str">
        <f>"EDWARDS JOSHUA, EDWARDS SHANA L"</f>
        <v>EDWARDS JOSHUA, EDWARDS SHANA L</v>
      </c>
      <c r="C3871" s="1" t="str">
        <f>"LEXINGTON AVE DREXEL PARK - LOT 230 (34' X 117') VACANT LOT"</f>
        <v>LEXINGTON AVE DREXEL PARK - LOT 230 (34' X 117') VACANT LOT</v>
      </c>
      <c r="D3871" s="1">
        <v>10.53</v>
      </c>
    </row>
    <row r="3872" spans="1:4" x14ac:dyDescent="0.3">
      <c r="A3872" s="1" t="str">
        <f>"07000056000"</f>
        <v>07000056000</v>
      </c>
      <c r="B3872" s="1" t="str">
        <f>"EDWARDS JUDITH SUZANNE"</f>
        <v>EDWARDS JUDITH SUZANNE</v>
      </c>
      <c r="C3872" s="1" t="str">
        <f>"1945 CAMBRIDGE BLVD UPPER ARLINGTON LOT 4 BLK 29"</f>
        <v>1945 CAMBRIDGE BLVD UPPER ARLINGTON LOT 4 BLK 29</v>
      </c>
      <c r="D3872" s="1">
        <v>1641.83</v>
      </c>
    </row>
    <row r="3873" spans="1:4" x14ac:dyDescent="0.3">
      <c r="A3873" s="1" t="str">
        <f>"01007985800"</f>
        <v>01007985800</v>
      </c>
      <c r="B3873" s="1" t="str">
        <f>"EDWARDS KEVIN L"</f>
        <v>EDWARDS KEVIN L</v>
      </c>
      <c r="C3873" s="1" t="str">
        <f>"1631 MILFORD AV E KNMORE PK LOT 2 BLK 5"</f>
        <v>1631 MILFORD AV E KNMORE PK LOT 2 BLK 5</v>
      </c>
      <c r="D3873" s="1">
        <v>284.95</v>
      </c>
    </row>
    <row r="3874" spans="1:4" x14ac:dyDescent="0.3">
      <c r="A3874" s="1" t="str">
        <f>"01007718700"</f>
        <v>01007718700</v>
      </c>
      <c r="B3874" s="1" t="str">
        <f>"EDWARDS M HANIEF, EDWARDS GLENDA J"</f>
        <v>EDWARDS M HANIEF, EDWARDS GLENDA J</v>
      </c>
      <c r="C3874" s="1" t="str">
        <f>"PACEMONT RD W OLENTANGY PLAINS LOT 33"</f>
        <v>PACEMONT RD W OLENTANGY PLAINS LOT 33</v>
      </c>
      <c r="D3874" s="1">
        <v>234.35</v>
      </c>
    </row>
    <row r="3875" spans="1:4" x14ac:dyDescent="0.3">
      <c r="A3875" s="1" t="str">
        <f>"02500322100"</f>
        <v>02500322100</v>
      </c>
      <c r="B3875" s="1" t="str">
        <f>"EDWARDS M HANIEF, EDWARDS GLENDA JOYCE"</f>
        <v>EDWARDS M HANIEF, EDWARDS GLENDA JOYCE</v>
      </c>
      <c r="C3875" s="1" t="str">
        <f>"373 HEIL DRIVE GAHANNA HTS 4 119 "</f>
        <v xml:space="preserve">373 HEIL DRIVE GAHANNA HTS 4 119 </v>
      </c>
      <c r="D3875" s="1">
        <v>477.5</v>
      </c>
    </row>
    <row r="3876" spans="1:4" x14ac:dyDescent="0.3">
      <c r="A3876" s="1" t="str">
        <f>"02501347700"</f>
        <v>02501347700</v>
      </c>
      <c r="B3876" s="1" t="str">
        <f>"EDWARDS MARTIN W"</f>
        <v>EDWARDS MARTIN W</v>
      </c>
      <c r="C3876" s="1" t="str">
        <f>"THE WOODS AT SHAGBARK CONDOMINIUM 19TH AMD BLDG 22 UNIT 22-1225"</f>
        <v>THE WOODS AT SHAGBARK CONDOMINIUM 19TH AMD BLDG 22 UNIT 22-1225</v>
      </c>
      <c r="D3876" s="1">
        <v>338.69</v>
      </c>
    </row>
    <row r="3877" spans="1:4" x14ac:dyDescent="0.3">
      <c r="A3877" s="1" t="str">
        <f>"08000537600"</f>
        <v>08000537600</v>
      </c>
      <c r="B3877" s="1" t="str">
        <f>"EDWARDS NANCEE D"</f>
        <v>EDWARDS NANCEE D</v>
      </c>
      <c r="C3877" s="1" t="str">
        <f>"HERITAGE CONDOMINIUM BLDG 7 UNIT 6-J"</f>
        <v>HERITAGE CONDOMINIUM BLDG 7 UNIT 6-J</v>
      </c>
      <c r="D3877" s="1">
        <v>1836.12</v>
      </c>
    </row>
    <row r="3878" spans="1:4" x14ac:dyDescent="0.3">
      <c r="A3878" s="1" t="str">
        <f>"61020545400"</f>
        <v>61020545400</v>
      </c>
      <c r="B3878" s="1" t="str">
        <f>"EDWARDS NANCEE D"</f>
        <v>EDWARDS NANCEE D</v>
      </c>
      <c r="C3878" s="1" t="str">
        <f>"WORTHINGTON HEIGHTS CONDO 2ND AMD UNIT 110"</f>
        <v>WORTHINGTON HEIGHTS CONDO 2ND AMD UNIT 110</v>
      </c>
      <c r="D3878" s="1">
        <v>1722.35</v>
      </c>
    </row>
    <row r="3879" spans="1:4" x14ac:dyDescent="0.3">
      <c r="A3879" s="1" t="str">
        <f>"23000312000"</f>
        <v>23000312000</v>
      </c>
      <c r="B3879" s="1" t="str">
        <f>"EDWARDS PATRICK"</f>
        <v>EDWARDS PATRICK</v>
      </c>
      <c r="C3879" s="1" t="str">
        <f>"GROSBEAK GLEN TIMBERLAKE NO 5 100.33'WS LOT 172"</f>
        <v>GROSBEAK GLEN TIMBERLAKE NO 5 100.33'WS LOT 172</v>
      </c>
      <c r="D3879" s="1">
        <v>340.6</v>
      </c>
    </row>
    <row r="3880" spans="1:4" x14ac:dyDescent="0.3">
      <c r="A3880" s="1" t="str">
        <f>"01006347600"</f>
        <v>01006347600</v>
      </c>
      <c r="B3880" s="1" t="str">
        <f>"EDWARDS-SIMPSON MARY"</f>
        <v>EDWARDS-SIMPSON MARY</v>
      </c>
      <c r="C3880" s="1" t="str">
        <f>"BRIARWOOD AVE KINER HEIRS LOT 36"</f>
        <v>BRIARWOOD AVE KINER HEIRS LOT 36</v>
      </c>
      <c r="D3880" s="1">
        <v>1029.78</v>
      </c>
    </row>
    <row r="3881" spans="1:4" x14ac:dyDescent="0.3">
      <c r="A3881" s="1" t="str">
        <f>"01003481600"</f>
        <v>01003481600</v>
      </c>
      <c r="B3881" s="1" t="str">
        <f>"EE ACE PROPERTIES LLC"</f>
        <v>EE ACE PROPERTIES LLC</v>
      </c>
      <c r="C3881" s="1" t="str">
        <f>"HOLTON AVE HAMILTON PLACE LOT 231"</f>
        <v>HOLTON AVE HAMILTON PLACE LOT 231</v>
      </c>
      <c r="D3881" s="1">
        <v>2902.72</v>
      </c>
    </row>
    <row r="3882" spans="1:4" x14ac:dyDescent="0.3">
      <c r="A3882" s="1" t="str">
        <f>"01002127800"</f>
        <v>01002127800</v>
      </c>
      <c r="B3882" s="1" t="str">
        <f>"EE ACE PROPERTIES LLC"</f>
        <v>EE ACE PROPERTIES LLC</v>
      </c>
      <c r="C3882" s="1" t="str">
        <f>"436 HOLTON AVE HAMILTON PLC LOT 225"</f>
        <v>436 HOLTON AVE HAMILTON PLC LOT 225</v>
      </c>
      <c r="D3882" s="1">
        <v>2319.1999999999998</v>
      </c>
    </row>
    <row r="3883" spans="1:4" x14ac:dyDescent="0.3">
      <c r="A3883" s="1" t="str">
        <f>"01004437300"</f>
        <v>01004437300</v>
      </c>
      <c r="B3883" s="1" t="str">
        <f>"EE ACE PROPERTIES LLC"</f>
        <v>EE ACE PROPERTIES LLC</v>
      </c>
      <c r="C3883" s="1" t="str">
        <f>"HOLTON AVE HAMILTON PLACE LOT 229"</f>
        <v>HOLTON AVE HAMILTON PLACE LOT 229</v>
      </c>
      <c r="D3883" s="1">
        <v>178.38</v>
      </c>
    </row>
    <row r="3884" spans="1:4" x14ac:dyDescent="0.3">
      <c r="A3884" s="1" t="str">
        <f>"01004947400"</f>
        <v>01004947400</v>
      </c>
      <c r="B3884" s="1" t="str">
        <f>"EE ACE PROPERTIES LLC"</f>
        <v>EE ACE PROPERTIES LLC</v>
      </c>
      <c r="C3884" s="1" t="str">
        <f>"HOLTON AVE HAMILTON PLC LOT 224"</f>
        <v>HOLTON AVE HAMILTON PLC LOT 224</v>
      </c>
      <c r="D3884" s="1">
        <v>312.2</v>
      </c>
    </row>
    <row r="3885" spans="1:4" x14ac:dyDescent="0.3">
      <c r="A3885" s="1" t="str">
        <f>"01000184900"</f>
        <v>01000184900</v>
      </c>
      <c r="B3885" s="1" t="str">
        <f>"EE ACE PROPERTIES LLC"</f>
        <v>EE ACE PROPERTIES LLC</v>
      </c>
      <c r="C3885" s="1" t="str">
        <f>"443 HOLTON AVE HAMILTON PLACE LOT 232"</f>
        <v>443 HOLTON AVE HAMILTON PLACE LOT 232</v>
      </c>
      <c r="D3885" s="1">
        <v>312.2</v>
      </c>
    </row>
    <row r="3886" spans="1:4" x14ac:dyDescent="0.3">
      <c r="A3886" s="1" t="str">
        <f>"01000536800"</f>
        <v>01000536800</v>
      </c>
      <c r="B3886" s="1" t="str">
        <f>"EE ACE PROPERTIES LLC"</f>
        <v>EE ACE PROPERTIES LLC</v>
      </c>
      <c r="C3886" s="1" t="str">
        <f>"HOLTON AVE HAMILTON PLACE LOT 230"</f>
        <v>HOLTON AVE HAMILTON PLACE LOT 230</v>
      </c>
      <c r="D3886" s="1">
        <v>306.89</v>
      </c>
    </row>
    <row r="3887" spans="1:4" x14ac:dyDescent="0.3">
      <c r="A3887" s="1" t="str">
        <f>"01000536900"</f>
        <v>01000536900</v>
      </c>
      <c r="B3887" s="1" t="str">
        <f>"EE ACE PROPERTIES LLC"</f>
        <v>EE ACE PROPERTIES LLC</v>
      </c>
      <c r="C3887" s="1" t="str">
        <f>"HOLTON AVE HAMILTON PLACE LOT 233"</f>
        <v>HOLTON AVE HAMILTON PLACE LOT 233</v>
      </c>
      <c r="D3887" s="1">
        <v>312.2</v>
      </c>
    </row>
    <row r="3888" spans="1:4" x14ac:dyDescent="0.3">
      <c r="A3888" s="1" t="str">
        <f>"01019529400"</f>
        <v>01019529400</v>
      </c>
      <c r="B3888" s="1" t="str">
        <f>"EFETEVBIA OMOEFE TTEE"</f>
        <v>EFETEVBIA OMOEFE TTEE</v>
      </c>
      <c r="C3888" s="1" t="str">
        <f>"SPRUCEFIELD CT TOWN HOMES CONDOMINIUM UNIT 2103"</f>
        <v>SPRUCEFIELD CT TOWN HOMES CONDOMINIUM UNIT 2103</v>
      </c>
      <c r="D3888" s="1">
        <v>1351.77</v>
      </c>
    </row>
    <row r="3889" spans="1:4" x14ac:dyDescent="0.3">
      <c r="A3889" s="1" t="str">
        <f>"04000926300"</f>
        <v>04000926300</v>
      </c>
      <c r="B3889" s="1" t="str">
        <f>"EFS HOLDINGS LLC"</f>
        <v>EFS HOLDINGS LLC</v>
      </c>
      <c r="C3889" s="1" t="str">
        <f>"STRINGTOWN PIKE ENTRY 469 1.179 ACRES"</f>
        <v>STRINGTOWN PIKE ENTRY 469 1.179 ACRES</v>
      </c>
      <c r="D3889" s="1">
        <v>13814.93</v>
      </c>
    </row>
    <row r="3890" spans="1:4" x14ac:dyDescent="0.3">
      <c r="A3890" s="1" t="str">
        <f>"01013792400"</f>
        <v>01013792400</v>
      </c>
      <c r="B3890" s="1" t="str">
        <f>"EHLE MARYANN J"</f>
        <v>EHLE MARYANN J</v>
      </c>
      <c r="C3890" s="1" t="str">
        <f>"CYPRESSWOOD RD FOREST PK 5 LOT 792"</f>
        <v>CYPRESSWOOD RD FOREST PK 5 LOT 792</v>
      </c>
      <c r="D3890" s="1">
        <v>1979.25</v>
      </c>
    </row>
    <row r="3891" spans="1:4" x14ac:dyDescent="0.3">
      <c r="A3891" s="1" t="str">
        <f>"01000118000"</f>
        <v>01000118000</v>
      </c>
      <c r="B3891" s="1" t="str">
        <f>"EHRBAR DAVID R, EHRBAR SHARON L"</f>
        <v>EHRBAR DAVID R, EHRBAR SHARON L</v>
      </c>
      <c r="C3891" s="1" t="str">
        <f>"2370 SCIOTO HARPER HARPER RD INDUST PK LOT 7 &amp; 155'WS LOT 8"</f>
        <v>2370 SCIOTO HARPER HARPER RD INDUST PK LOT 7 &amp; 155'WS LOT 8</v>
      </c>
      <c r="D3891" s="1">
        <v>474.22</v>
      </c>
    </row>
    <row r="3892" spans="1:4" x14ac:dyDescent="0.3">
      <c r="A3892" s="1" t="str">
        <f>"01022562900"</f>
        <v>01022562900</v>
      </c>
      <c r="B3892" s="1" t="str">
        <f>"EHRBAR DAVID, EHRBAR SHARON"</f>
        <v>EHRBAR DAVID, EHRBAR SHARON</v>
      </c>
      <c r="C3892" s="1" t="str">
        <f>"COURTNEY PLACE COURTNEY PLACE LOT 11"</f>
        <v>COURTNEY PLACE COURTNEY PLACE LOT 11</v>
      </c>
      <c r="D3892" s="1">
        <v>334.83</v>
      </c>
    </row>
    <row r="3893" spans="1:4" x14ac:dyDescent="0.3">
      <c r="A3893" s="1" t="str">
        <f>"09000810700"</f>
        <v>09000810700</v>
      </c>
      <c r="B3893" s="1" t="str">
        <f>"EHRENBERG SIGRID"</f>
        <v>EHRENBERG SIGRID</v>
      </c>
      <c r="C3893" s="1" t="str">
        <f>"4752 S SHELL CT FOXFIRE VILLAGE COND BLDG G UNIT 4752"</f>
        <v>4752 S SHELL CT FOXFIRE VILLAGE COND BLDG G UNIT 4752</v>
      </c>
      <c r="D3893" s="1">
        <v>917.42</v>
      </c>
    </row>
    <row r="3894" spans="1:4" x14ac:dyDescent="0.3">
      <c r="A3894" s="1" t="str">
        <f>"01008976600"</f>
        <v>01008976600</v>
      </c>
      <c r="B3894" s="1" t="str">
        <f>"EHRENKRANZ SHIFRA"</f>
        <v>EHRENKRANZ SHIFRA</v>
      </c>
      <c r="C3894" s="1" t="str">
        <f>"GOULD RD BROADLEIGH LOT 30"</f>
        <v>GOULD RD BROADLEIGH LOT 30</v>
      </c>
      <c r="D3894" s="1">
        <v>3535.76</v>
      </c>
    </row>
    <row r="3895" spans="1:4" x14ac:dyDescent="0.3">
      <c r="A3895" s="1" t="str">
        <f>"01001380300"</f>
        <v>01001380300</v>
      </c>
      <c r="B3895" s="1" t="str">
        <f>"EHRET DONALD M"</f>
        <v>EHRET DONALD M</v>
      </c>
      <c r="C3895" s="1" t="str">
        <f>"1349 LINWOOD AVE EDGEWOOD LOT 62"</f>
        <v>1349 LINWOOD AVE EDGEWOOD LOT 62</v>
      </c>
      <c r="D3895" s="1">
        <v>2035.67</v>
      </c>
    </row>
    <row r="3896" spans="1:4" x14ac:dyDescent="0.3">
      <c r="A3896" s="1" t="str">
        <f>"01018846300"</f>
        <v>01018846300</v>
      </c>
      <c r="B3896" s="1" t="str">
        <f>"EICHHORN ANNE C TR"</f>
        <v>EICHHORN ANNE C TR</v>
      </c>
      <c r="C3896" s="1" t="str">
        <f>"MERRIMAR CIR S HEARTHSTONE CONDO UNIT 1095-F BLDG 16"</f>
        <v>MERRIMAR CIR S HEARTHSTONE CONDO UNIT 1095-F BLDG 16</v>
      </c>
      <c r="D3896" s="1">
        <v>71.08</v>
      </c>
    </row>
    <row r="3897" spans="1:4" x14ac:dyDescent="0.3">
      <c r="A3897" s="1" t="str">
        <f>"01005825100"</f>
        <v>01005825100</v>
      </c>
      <c r="B3897" s="1" t="str">
        <f>"EIGEL TERESA C"</f>
        <v>EIGEL TERESA C</v>
      </c>
      <c r="C3897" s="1" t="str">
        <f>"262 PEIDMONT RD OAKLAND PARK LOT 350"</f>
        <v>262 PEIDMONT RD OAKLAND PARK LOT 350</v>
      </c>
      <c r="D3897" s="1">
        <v>7412.6</v>
      </c>
    </row>
    <row r="3898" spans="1:4" x14ac:dyDescent="0.3">
      <c r="A3898" s="1" t="str">
        <f>"01022414000"</f>
        <v>01022414000</v>
      </c>
      <c r="B3898" s="1" t="str">
        <f>"EILAND DUANE M, EILAND LILLIE P"</f>
        <v>EILAND DUANE M, EILAND LILLIE P</v>
      </c>
      <c r="C3898" s="1" t="str">
        <f>"CAPITOL VIEW ESTATES LOT 14"</f>
        <v>CAPITOL VIEW ESTATES LOT 14</v>
      </c>
      <c r="D3898" s="1">
        <v>171.34</v>
      </c>
    </row>
    <row r="3899" spans="1:4" x14ac:dyDescent="0.3">
      <c r="A3899" s="1" t="str">
        <f>"04000645400"</f>
        <v>04000645400</v>
      </c>
      <c r="B3899" s="1" t="str">
        <f>"EING GENEVA E"</f>
        <v>EING GENEVA E</v>
      </c>
      <c r="C3899" s="1" t="str">
        <f>"2285 SHIRLENE DRIVE KELLER FARMS SEC 4 LOT 84"</f>
        <v>2285 SHIRLENE DRIVE KELLER FARMS SEC 4 LOT 84</v>
      </c>
      <c r="D3899" s="1">
        <v>559.65</v>
      </c>
    </row>
    <row r="3900" spans="1:4" x14ac:dyDescent="0.3">
      <c r="A3900" s="1" t="str">
        <f>"21615124600"</f>
        <v>21615124600</v>
      </c>
      <c r="B3900" s="1" t="str">
        <f>"EITEL ROBERT D"</f>
        <v>EITEL ROBERT D</v>
      </c>
      <c r="C3900" s="1" t="str">
        <f>"LINWORTH RD BRIARBANK LOT 35 "</f>
        <v xml:space="preserve">LINWORTH RD BRIARBANK LOT 35 </v>
      </c>
      <c r="D3900" s="1">
        <v>8110.55</v>
      </c>
    </row>
    <row r="3901" spans="1:4" x14ac:dyDescent="0.3">
      <c r="A3901" s="1" t="str">
        <f>"01009927600"</f>
        <v>01009927600</v>
      </c>
      <c r="B3901" s="1" t="str">
        <f>"EKEANYANWU ADANNA J"</f>
        <v>EKEANYANWU ADANNA J</v>
      </c>
      <c r="C3901" s="1" t="str">
        <f>"EISENHOWER RD LARCOMBS LOT 6"</f>
        <v>EISENHOWER RD LARCOMBS LOT 6</v>
      </c>
      <c r="D3901" s="1">
        <v>2200</v>
      </c>
    </row>
    <row r="3902" spans="1:4" x14ac:dyDescent="0.3">
      <c r="A3902" s="1" t="str">
        <f>"01015348500"</f>
        <v>01015348500</v>
      </c>
      <c r="B3902" s="1" t="str">
        <f>"EKEANYANWU FINIAN I"</f>
        <v>EKEANYANWU FINIAN I</v>
      </c>
      <c r="C3902" s="1" t="str">
        <f>"WILLOW CREST DR SHARON WOODS SEC 4 LOT 347"</f>
        <v>WILLOW CREST DR SHARON WOODS SEC 4 LOT 347</v>
      </c>
      <c r="D3902" s="1">
        <v>2199.2199999999998</v>
      </c>
    </row>
    <row r="3903" spans="1:4" x14ac:dyDescent="0.3">
      <c r="A3903" s="1" t="str">
        <f>"01026262500"</f>
        <v>01026262500</v>
      </c>
      <c r="B3903" s="1" t="str">
        <f>"EKEANYANWU UCHENNA G, EKEANYANWU CHIZARAM H"</f>
        <v>EKEANYANWU UCHENNA G, EKEANYANWU CHIZARAM H</v>
      </c>
      <c r="C3903" s="1" t="str">
        <f>"WAMBLI DRIVE EASTVIEW ESTATES SECTION 2 LOT 85"</f>
        <v>WAMBLI DRIVE EASTVIEW ESTATES SECTION 2 LOT 85</v>
      </c>
      <c r="D3903" s="1">
        <v>5648.9</v>
      </c>
    </row>
    <row r="3904" spans="1:4" x14ac:dyDescent="0.3">
      <c r="A3904" s="1" t="str">
        <f>"18000305200"</f>
        <v>18000305200</v>
      </c>
      <c r="B3904" s="1" t="str">
        <f>"EKELBERRY JOHN K"</f>
        <v>EKELBERRY JOHN K</v>
      </c>
      <c r="C3904" s="1" t="str">
        <f>"EBRIGHT RD JUSTEN 6  "</f>
        <v xml:space="preserve">EBRIGHT RD JUSTEN 6  </v>
      </c>
      <c r="D3904" s="1">
        <v>222.05</v>
      </c>
    </row>
    <row r="3905" spans="1:4" x14ac:dyDescent="0.3">
      <c r="A3905" s="1" t="str">
        <f>"56021635700"</f>
        <v>56021635700</v>
      </c>
      <c r="B3905" s="1" t="str">
        <f>"EKLEBERRY ANDREW L"</f>
        <v>EKLEBERRY ANDREW L</v>
      </c>
      <c r="C3905" s="1" t="str">
        <f>"HILLIARD HEIGHTS CONDOMINIUM 6TH AMD UNIT 26E"</f>
        <v>HILLIARD HEIGHTS CONDOMINIUM 6TH AMD UNIT 26E</v>
      </c>
      <c r="D3905" s="1">
        <v>330</v>
      </c>
    </row>
    <row r="3906" spans="1:4" x14ac:dyDescent="0.3">
      <c r="A3906" s="1" t="str">
        <f>"01014988600"</f>
        <v>01014988600</v>
      </c>
      <c r="B3906" s="1" t="str">
        <f>"EKS CAROLINA LLC"</f>
        <v>EKS CAROLINA LLC</v>
      </c>
      <c r="C3906" s="1" t="str">
        <f>"610 616 N RIDGE RD PT N RIDGE INDIANOLA ADD 2 LOT 143"</f>
        <v>610 616 N RIDGE RD PT N RIDGE INDIANOLA ADD 2 LOT 143</v>
      </c>
      <c r="D3906" s="1">
        <v>5721.45</v>
      </c>
    </row>
    <row r="3907" spans="1:4" x14ac:dyDescent="0.3">
      <c r="A3907" s="1" t="str">
        <f>"03000234200"</f>
        <v>03000234200</v>
      </c>
      <c r="B3907" s="1" t="str">
        <f>"EKS CAROLINA LLC"</f>
        <v>EKS CAROLINA LLC</v>
      </c>
      <c r="C3907" s="1" t="str">
        <f>"945-47 OXLEY RD LOTS 174-175 NORTHWEST BLVD 4"</f>
        <v>945-47 OXLEY RD LOTS 174-175 NORTHWEST BLVD 4</v>
      </c>
      <c r="D3907" s="1">
        <v>5492.88</v>
      </c>
    </row>
    <row r="3908" spans="1:4" x14ac:dyDescent="0.3">
      <c r="A3908" s="1" t="str">
        <f>"03000180600"</f>
        <v>03000180600</v>
      </c>
      <c r="B3908" s="1" t="str">
        <f>"EKS CAROLINA LLC"</f>
        <v>EKS CAROLINA LLC</v>
      </c>
      <c r="C3908" s="1" t="str">
        <f>"1247 NORTHWEST BLVD LOT 302 NORTHWEST BLVD 3"</f>
        <v>1247 NORTHWEST BLVD LOT 302 NORTHWEST BLVD 3</v>
      </c>
      <c r="D3908" s="1">
        <v>5429.82</v>
      </c>
    </row>
    <row r="3909" spans="1:4" x14ac:dyDescent="0.3">
      <c r="A3909" s="1" t="str">
        <f>"14000087100"</f>
        <v>14000087100</v>
      </c>
      <c r="B3909" s="1" t="str">
        <f>"EL COMMERCIAL LLC"</f>
        <v>EL COMMERCIAL LLC</v>
      </c>
      <c r="C3909" s="1" t="str">
        <f>"HARRISBURG PIKE CITY FARM LOTS 12-14"</f>
        <v>HARRISBURG PIKE CITY FARM LOTS 12-14</v>
      </c>
      <c r="D3909" s="1">
        <v>12335.26</v>
      </c>
    </row>
    <row r="3910" spans="1:4" x14ac:dyDescent="0.3">
      <c r="A3910" s="1" t="str">
        <f>"14000103400"</f>
        <v>14000103400</v>
      </c>
      <c r="B3910" s="1" t="str">
        <f>"EL COMMERCIAL LLC"</f>
        <v>EL COMMERCIAL LLC</v>
      </c>
      <c r="C3910" s="1" t="str">
        <f>"992 HARRISBURG PI CITY FARM LOTS 15 &amp; 16"</f>
        <v>992 HARRISBURG PI CITY FARM LOTS 15 &amp; 16</v>
      </c>
      <c r="D3910" s="1">
        <v>3959.48</v>
      </c>
    </row>
    <row r="3911" spans="1:4" x14ac:dyDescent="0.3">
      <c r="A3911" s="1" t="str">
        <f>"60018814600"</f>
        <v>60018814600</v>
      </c>
      <c r="B3911" s="1" t="str">
        <f>"EL GIRO LLC"</f>
        <v>EL GIRO LLC</v>
      </c>
      <c r="C3911" s="1" t="str">
        <f>"CLEVELAND AVE CLEVELAND HTS 3 322"</f>
        <v>CLEVELAND AVE CLEVELAND HTS 3 322</v>
      </c>
      <c r="D3911" s="1">
        <v>579.17999999999995</v>
      </c>
    </row>
    <row r="3912" spans="1:4" x14ac:dyDescent="0.3">
      <c r="A3912" s="1" t="str">
        <f>"60018814700"</f>
        <v>60018814700</v>
      </c>
      <c r="B3912" s="1" t="str">
        <f>"EL GIRO LLC"</f>
        <v>EL GIRO LLC</v>
      </c>
      <c r="C3912" s="1" t="str">
        <f>"CLEVELAND AVE CLEVELAND HTS 3 LOT 323 &amp; PT LOT 324"</f>
        <v>CLEVELAND AVE CLEVELAND HTS 3 LOT 323 &amp; PT LOT 324</v>
      </c>
      <c r="D3912" s="1">
        <v>6671.56</v>
      </c>
    </row>
    <row r="3913" spans="1:4" x14ac:dyDescent="0.3">
      <c r="A3913" s="1" t="str">
        <f>"01006105300"</f>
        <v>01006105300</v>
      </c>
      <c r="B3913" s="1" t="str">
        <f>"ELBOUZIDI TOURIA"</f>
        <v>ELBOUZIDI TOURIA</v>
      </c>
      <c r="C3913" s="1" t="str">
        <f>"2316 CLEVELAND AVE NEW LINDEN LOT 6"</f>
        <v>2316 CLEVELAND AVE NEW LINDEN LOT 6</v>
      </c>
      <c r="D3913" s="1">
        <v>1572.67</v>
      </c>
    </row>
    <row r="3914" spans="1:4" x14ac:dyDescent="0.3">
      <c r="A3914" s="1" t="str">
        <f>"01014121100"</f>
        <v>01014121100</v>
      </c>
      <c r="B3914" s="1" t="str">
        <f>"ELDRIDGE CYNTHIA F, ELDRIDGE STEPHEN T"</f>
        <v>ELDRIDGE CYNTHIA F, ELDRIDGE STEPHEN T</v>
      </c>
      <c r="C3914" s="1" t="str">
        <f>"ROOSEVELT AVE COLONIAL WILLIAMSBURG LOT 23"</f>
        <v>ROOSEVELT AVE COLONIAL WILLIAMSBURG LOT 23</v>
      </c>
      <c r="D3914" s="1">
        <v>4569.92</v>
      </c>
    </row>
    <row r="3915" spans="1:4" x14ac:dyDescent="0.3">
      <c r="A3915" s="1" t="str">
        <f>"56023063200"</f>
        <v>56023063200</v>
      </c>
      <c r="B3915" s="1" t="str">
        <f>"ELDRIDGE GERALD R JR"</f>
        <v>ELDRIDGE GERALD R JR</v>
      </c>
      <c r="C3915" s="1" t="str">
        <f>"HILLIARD VILLAGE CONDOMINIUM 19TH AMD UNIT 72D"</f>
        <v>HILLIARD VILLAGE CONDOMINIUM 19TH AMD UNIT 72D</v>
      </c>
      <c r="D3915" s="1">
        <v>2297.48</v>
      </c>
    </row>
    <row r="3916" spans="1:4" x14ac:dyDescent="0.3">
      <c r="A3916" s="1" t="str">
        <f>"01013156800"</f>
        <v>01013156800</v>
      </c>
      <c r="B3916" s="1" t="str">
        <f>"ELDRIDGE ROBERT E SR"</f>
        <v>ELDRIDGE ROBERT E SR</v>
      </c>
      <c r="C3916" s="1" t="str">
        <f>"BURLEY DR. RADCLIFF LOT 12"</f>
        <v>BURLEY DR. RADCLIFF LOT 12</v>
      </c>
      <c r="D3916" s="1">
        <v>701.95</v>
      </c>
    </row>
    <row r="3917" spans="1:4" x14ac:dyDescent="0.3">
      <c r="A3917" s="1" t="str">
        <f>"01006052800"</f>
        <v>01006052800</v>
      </c>
      <c r="B3917" s="1" t="str">
        <f>"ELESIO HEATING AND COOLING LLC"</f>
        <v>ELESIO HEATING AND COOLING LLC</v>
      </c>
      <c r="C3917" s="1" t="str">
        <f>"1457 E 21ST AVE WALDEMERE LOT 288"</f>
        <v>1457 E 21ST AVE WALDEMERE LOT 288</v>
      </c>
      <c r="D3917" s="1">
        <v>601.66999999999996</v>
      </c>
    </row>
    <row r="3918" spans="1:4" x14ac:dyDescent="0.3">
      <c r="A3918" s="1" t="str">
        <f>"01004295200"</f>
        <v>01004295200</v>
      </c>
      <c r="B3918" s="1" t="str">
        <f>"ELG PROPERTY LLC"</f>
        <v>ELG PROPERTY LLC</v>
      </c>
      <c r="C3918" s="1" t="str">
        <f>"378 HAWKS AVE OSBORN PLACE 41.92X41.11'SE LT199"</f>
        <v>378 HAWKS AVE OSBORN PLACE 41.92X41.11'SE LT199</v>
      </c>
      <c r="D3918" s="1">
        <v>1687.49</v>
      </c>
    </row>
    <row r="3919" spans="1:4" x14ac:dyDescent="0.3">
      <c r="A3919" s="1" t="str">
        <f>"09000140100"</f>
        <v>09000140100</v>
      </c>
      <c r="B3919" s="1" t="str">
        <f>"ELHAMDI HACHEM M, ICHGARINE LALLA KENZA"</f>
        <v>ELHAMDI HACHEM M, ICHGARINE LALLA KENZA</v>
      </c>
      <c r="C3919" s="1" t="str">
        <f>"4506 SAN JOSE LANE NORTON FIELD PLAT 2 LOT 503"</f>
        <v>4506 SAN JOSE LANE NORTON FIELD PLAT 2 LOT 503</v>
      </c>
      <c r="D3919" s="1">
        <v>1179.3800000000001</v>
      </c>
    </row>
    <row r="3920" spans="1:4" x14ac:dyDescent="0.3">
      <c r="A3920" s="1" t="str">
        <f>"24000422300"</f>
        <v>24000422300</v>
      </c>
      <c r="B3920" s="1" t="str">
        <f>"ELIAS MILDRED E"</f>
        <v>ELIAS MILDRED E</v>
      </c>
      <c r="C3920" s="1" t="str">
        <f>"REDMOND RD LINCOLN VILLAGE S LOT 60"</f>
        <v>REDMOND RD LINCOLN VILLAGE S LOT 60</v>
      </c>
      <c r="D3920" s="1">
        <v>1149.45</v>
      </c>
    </row>
    <row r="3921" spans="1:4" x14ac:dyDescent="0.3">
      <c r="A3921" s="1" t="str">
        <f>"22200158700"</f>
        <v>22200158700</v>
      </c>
      <c r="B3921" s="1" t="str">
        <f>"ELIAV-GREENSHTEIN OFRA, GREENSHTEIN UDI"</f>
        <v>ELIAV-GREENSHTEIN OFRA, GREENSHTEIN UDI</v>
      </c>
      <c r="C3921" s="1" t="str">
        <f>"DRAYTON HALL NORTH N ALBANY COUNTRY CL SECTION 11 LOT 41"</f>
        <v>DRAYTON HALL NORTH N ALBANY COUNTRY CL SECTION 11 LOT 41</v>
      </c>
      <c r="D3921" s="1">
        <v>507.32</v>
      </c>
    </row>
    <row r="3922" spans="1:4" x14ac:dyDescent="0.3">
      <c r="A3922" s="1" t="str">
        <f>"01013329200"</f>
        <v>01013329200</v>
      </c>
      <c r="B3922" s="1" t="str">
        <f>"ELITE CONSTRUCTION S&amp;S LLC"</f>
        <v>ELITE CONSTRUCTION S&amp;S LLC</v>
      </c>
      <c r="C3922" s="1" t="str">
        <f>"MAJESTIC DR E WALNUT-BIXBYESTATES LOT 26"</f>
        <v>MAJESTIC DR E WALNUT-BIXBYESTATES LOT 26</v>
      </c>
      <c r="D3922" s="1">
        <v>681.9</v>
      </c>
    </row>
    <row r="3923" spans="1:4" x14ac:dyDescent="0.3">
      <c r="A3923" s="1" t="str">
        <f>"01003421000"</f>
        <v>01003421000</v>
      </c>
      <c r="B3923" s="1" t="str">
        <f>"ELKINS SHIRLEY"</f>
        <v>ELKINS SHIRLEY</v>
      </c>
      <c r="C3923" s="1" t="str">
        <f>"838 ATCHESON ST RICHARD JONES LOT 40-1"</f>
        <v>838 ATCHESON ST RICHARD JONES LOT 40-1</v>
      </c>
      <c r="D3923" s="1">
        <v>312.20999999999998</v>
      </c>
    </row>
    <row r="3924" spans="1:4" x14ac:dyDescent="0.3">
      <c r="A3924" s="1" t="str">
        <f>"01000847800"</f>
        <v>01000847800</v>
      </c>
      <c r="B3924" s="1" t="str">
        <f>"ELKINS SHIRLEY E"</f>
        <v>ELKINS SHIRLEY E</v>
      </c>
      <c r="C3924" s="1" t="str">
        <f>"2176 LEONARD AVE ST MARYS GATE LOT 35"</f>
        <v>2176 LEONARD AVE ST MARYS GATE LOT 35</v>
      </c>
      <c r="D3924" s="1">
        <v>2152.13</v>
      </c>
    </row>
    <row r="3925" spans="1:4" x14ac:dyDescent="0.3">
      <c r="A3925" s="1" t="str">
        <f>"01000847900"</f>
        <v>01000847900</v>
      </c>
      <c r="B3925" s="1" t="str">
        <f>"ELKINS SHIRLEY E"</f>
        <v>ELKINS SHIRLEY E</v>
      </c>
      <c r="C3925" s="1" t="str">
        <f>"LEONARD AVE ST MARYS GATE LOT 36"</f>
        <v>LEONARD AVE ST MARYS GATE LOT 36</v>
      </c>
      <c r="D3925" s="1">
        <v>389.37</v>
      </c>
    </row>
    <row r="3926" spans="1:4" x14ac:dyDescent="0.3">
      <c r="A3926" s="1" t="str">
        <f>"01011616500"</f>
        <v>01011616500</v>
      </c>
      <c r="B3926" s="1" t="str">
        <f>"ELKINS TIM D"</f>
        <v>ELKINS TIM D</v>
      </c>
      <c r="C3926" s="1" t="str">
        <f>"REAR DERING AVE L141 14X16 FT SE COR SOUTH HIGH ST"</f>
        <v>REAR DERING AVE L141 14X16 FT SE COR SOUTH HIGH ST</v>
      </c>
      <c r="D3926" s="1">
        <v>39.85</v>
      </c>
    </row>
    <row r="3927" spans="1:4" x14ac:dyDescent="0.3">
      <c r="A3927" s="1" t="str">
        <f>"01011272900"</f>
        <v>01011272900</v>
      </c>
      <c r="B3927" s="1" t="str">
        <f>"ELKINS TIM D"</f>
        <v>ELKINS TIM D</v>
      </c>
      <c r="C3927" s="1" t="str">
        <f>"167 DEERING AVE S HIGH ST LOT 140-1"</f>
        <v>167 DEERING AVE S HIGH ST LOT 140-1</v>
      </c>
      <c r="D3927" s="1">
        <v>625.82000000000005</v>
      </c>
    </row>
    <row r="3928" spans="1:4" x14ac:dyDescent="0.3">
      <c r="A3928" s="1" t="str">
        <f>"01025261700"</f>
        <v>01025261700</v>
      </c>
      <c r="B3928" s="1" t="str">
        <f>"ELL RED PARK 1696 LLC"</f>
        <v>ELL RED PARK 1696 LLC</v>
      </c>
      <c r="C3928" s="1" t="str">
        <f>"SOUTHWOOD AVE FORNOFFS SOUTHWOOD LTS 29-30, 26.75'WS LT 28"</f>
        <v>SOUTHWOOD AVE FORNOFFS SOUTHWOOD LTS 29-30, 26.75'WS LT 28</v>
      </c>
      <c r="D3928" s="1">
        <v>1486.69</v>
      </c>
    </row>
    <row r="3929" spans="1:4" x14ac:dyDescent="0.3">
      <c r="A3929" s="1" t="str">
        <f>"18400290700"</f>
        <v>18400290700</v>
      </c>
      <c r="B3929" s="1" t="str">
        <f>"ELLER CORY"</f>
        <v>ELLER CORY</v>
      </c>
      <c r="C3929" s="1" t="str">
        <f>"CHERRY BEND CHERRY LANDING LOT 126"</f>
        <v>CHERRY BEND CHERRY LANDING LOT 126</v>
      </c>
      <c r="D3929" s="1">
        <v>5999.87</v>
      </c>
    </row>
    <row r="3930" spans="1:4" x14ac:dyDescent="0.3">
      <c r="A3930" s="1" t="str">
        <f>"04001131600"</f>
        <v>04001131600</v>
      </c>
      <c r="B3930" s="1" t="str">
        <f>"ELLERBUSH JASON R, ELLERBUSH DAWN N"</f>
        <v>ELLERBUSH JASON R, ELLERBUSH DAWN N</v>
      </c>
      <c r="C3930" s="1" t="str">
        <f>"STARGRASS AVENUE MEADOW GROVE SOUTH SECTION 5 LOT 155"</f>
        <v>STARGRASS AVENUE MEADOW GROVE SOUTH SECTION 5 LOT 155</v>
      </c>
      <c r="D3930" s="1">
        <v>376.37</v>
      </c>
    </row>
    <row r="3931" spans="1:4" x14ac:dyDescent="0.3">
      <c r="A3931" s="1" t="str">
        <f>"01015805300"</f>
        <v>01015805300</v>
      </c>
      <c r="B3931" s="1" t="str">
        <f>"ELLINGTON SHEILA D"</f>
        <v>ELLINGTON SHEILA D</v>
      </c>
      <c r="C3931" s="1" t="str">
        <f>"KIMBERLY VILLAS CONDOMINIUM PHASE 1 UNIT 12-D"</f>
        <v>KIMBERLY VILLAS CONDOMINIUM PHASE 1 UNIT 12-D</v>
      </c>
      <c r="D3931" s="1">
        <v>779.28</v>
      </c>
    </row>
    <row r="3932" spans="1:4" x14ac:dyDescent="0.3">
      <c r="A3932" s="1" t="str">
        <f>"01016567700"</f>
        <v>01016567700</v>
      </c>
      <c r="B3932" s="1" t="str">
        <f>"ELLIOT ANTONIO L"</f>
        <v>ELLIOT ANTONIO L</v>
      </c>
      <c r="C3932" s="1" t="str">
        <f>"PLANTATION LAKES CONDOMINIUM BLDG 48 UNIT A"</f>
        <v>PLANTATION LAKES CONDOMINIUM BLDG 48 UNIT A</v>
      </c>
      <c r="D3932" s="1">
        <v>1394.04</v>
      </c>
    </row>
    <row r="3933" spans="1:4" x14ac:dyDescent="0.3">
      <c r="A3933" s="1" t="str">
        <f>"01011144200"</f>
        <v>01011144200</v>
      </c>
      <c r="B3933" s="1" t="str">
        <f>"ELLIOTT CRYSTAL G"</f>
        <v>ELLIOTT CRYSTAL G</v>
      </c>
      <c r="C3933" s="1" t="str">
        <f>"PARSONS AVE GARDEN FARMS LOT 6"</f>
        <v>PARSONS AVE GARDEN FARMS LOT 6</v>
      </c>
      <c r="D3933" s="1">
        <v>1199.19</v>
      </c>
    </row>
    <row r="3934" spans="1:4" x14ac:dyDescent="0.3">
      <c r="A3934" s="1" t="str">
        <f>"01015348800"</f>
        <v>01015348800</v>
      </c>
      <c r="B3934" s="1" t="str">
        <f>"ELLIOTT GAIL L"</f>
        <v>ELLIOTT GAIL L</v>
      </c>
      <c r="C3934" s="1" t="str">
        <f>"BELLMEADOW DR SHARON WOODS SEC 4 LOT 350"</f>
        <v>BELLMEADOW DR SHARON WOODS SEC 4 LOT 350</v>
      </c>
      <c r="D3934" s="1">
        <v>2359.4899999999998</v>
      </c>
    </row>
    <row r="3935" spans="1:4" x14ac:dyDescent="0.3">
      <c r="A3935" s="1" t="str">
        <f>"01026485600"</f>
        <v>01026485600</v>
      </c>
      <c r="B3935" s="1" t="str">
        <f>"ELLIOTT KAREN L"</f>
        <v>ELLIOTT KAREN L</v>
      </c>
      <c r="C3935" s="1" t="str">
        <f>"CONDOMINIUM AT WINCHESTER COVE 2ND AMD BLDG 33 UNIT 4310"</f>
        <v>CONDOMINIUM AT WINCHESTER COVE 2ND AMD BLDG 33 UNIT 4310</v>
      </c>
      <c r="D3935" s="1">
        <v>153.38999999999999</v>
      </c>
    </row>
    <row r="3936" spans="1:4" x14ac:dyDescent="0.3">
      <c r="A3936" s="1" t="str">
        <f>"07000278300"</f>
        <v>07000278300</v>
      </c>
      <c r="B3936" s="1" t="str">
        <f>"ELLIS BERKLEY M"</f>
        <v>ELLIS BERKLEY M</v>
      </c>
      <c r="C3936" s="1" t="str">
        <f>"1801 WYANDOTTE RD UPPER ARLINGTON LOT 13 BLK 103"</f>
        <v>1801 WYANDOTTE RD UPPER ARLINGTON LOT 13 BLK 103</v>
      </c>
      <c r="D3936" s="1">
        <v>615.29999999999995</v>
      </c>
    </row>
    <row r="3937" spans="1:4" x14ac:dyDescent="0.3">
      <c r="A3937" s="1" t="str">
        <f>"57021624500"</f>
        <v>57021624500</v>
      </c>
      <c r="B3937" s="1" t="str">
        <f>"ELLIS FRANK E, ELLIS DIXIE L"</f>
        <v>ELLIS FRANK E, ELLIS DIXIE L</v>
      </c>
      <c r="C3937" s="1" t="str">
        <f>"EAGLE VIEW DRIVE BIG RUN VILLAGE SECTION 3 LOT 179"</f>
        <v>EAGLE VIEW DRIVE BIG RUN VILLAGE SECTION 3 LOT 179</v>
      </c>
      <c r="D3937" s="1">
        <v>327.64999999999998</v>
      </c>
    </row>
    <row r="3938" spans="1:4" x14ac:dyDescent="0.3">
      <c r="A3938" s="1" t="str">
        <f>"01011215500"</f>
        <v>01011215500</v>
      </c>
      <c r="B3938" s="1" t="str">
        <f>"ELLIS PERRY JR"</f>
        <v>ELLIS PERRY JR</v>
      </c>
      <c r="C3938" s="1" t="str">
        <f>"1489 MOLER RD MARION NE PT LOT 1"</f>
        <v>1489 MOLER RD MARION NE PT LOT 1</v>
      </c>
      <c r="D3938" s="1">
        <v>4031.26</v>
      </c>
    </row>
    <row r="3939" spans="1:4" x14ac:dyDescent="0.3">
      <c r="A3939" s="1" t="str">
        <f>"15000078100"</f>
        <v>15000078100</v>
      </c>
      <c r="B3939" s="1" t="str">
        <f>"ELLIS RAY"</f>
        <v>ELLIS RAY</v>
      </c>
      <c r="C3939" s="1" t="str">
        <f>"1916 TODD AVE WALNUT HTS LOTS 283 284"</f>
        <v>1916 TODD AVE WALNUT HTS LOTS 283 284</v>
      </c>
      <c r="D3939" s="1">
        <v>2575.4899999999998</v>
      </c>
    </row>
    <row r="3940" spans="1:4" x14ac:dyDescent="0.3">
      <c r="A3940" s="1" t="str">
        <f>"01011442700"</f>
        <v>01011442700</v>
      </c>
      <c r="B3940" s="1" t="str">
        <f>"ELLIS RAY, ELLIS PATRICIA"</f>
        <v>ELLIS RAY, ELLIS PATRICIA</v>
      </c>
      <c r="C3940" s="1" t="str">
        <f>"LINWOOD AVE MARION PARK LOT 35"</f>
        <v>LINWOOD AVE MARION PARK LOT 35</v>
      </c>
      <c r="D3940" s="1">
        <v>1020.87</v>
      </c>
    </row>
    <row r="3941" spans="1:4" x14ac:dyDescent="0.3">
      <c r="A3941" s="1" t="str">
        <f>"02501374300"</f>
        <v>02501374300</v>
      </c>
      <c r="B3941" s="1" t="str">
        <f>"ELLIS REAL ESTATE HOLDINGS LLC"</f>
        <v>ELLIS REAL ESTATE HOLDINGS LLC</v>
      </c>
      <c r="C3941" s="1" t="str">
        <f>"BEECHER RIDGE OFFICE PARK CONDOMINIUM 9TH AMD UNIT 420-A"</f>
        <v>BEECHER RIDGE OFFICE PARK CONDOMINIUM 9TH AMD UNIT 420-A</v>
      </c>
      <c r="D3941" s="1">
        <v>38.21</v>
      </c>
    </row>
    <row r="3942" spans="1:4" x14ac:dyDescent="0.3">
      <c r="A3942" s="1" t="str">
        <f>"14000090100"</f>
        <v>14000090100</v>
      </c>
      <c r="B3942" s="1" t="str">
        <f>"ELLIS TERRY LEE"</f>
        <v>ELLIS TERRY LEE</v>
      </c>
      <c r="C3942" s="1" t="str">
        <f>"1632 LAUREL AVE GIBSON PK PL LOT 123"</f>
        <v>1632 LAUREL AVE GIBSON PK PL LOT 123</v>
      </c>
      <c r="D3942" s="1">
        <v>232.7</v>
      </c>
    </row>
    <row r="3943" spans="1:4" x14ac:dyDescent="0.3">
      <c r="A3943" s="1" t="str">
        <f>"04001480100"</f>
        <v>04001480100</v>
      </c>
      <c r="B3943" s="1" t="str">
        <f>"ELLISON JEREMY, RIPPETH AMANDA LEE"</f>
        <v>ELLISON JEREMY, RIPPETH AMANDA LEE</v>
      </c>
      <c r="C3943" s="1" t="str">
        <f>"MEADOWS GROVE SOUTH SECTION 8 LOT 244"</f>
        <v>MEADOWS GROVE SOUTH SECTION 8 LOT 244</v>
      </c>
      <c r="D3943" s="1">
        <v>10136.469999999999</v>
      </c>
    </row>
    <row r="3944" spans="1:4" x14ac:dyDescent="0.3">
      <c r="A3944" s="1" t="str">
        <f>"01007663200"</f>
        <v>01007663200</v>
      </c>
      <c r="B3944" s="1" t="str">
        <f>"ELLISON MAMIE L"</f>
        <v>ELLISON MAMIE L</v>
      </c>
      <c r="C3944" s="1" t="str">
        <f>"DUXBERRY AVE HOMESTEAD HTS 2 LOT 64"</f>
        <v>DUXBERRY AVE HOMESTEAD HTS 2 LOT 64</v>
      </c>
      <c r="D3944" s="1">
        <v>1653.15</v>
      </c>
    </row>
    <row r="3945" spans="1:4" x14ac:dyDescent="0.3">
      <c r="A3945" s="1" t="str">
        <f>"01023430500"</f>
        <v>01023430500</v>
      </c>
      <c r="B3945" s="1" t="str">
        <f>"ELLISON MICHELLE CLAUDETTE, VEATOR JOHN RUSSELL"</f>
        <v>ELLISON MICHELLE CLAUDETTE, VEATOR JOHN RUSSELL</v>
      </c>
      <c r="C3945" s="1" t="str">
        <f>"MCNEILL FARMS EAST CONDOMINIUM 17TH AMD UNIT 102C"</f>
        <v>MCNEILL FARMS EAST CONDOMINIUM 17TH AMD UNIT 102C</v>
      </c>
      <c r="D3945" s="1">
        <v>2475.31</v>
      </c>
    </row>
    <row r="3946" spans="1:4" x14ac:dyDescent="0.3">
      <c r="A3946" s="1" t="str">
        <f>"57016853300"</f>
        <v>57016853300</v>
      </c>
      <c r="B3946" s="1" t="str">
        <f>"ELLISON TAMIA R"</f>
        <v>ELLISON TAMIA R</v>
      </c>
      <c r="C3946" s="1" t="str">
        <f>"603 DEXTER AVE BURNSIDE HTS LOT 70"</f>
        <v>603 DEXTER AVE BURNSIDE HTS LOT 70</v>
      </c>
      <c r="D3946" s="1">
        <v>1264.8699999999999</v>
      </c>
    </row>
    <row r="3947" spans="1:4" x14ac:dyDescent="0.3">
      <c r="A3947" s="1" t="str">
        <f>"60022955900"</f>
        <v>60022955900</v>
      </c>
      <c r="B3947" s="1" t="str">
        <f>"ELMI FARTUN MOHAMUD"</f>
        <v>ELMI FARTUN MOHAMUD</v>
      </c>
      <c r="C3947" s="1" t="str">
        <f>"MANVILLE COURT BRANDYWINE MEADOWS 9 LOT 442"</f>
        <v>MANVILLE COURT BRANDYWINE MEADOWS 9 LOT 442</v>
      </c>
      <c r="D3947" s="1">
        <v>1413.78</v>
      </c>
    </row>
    <row r="3948" spans="1:4" x14ac:dyDescent="0.3">
      <c r="A3948" s="1" t="str">
        <f>"01016185100"</f>
        <v>01016185100</v>
      </c>
      <c r="B3948" s="1" t="str">
        <f>"ELMI SHUKRI"</f>
        <v>ELMI SHUKRI</v>
      </c>
      <c r="C3948" s="1" t="str">
        <f>"IPSWICK CIRCLE FRAMINGHAM LOT 25"</f>
        <v>IPSWICK CIRCLE FRAMINGHAM LOT 25</v>
      </c>
      <c r="D3948" s="1">
        <v>2543.3200000000002</v>
      </c>
    </row>
    <row r="3949" spans="1:4" x14ac:dyDescent="0.3">
      <c r="A3949" s="1" t="str">
        <f>"01026253800"</f>
        <v>01026253800</v>
      </c>
      <c r="B3949" s="1" t="str">
        <f>"ELOUASSINI KAMAL"</f>
        <v>ELOUASSINI KAMAL</v>
      </c>
      <c r="C3949" s="1" t="str">
        <f>"MOCK ROAD HEGEMON CREST SECTION 2 LOT 37"</f>
        <v>MOCK ROAD HEGEMON CREST SECTION 2 LOT 37</v>
      </c>
      <c r="D3949" s="1">
        <v>2542.1</v>
      </c>
    </row>
    <row r="3950" spans="1:4" x14ac:dyDescent="0.3">
      <c r="A3950" s="1" t="str">
        <f>"60016500000"</f>
        <v>60016500000</v>
      </c>
      <c r="B3950" s="1" t="str">
        <f>"ELSASSER KRISTINE E"</f>
        <v>ELSASSER KRISTINE E</v>
      </c>
      <c r="C3950" s="1" t="str">
        <f>"KILBOURNE AVE KILBOURNE WOODS SECTION 1 LOT 11"</f>
        <v>KILBOURNE AVE KILBOURNE WOODS SECTION 1 LOT 11</v>
      </c>
      <c r="D3950" s="1">
        <v>3520.1</v>
      </c>
    </row>
    <row r="3951" spans="1:4" x14ac:dyDescent="0.3">
      <c r="A3951" s="1" t="str">
        <f>"51525939100"</f>
        <v>51525939100</v>
      </c>
      <c r="B3951" s="1" t="str">
        <f>"ELSWICK PAUL W TTEE, SHAHRANI SHAHREENA TTEE"</f>
        <v>ELSWICK PAUL W TTEE, SHAHRANI SHAHREENA TTEE</v>
      </c>
      <c r="C3951" s="1" t="str">
        <f>"WAGGONER PARK CONDOMINIUM 2ND AMD UNIT 95"</f>
        <v>WAGGONER PARK CONDOMINIUM 2ND AMD UNIT 95</v>
      </c>
      <c r="D3951" s="1">
        <v>1826.15</v>
      </c>
    </row>
    <row r="3952" spans="1:4" x14ac:dyDescent="0.3">
      <c r="A3952" s="1" t="str">
        <f>"01014080100"</f>
        <v>01014080100</v>
      </c>
      <c r="B3952" s="1" t="str">
        <f>"ELYTRA PROPERTIES LLC"</f>
        <v>ELYTRA PROPERTIES LLC</v>
      </c>
      <c r="C3952" s="1" t="str">
        <f>"MICHIGAN AVE .456 AC      GOODALE URBAN             RENEWAL PLAT 1 B-2       "</f>
        <v xml:space="preserve">MICHIGAN AVE .456 AC      GOODALE URBAN             RENEWAL PLAT 1 B-2       </v>
      </c>
      <c r="D3952" s="1">
        <v>11964.88</v>
      </c>
    </row>
    <row r="3953" spans="1:4" x14ac:dyDescent="0.3">
      <c r="A3953" s="1" t="str">
        <f>"01008237100"</f>
        <v>01008237100</v>
      </c>
      <c r="B3953" s="1" t="str">
        <f>"EMAD ALKHATIB"</f>
        <v>EMAD ALKHATIB</v>
      </c>
      <c r="C3953" s="1" t="str">
        <f>"KARL RD SCHOENELAND LOT 78"</f>
        <v>KARL RD SCHOENELAND LOT 78</v>
      </c>
      <c r="D3953" s="1">
        <v>2645.92</v>
      </c>
    </row>
    <row r="3954" spans="1:4" x14ac:dyDescent="0.3">
      <c r="A3954" s="1" t="str">
        <f>"01016183100"</f>
        <v>01016183100</v>
      </c>
      <c r="B3954" s="1" t="str">
        <f>"EMBRY STANLEY W JR, POWELL RHONDA L"</f>
        <v>EMBRY STANLEY W JR, POWELL RHONDA L</v>
      </c>
      <c r="C3954" s="1" t="str">
        <f>"AGAWAM CIRCLE FRAMINGHAM LOT 5"</f>
        <v>AGAWAM CIRCLE FRAMINGHAM LOT 5</v>
      </c>
      <c r="D3954" s="1">
        <v>5632.26</v>
      </c>
    </row>
    <row r="3955" spans="1:4" x14ac:dyDescent="0.3">
      <c r="A3955" s="1" t="str">
        <f>"01005797700"</f>
        <v>01005797700</v>
      </c>
      <c r="B3955" s="1" t="str">
        <f>"EMBS RICHARD J TTEE, WETZIG LALLIE A"</f>
        <v>EMBS RICHARD J TTEE, WETZIG LALLIE A</v>
      </c>
      <c r="C3955" s="1" t="str">
        <f>"70 PACEMONT AVE PACEMONT LOT 14"</f>
        <v>70 PACEMONT AVE PACEMONT LOT 14</v>
      </c>
      <c r="D3955" s="1">
        <v>2578.2800000000002</v>
      </c>
    </row>
    <row r="3956" spans="1:4" x14ac:dyDescent="0.3">
      <c r="A3956" s="1" t="str">
        <f>"01027203700"</f>
        <v>01027203700</v>
      </c>
      <c r="B3956" s="1" t="str">
        <f>"EMBSE CHARLES VONDER, VONDER EMBSE SHEILA"</f>
        <v>EMBSE CHARLES VONDER, VONDER EMBSE SHEILA</v>
      </c>
      <c r="C3956" s="1" t="str">
        <f>"KEMPTON RUN DRIVE KEMPTON RUN LOT 19"</f>
        <v>KEMPTON RUN DRIVE KEMPTON RUN LOT 19</v>
      </c>
      <c r="D3956" s="1">
        <v>521.79</v>
      </c>
    </row>
    <row r="3957" spans="1:4" x14ac:dyDescent="0.3">
      <c r="A3957" s="1" t="str">
        <f>"01006049100"</f>
        <v>01006049100</v>
      </c>
      <c r="B3957" s="1" t="str">
        <f>"EME PROPERTIES LLC"</f>
        <v>EME PROPERTIES LLC</v>
      </c>
      <c r="C3957" s="1" t="str">
        <f>"1396 TWENTY FIRST AVE WALDEMERE LOTS 247 &amp; 248"</f>
        <v>1396 TWENTY FIRST AVE WALDEMERE LOTS 247 &amp; 248</v>
      </c>
      <c r="D3957" s="1">
        <v>1468.61</v>
      </c>
    </row>
    <row r="3958" spans="1:4" x14ac:dyDescent="0.3">
      <c r="A3958" s="1" t="str">
        <f>"01007519900"</f>
        <v>01007519900</v>
      </c>
      <c r="B3958" s="1" t="str">
        <f>"EME PROPERTIES LLC"</f>
        <v>EME PROPERTIES LLC</v>
      </c>
      <c r="C3958" s="1" t="str">
        <f>"HOWEY AVE GRASMERE GARDENS LOT 436"</f>
        <v>HOWEY AVE GRASMERE GARDENS LOT 436</v>
      </c>
      <c r="D3958" s="1">
        <v>1291.82</v>
      </c>
    </row>
    <row r="3959" spans="1:4" x14ac:dyDescent="0.3">
      <c r="A3959" s="1" t="str">
        <f>"01007463800"</f>
        <v>01007463800</v>
      </c>
      <c r="B3959" s="1" t="str">
        <f>"EME PROPERTIES LLC"</f>
        <v>EME PROPERTIES LLC</v>
      </c>
      <c r="C3959" s="1" t="str">
        <f>"775-85 PONTIAC ST HIAWATHA PARK PL LOT 64"</f>
        <v>775-85 PONTIAC ST HIAWATHA PARK PL LOT 64</v>
      </c>
      <c r="D3959" s="1">
        <v>2221.94</v>
      </c>
    </row>
    <row r="3960" spans="1:4" x14ac:dyDescent="0.3">
      <c r="A3960" s="1" t="str">
        <f>"01002160800"</f>
        <v>01002160800</v>
      </c>
      <c r="B3960" s="1" t="str">
        <f>"EME PROPERTIES LLC"</f>
        <v>EME PROPERTIES LLC</v>
      </c>
      <c r="C3960" s="1" t="str">
        <f>"MT VERNON AVE 1336 ALL L 4 &amp; 10.95FT ES L3 HILDRETH &amp; CHTTND"</f>
        <v>MT VERNON AVE 1336 ALL L 4 &amp; 10.95FT ES L3 HILDRETH &amp; CHTTND</v>
      </c>
      <c r="D3960" s="1">
        <v>2606.66</v>
      </c>
    </row>
    <row r="3961" spans="1:4" x14ac:dyDescent="0.3">
      <c r="A3961" s="1" t="str">
        <f>"01007380700"</f>
        <v>01007380700</v>
      </c>
      <c r="B3961" s="1" t="str">
        <f>"EME PROPERTIES LLC"</f>
        <v>EME PROPERTIES LLC</v>
      </c>
      <c r="C3961" s="1" t="str">
        <f>"AZELDA ST ALMADA LOT 431"</f>
        <v>AZELDA ST ALMADA LOT 431</v>
      </c>
      <c r="D3961" s="1">
        <v>1832.84</v>
      </c>
    </row>
    <row r="3962" spans="1:4" x14ac:dyDescent="0.3">
      <c r="A3962" s="1" t="str">
        <f>"01004841200"</f>
        <v>01004841200</v>
      </c>
      <c r="B3962" s="1" t="str">
        <f>"EME PROPERTIES LLC"</f>
        <v>EME PROPERTIES LLC</v>
      </c>
      <c r="C3962" s="1" t="str">
        <f>"15TH AVE DREXEL PK LOT 150"</f>
        <v>15TH AVE DREXEL PK LOT 150</v>
      </c>
      <c r="D3962" s="1">
        <v>1994.25</v>
      </c>
    </row>
    <row r="3963" spans="1:4" x14ac:dyDescent="0.3">
      <c r="A3963" s="1" t="str">
        <f>"08000228100"</f>
        <v>08000228100</v>
      </c>
      <c r="B3963" s="1" t="str">
        <f>"EMERSON CONSTANCE L TOD"</f>
        <v>EMERSON CONSTANCE L TOD</v>
      </c>
      <c r="C3963" s="1" t="str">
        <f>"ELECTRIC AVE HANBY HTS 19 "</f>
        <v xml:space="preserve">ELECTRIC AVE HANBY HTS 19 </v>
      </c>
      <c r="D3963" s="1">
        <v>13.98</v>
      </c>
    </row>
    <row r="3964" spans="1:4" x14ac:dyDescent="0.3">
      <c r="A3964" s="1" t="str">
        <f>"60030029000"</f>
        <v>60030029000</v>
      </c>
      <c r="B3964" s="1" t="str">
        <f>"EMI HIGHPOINTE LLC"</f>
        <v>EMI HIGHPOINTE LLC</v>
      </c>
      <c r="C3964" s="1" t="str">
        <f>"HIGHPOINTE AT LITTLE TURTLE CONDOMINIUM BLDG 1 UNIT 1104 "</f>
        <v xml:space="preserve">HIGHPOINTE AT LITTLE TURTLE CONDOMINIUM BLDG 1 UNIT 1104 </v>
      </c>
      <c r="D3964" s="1">
        <v>3362.84</v>
      </c>
    </row>
    <row r="3965" spans="1:4" x14ac:dyDescent="0.3">
      <c r="A3965" s="1" t="str">
        <f>"01020782200"</f>
        <v>01020782200</v>
      </c>
      <c r="B3965" s="1" t="str">
        <f>"EMI PROPERTIES"</f>
        <v>EMI PROPERTIES</v>
      </c>
      <c r="C3965" s="1" t="str">
        <f>"RIVERWATCH TOWER CONDOMINIUM UNIT 437"</f>
        <v>RIVERWATCH TOWER CONDOMINIUM UNIT 437</v>
      </c>
      <c r="D3965" s="1">
        <v>1722.31</v>
      </c>
    </row>
    <row r="3966" spans="1:4" x14ac:dyDescent="0.3">
      <c r="A3966" s="1" t="str">
        <f>"01020780400"</f>
        <v>01020780400</v>
      </c>
      <c r="B3966" s="1" t="str">
        <f>"EMI PROPERTIES LLC"</f>
        <v>EMI PROPERTIES LLC</v>
      </c>
      <c r="C3966" s="1" t="str">
        <f>"RIVERWATCH TOWER CONDOMINIUM UNIT 409"</f>
        <v>RIVERWATCH TOWER CONDOMINIUM UNIT 409</v>
      </c>
      <c r="D3966" s="1">
        <v>1610.81</v>
      </c>
    </row>
    <row r="3967" spans="1:4" x14ac:dyDescent="0.3">
      <c r="A3967" s="1" t="str">
        <f>"01027994100"</f>
        <v>01027994100</v>
      </c>
      <c r="B3967" s="1" t="str">
        <f>"EMI PROPERTIES LLC"</f>
        <v>EMI PROPERTIES LLC</v>
      </c>
      <c r="C3967" s="1" t="str">
        <f>"THE SUNSET VILLAGE CONDOMINIUM UNIT 3054"</f>
        <v>THE SUNSET VILLAGE CONDOMINIUM UNIT 3054</v>
      </c>
      <c r="D3967" s="1">
        <v>1459.36</v>
      </c>
    </row>
    <row r="3968" spans="1:4" x14ac:dyDescent="0.3">
      <c r="A3968" s="1" t="str">
        <f>"01020788100"</f>
        <v>01020788100</v>
      </c>
      <c r="B3968" s="1" t="str">
        <f>"EMI PROPERTIES LLC"</f>
        <v>EMI PROPERTIES LLC</v>
      </c>
      <c r="C3968" s="1" t="str">
        <f>"RIVERWATCH TOWERS CONDOMINIUM UNIT 704"</f>
        <v>RIVERWATCH TOWERS CONDOMINIUM UNIT 704</v>
      </c>
      <c r="D3968" s="1">
        <v>1286.92</v>
      </c>
    </row>
    <row r="3969" spans="1:4" x14ac:dyDescent="0.3">
      <c r="A3969" s="1" t="str">
        <f>"60014771200"</f>
        <v>60014771200</v>
      </c>
      <c r="B3969" s="1" t="str">
        <f>"EMILY OWENS LAW LLC"</f>
        <v>EMILY OWENS LAW LLC</v>
      </c>
      <c r="C3969" s="1" t="str">
        <f>"MINERVA AVE LOT 18 BLK 3 VILLA PARK"</f>
        <v>MINERVA AVE LOT 18 BLK 3 VILLA PARK</v>
      </c>
      <c r="D3969" s="1">
        <v>344.95</v>
      </c>
    </row>
    <row r="3970" spans="1:4" x14ac:dyDescent="0.3">
      <c r="A3970" s="1" t="str">
        <f>"01002151700"</f>
        <v>01002151700</v>
      </c>
      <c r="B3970" s="1" t="str">
        <f>"EMMA HOUSE"</f>
        <v>EMMA HOUSE</v>
      </c>
      <c r="C3970" s="1" t="str">
        <f>"957 E BROAD ST BROAD OAK PLC PT LOT 1 &amp; 6 ALL 7"</f>
        <v>957 E BROAD ST BROAD OAK PLC PT LOT 1 &amp; 6 ALL 7</v>
      </c>
      <c r="D3970" s="1">
        <v>4929.3900000000003</v>
      </c>
    </row>
    <row r="3971" spans="1:4" x14ac:dyDescent="0.3">
      <c r="A3971" s="1" t="str">
        <f>"27300092400"</f>
        <v>27300092400</v>
      </c>
      <c r="B3971" s="1" t="str">
        <f>"EMORY LISA ANN"</f>
        <v>EMORY LISA ANN</v>
      </c>
      <c r="C3971" s="1" t="str">
        <f>"5723 STRATHMORE LN MUIRFIELD UNIT 10"</f>
        <v>5723 STRATHMORE LN MUIRFIELD UNIT 10</v>
      </c>
      <c r="D3971" s="1">
        <v>10962.46</v>
      </c>
    </row>
    <row r="3972" spans="1:4" x14ac:dyDescent="0.3">
      <c r="A3972" s="1" t="str">
        <f>"01004638100"</f>
        <v>01004638100</v>
      </c>
      <c r="B3972" s="1" t="str">
        <f>"EMORY LOUISE"</f>
        <v>EMORY LOUISE</v>
      </c>
      <c r="C3972" s="1" t="str">
        <f>"NELSON PLACE PT LOTS 39-40 "</f>
        <v xml:space="preserve">NELSON PLACE PT LOTS 39-40 </v>
      </c>
      <c r="D3972" s="1">
        <v>137.18</v>
      </c>
    </row>
    <row r="3973" spans="1:4" x14ac:dyDescent="0.3">
      <c r="A3973" s="1" t="str">
        <f>"08000079300"</f>
        <v>08000079300</v>
      </c>
      <c r="B3973" s="1" t="str">
        <f>"ENCORE INVESTING LLC"</f>
        <v>ENCORE INVESTING LLC</v>
      </c>
      <c r="C3973" s="1" t="str">
        <f>"W PARK ST 45 FT ON PARK ST NEW 48 49 "</f>
        <v xml:space="preserve">W PARK ST 45 FT ON PARK ST NEW 48 49 </v>
      </c>
      <c r="D3973" s="1">
        <v>306.41000000000003</v>
      </c>
    </row>
    <row r="3974" spans="1:4" x14ac:dyDescent="0.3">
      <c r="A3974" s="1" t="str">
        <f>"08000361100"</f>
        <v>08000361100</v>
      </c>
      <c r="B3974" s="1" t="str">
        <f>"ENDEL ENTERPRISES LLC"</f>
        <v>ENDEL ENTERPRISES LLC</v>
      </c>
      <c r="C3974" s="1" t="str">
        <f>"ALLVIEW RD LEXINGTON FARMS 1 B LOT 67"</f>
        <v>ALLVIEW RD LEXINGTON FARMS 1 B LOT 67</v>
      </c>
      <c r="D3974" s="1">
        <v>650.16999999999996</v>
      </c>
    </row>
    <row r="3975" spans="1:4" x14ac:dyDescent="0.3">
      <c r="A3975" s="1" t="str">
        <f>"01015800000"</f>
        <v>01015800000</v>
      </c>
      <c r="B3975" s="1" t="str">
        <f>"ENDERLE BARBARA"</f>
        <v>ENDERLE BARBARA</v>
      </c>
      <c r="C3975" s="1" t="str">
        <f>"SAMPSON COURT RITTENHOUSE SQ CON 1 LOT BLDG 16 UNIT 25"</f>
        <v>SAMPSON COURT RITTENHOUSE SQ CON 1 LOT BLDG 16 UNIT 25</v>
      </c>
      <c r="D3975" s="1">
        <v>1483.64</v>
      </c>
    </row>
    <row r="3976" spans="1:4" x14ac:dyDescent="0.3">
      <c r="A3976" s="1" t="str">
        <f>"01013100300"</f>
        <v>01013100300</v>
      </c>
      <c r="B3976" s="1" t="str">
        <f>"ENDICOTT HOWARD T JR"</f>
        <v>ENDICOTT HOWARD T JR</v>
      </c>
      <c r="C3976" s="1" t="str">
        <f>"985 HILOCK RD HIGHLAND LOT 5"</f>
        <v>985 HILOCK RD HIGHLAND LOT 5</v>
      </c>
      <c r="D3976" s="1">
        <v>2209.33</v>
      </c>
    </row>
    <row r="3977" spans="1:4" x14ac:dyDescent="0.3">
      <c r="A3977" s="1" t="str">
        <f>"01025336100"</f>
        <v>01025336100</v>
      </c>
      <c r="B3977" s="1" t="str">
        <f>"ENGELMAN KATHLEEN K"</f>
        <v>ENGELMAN KATHLEEN K</v>
      </c>
      <c r="C3977" s="1" t="str">
        <f>"JOLLIFF STREET HALLOWAY SECTION 1 PART 2 LOT 74"</f>
        <v>JOLLIFF STREET HALLOWAY SECTION 1 PART 2 LOT 74</v>
      </c>
      <c r="D3977" s="1">
        <v>90.87</v>
      </c>
    </row>
    <row r="3978" spans="1:4" x14ac:dyDescent="0.3">
      <c r="A3978" s="1" t="str">
        <f>"07000808100"</f>
        <v>07000808100</v>
      </c>
      <c r="B3978" s="1" t="str">
        <f>"ENGLAND BRYAN, ENGLAND MEGHAN"</f>
        <v>ENGLAND BRYAN, ENGLAND MEGHAN</v>
      </c>
      <c r="C3978" s="1" t="str">
        <f>"3850 SURREY HILL PL MANCHESTER PLACE 8 BLK 416"</f>
        <v>3850 SURREY HILL PL MANCHESTER PLACE 8 BLK 416</v>
      </c>
      <c r="D3978" s="1">
        <v>12728.79</v>
      </c>
    </row>
    <row r="3979" spans="1:4" x14ac:dyDescent="0.3">
      <c r="A3979" s="1" t="str">
        <f>"26000018200"</f>
        <v>26000018200</v>
      </c>
      <c r="B3979" s="1" t="str">
        <f>"ENNIS DANIEL E"</f>
        <v>ENNIS DANIEL E</v>
      </c>
      <c r="C3979" s="1" t="str">
        <f>"FLEET RD QUALSTAN EAST 325 "</f>
        <v xml:space="preserve">FLEET RD QUALSTAN EAST 325 </v>
      </c>
      <c r="D3979" s="1">
        <v>1860.2</v>
      </c>
    </row>
    <row r="3980" spans="1:4" x14ac:dyDescent="0.3">
      <c r="A3980" s="1" t="str">
        <f>"01027548200"</f>
        <v>01027548200</v>
      </c>
      <c r="B3980" s="1" t="str">
        <f>"ENRIGHT MATTHEW T"</f>
        <v>ENRIGHT MATTHEW T</v>
      </c>
      <c r="C3980" s="1" t="str">
        <f>"5528 MOSSY CREEK DR       HAYDENS CROSSING          SECTION 2 PART 2 LOT 145 "</f>
        <v xml:space="preserve">5528 MOSSY CREEK DR       HAYDENS CROSSING          SECTION 2 PART 2 LOT 145 </v>
      </c>
      <c r="D3980" s="1">
        <v>2401.9699999999998</v>
      </c>
    </row>
    <row r="3981" spans="1:4" x14ac:dyDescent="0.3">
      <c r="A3981" s="1" t="str">
        <f>"01029904100"</f>
        <v>01029904100</v>
      </c>
      <c r="B3981" s="1" t="str">
        <f>"ENT INVESTMENTS-EAST LTD"</f>
        <v>ENT INVESTMENTS-EAST LTD</v>
      </c>
      <c r="C3981" s="1" t="str">
        <f>"E BROAD ST R16 T1 1/4T3 0.825 ACRE"</f>
        <v>E BROAD ST R16 T1 1/4T3 0.825 ACRE</v>
      </c>
      <c r="D3981" s="1">
        <v>6374.02</v>
      </c>
    </row>
    <row r="3982" spans="1:4" x14ac:dyDescent="0.3">
      <c r="A3982" s="1" t="str">
        <f>"27301224300"</f>
        <v>27301224300</v>
      </c>
      <c r="B3982" s="1" t="str">
        <f>"ENTERPRISE PROPERTY SOLUTIONS LLC"</f>
        <v>ENTERPRISE PROPERTY SOLUTIONS LLC</v>
      </c>
      <c r="C3982" s="1" t="str">
        <f>"DUBLIN COMMERCE PARK RESUB OF A PORTION OF LOT 4         LOT 4A"</f>
        <v>DUBLIN COMMERCE PARK RESUB OF A PORTION OF LOT 4         LOT 4A</v>
      </c>
      <c r="D3982" s="1">
        <v>42.56</v>
      </c>
    </row>
    <row r="3983" spans="1:4" x14ac:dyDescent="0.3">
      <c r="A3983" s="1" t="str">
        <f>"01007713700"</f>
        <v>01007713700</v>
      </c>
      <c r="B3983" s="1" t="str">
        <f>"ENVISIONARY ENTERPRISE LLC"</f>
        <v>ENVISIONARY ENTERPRISE LLC</v>
      </c>
      <c r="C3983" s="1" t="str">
        <f>"2930 SULLIVANT AVE BROADVIEW EXT 14 15 BLK 30"</f>
        <v>2930 SULLIVANT AVE BROADVIEW EXT 14 15 BLK 30</v>
      </c>
      <c r="D3983" s="1">
        <v>2013.54</v>
      </c>
    </row>
    <row r="3984" spans="1:4" x14ac:dyDescent="0.3">
      <c r="A3984" s="1" t="str">
        <f>"01007713900"</f>
        <v>01007713900</v>
      </c>
      <c r="B3984" s="1" t="str">
        <f>"ENVISIONARY ENTERPRISE LLC"</f>
        <v>ENVISIONARY ENTERPRISE LLC</v>
      </c>
      <c r="C3984" s="1" t="str">
        <f>"SULLIVANT AND 27FT ES BROADVIEW EXT16 BLK 30"</f>
        <v>SULLIVANT AND 27FT ES BROADVIEW EXT16 BLK 30</v>
      </c>
      <c r="D3984" s="1">
        <v>227.77</v>
      </c>
    </row>
    <row r="3985" spans="1:4" x14ac:dyDescent="0.3">
      <c r="A3985" s="1" t="str">
        <f>"61022488300"</f>
        <v>61022488300</v>
      </c>
      <c r="B3985" s="1" t="str">
        <f>"EPICENTER EQUITIES INC"</f>
        <v>EPICENTER EQUITIES INC</v>
      </c>
      <c r="C3985" s="1" t="str">
        <f>"170 AT NORTHWOODS CONDOMINIUM UNIT 120"</f>
        <v>170 AT NORTHWOODS CONDOMINIUM UNIT 120</v>
      </c>
      <c r="D3985" s="1">
        <v>616.03</v>
      </c>
    </row>
    <row r="3986" spans="1:4" x14ac:dyDescent="0.3">
      <c r="A3986" s="1" t="str">
        <f>"59028517700"</f>
        <v>59028517700</v>
      </c>
      <c r="B3986" s="1" t="str">
        <f>"EPLER GOSS RITA S TTEE"</f>
        <v>EPLER GOSS RITA S TTEE</v>
      </c>
      <c r="C3986" s="1" t="str">
        <f>"RIVER HIGHLANDS CONDOMINIUM 7TH AMD UNIT 3303"</f>
        <v>RIVER HIGHLANDS CONDOMINIUM 7TH AMD UNIT 3303</v>
      </c>
      <c r="D3986" s="1">
        <v>8173.3</v>
      </c>
    </row>
    <row r="3987" spans="1:4" x14ac:dyDescent="0.3">
      <c r="A3987" s="1" t="str">
        <f>"61021311500"</f>
        <v>61021311500</v>
      </c>
      <c r="B3987" s="1" t="str">
        <f>"EPLEY PATTY A"</f>
        <v>EPLEY PATTY A</v>
      </c>
      <c r="C3987" s="1" t="str">
        <f>"WORTHINGTON WOODS CONDO 10 3RD AMD BLDG 16 UNIT 80"</f>
        <v>WORTHINGTON WOODS CONDO 10 3RD AMD BLDG 16 UNIT 80</v>
      </c>
      <c r="D3987" s="1">
        <v>3084.69</v>
      </c>
    </row>
    <row r="3988" spans="1:4" x14ac:dyDescent="0.3">
      <c r="A3988" s="1" t="str">
        <f>"02500080700"</f>
        <v>02500080700</v>
      </c>
      <c r="B3988" s="1" t="str">
        <f>"EQUITABLE DEVELOPMENT CORP"</f>
        <v>EQUITABLE DEVELOPMENT CORP</v>
      </c>
      <c r="C3988" s="1" t="str">
        <f>"BRUSH RD R16 T1 1/4T3 0.166 ACRE"</f>
        <v>BRUSH RD R16 T1 1/4T3 0.166 ACRE</v>
      </c>
      <c r="D3988" s="1">
        <v>299.31</v>
      </c>
    </row>
    <row r="3989" spans="1:4" x14ac:dyDescent="0.3">
      <c r="A3989" s="1" t="str">
        <f>"02500667100"</f>
        <v>02500667100</v>
      </c>
      <c r="B3989" s="1" t="str">
        <f>"EQUITABLE DEVELOPMENT CORP"</f>
        <v>EQUITABLE DEVELOPMENT CORP</v>
      </c>
      <c r="C3989" s="1" t="str">
        <f>"00000 N TAMARA DRIVE HUNTERS RIDGE SEC 7 OPEN SPACES"</f>
        <v>00000 N TAMARA DRIVE HUNTERS RIDGE SEC 7 OPEN SPACES</v>
      </c>
      <c r="D3989" s="1">
        <v>189.56</v>
      </c>
    </row>
    <row r="3990" spans="1:4" x14ac:dyDescent="0.3">
      <c r="A3990" s="1" t="str">
        <f>"01005414100"</f>
        <v>01005414100</v>
      </c>
      <c r="B3990" s="1" t="str">
        <f>"EQUITY BROTHERS LLC"</f>
        <v>EQUITY BROTHERS LLC</v>
      </c>
      <c r="C3990" s="1" t="str">
        <f>"478-80 GATES ST LOWRIE BROS LOT 8"</f>
        <v>478-80 GATES ST LOWRIE BROS LOT 8</v>
      </c>
      <c r="D3990" s="1">
        <v>2482.33</v>
      </c>
    </row>
    <row r="3991" spans="1:4" x14ac:dyDescent="0.3">
      <c r="A3991" s="1" t="str">
        <f>"01003796100"</f>
        <v>01003796100</v>
      </c>
      <c r="B3991" s="1" t="str">
        <f>"EQUITY BROTHERS QOZB LLC"</f>
        <v>EQUITY BROTHERS QOZB LLC</v>
      </c>
      <c r="C3991" s="1" t="str">
        <f>"680-82 22NDSTEX1FT SS WILLIAMSOHIOAVE LOT 19"</f>
        <v>680-82 22NDSTEX1FT SS WILLIAMSOHIOAVE LOT 19</v>
      </c>
      <c r="D3991" s="1">
        <v>2091.04</v>
      </c>
    </row>
    <row r="3992" spans="1:4" x14ac:dyDescent="0.3">
      <c r="A3992" s="1" t="str">
        <f>"01009976100"</f>
        <v>01009976100</v>
      </c>
      <c r="B3992" s="1" t="str">
        <f>"EQUITY CREATION LLC"</f>
        <v>EQUITY CREATION LLC</v>
      </c>
      <c r="C3992" s="1" t="str">
        <f>"LOCKWOOD RD CARLYLE ESTATES LOT 60"</f>
        <v>LOCKWOOD RD CARLYLE ESTATES LOT 60</v>
      </c>
      <c r="D3992" s="1">
        <v>1604.48</v>
      </c>
    </row>
    <row r="3993" spans="1:4" x14ac:dyDescent="0.3">
      <c r="A3993" s="1" t="str">
        <f>"01010913200"</f>
        <v>01010913200</v>
      </c>
      <c r="B3993" s="1" t="str">
        <f>"EQUITY CREATION LLC"</f>
        <v>EQUITY CREATION LLC</v>
      </c>
      <c r="C3993" s="1" t="str">
        <f>"BRENTNELL BLVD ARLINGTON PK TRACT 2 LOT 7 BLK H"</f>
        <v>BRENTNELL BLVD ARLINGTON PK TRACT 2 LOT 7 BLK H</v>
      </c>
      <c r="D3993" s="1">
        <v>885.18</v>
      </c>
    </row>
    <row r="3994" spans="1:4" x14ac:dyDescent="0.3">
      <c r="A3994" s="1" t="str">
        <f>"01007803600"</f>
        <v>01007803600</v>
      </c>
      <c r="B3994" s="1" t="str">
        <f>"EQUITY CREATION LLC"</f>
        <v>EQUITY CREATION LLC</v>
      </c>
      <c r="C3994" s="1" t="str">
        <f>"660 S EUREKA AVE WESTLAND LOT 61"</f>
        <v>660 S EUREKA AVE WESTLAND LOT 61</v>
      </c>
      <c r="D3994" s="1">
        <v>707.93</v>
      </c>
    </row>
    <row r="3995" spans="1:4" x14ac:dyDescent="0.3">
      <c r="A3995" s="1" t="str">
        <f>"01003234700"</f>
        <v>01003234700</v>
      </c>
      <c r="B3995" s="1" t="str">
        <f>"EQUITY CREATION LLC"</f>
        <v>EQUITY CREATION LLC</v>
      </c>
      <c r="C3995" s="1" t="str">
        <f>"1269 S CHAMPION AVE G O ROSE HILL ADD LOT 97"</f>
        <v>1269 S CHAMPION AVE G O ROSE HILL ADD LOT 97</v>
      </c>
      <c r="D3995" s="1">
        <v>2002.98</v>
      </c>
    </row>
    <row r="3996" spans="1:4" x14ac:dyDescent="0.3">
      <c r="A3996" s="1" t="str">
        <f>"61018598300"</f>
        <v>61018598300</v>
      </c>
      <c r="B3996" s="1" t="str">
        <f>"EQUITY CREATION LLC"</f>
        <v>EQUITY CREATION LLC</v>
      </c>
      <c r="C3996" s="1" t="str">
        <f>"BRIDE WATER BL WORTHINGTON RUN SEC1 LOT 75B"</f>
        <v>BRIDE WATER BL WORTHINGTON RUN SEC1 LOT 75B</v>
      </c>
      <c r="D3996" s="1">
        <v>3117.54</v>
      </c>
    </row>
    <row r="3997" spans="1:4" x14ac:dyDescent="0.3">
      <c r="A3997" s="1" t="str">
        <f>"05000034700"</f>
        <v>05000034700</v>
      </c>
      <c r="B3997" s="1" t="str">
        <f>"EQUITY CREATION LLC"</f>
        <v>EQUITY CREATION LLC</v>
      </c>
      <c r="C3997" s="1" t="str">
        <f>"4107 GRANT ST GRANT WAYNE CO LOT 166"</f>
        <v>4107 GRANT ST GRANT WAYNE CO LOT 166</v>
      </c>
      <c r="D3997" s="1">
        <v>2483.19</v>
      </c>
    </row>
    <row r="3998" spans="1:4" x14ac:dyDescent="0.3">
      <c r="A3998" s="1" t="str">
        <f>"24000243200"</f>
        <v>24000243200</v>
      </c>
      <c r="B3998" s="1" t="str">
        <f>"EQUITY CREATION LLC"</f>
        <v>EQUITY CREATION LLC</v>
      </c>
      <c r="C3998" s="1" t="str">
        <f>"460 FERNHILL AVE ROME MANOR LOT 638-639 &amp; PT VAC ALY"</f>
        <v>460 FERNHILL AVE ROME MANOR LOT 638-639 &amp; PT VAC ALY</v>
      </c>
      <c r="D3998" s="1">
        <v>3042.59</v>
      </c>
    </row>
    <row r="3999" spans="1:4" x14ac:dyDescent="0.3">
      <c r="A3999" s="1" t="str">
        <f>"01007515400"</f>
        <v>01007515400</v>
      </c>
      <c r="B3999" s="1" t="str">
        <f>"EQUITY TRUST CO CUST FBO DOUGLAS C GRINNELL IRA"</f>
        <v>EQUITY TRUST CO CUST FBO DOUGLAS C GRINNELL IRA</v>
      </c>
      <c r="C3999" s="1" t="str">
        <f>"GRASMEREAVE GRASMEREGARDENS LOT 391"</f>
        <v>GRASMEREAVE GRASMEREGARDENS LOT 391</v>
      </c>
      <c r="D3999" s="1">
        <v>1126.1500000000001</v>
      </c>
    </row>
    <row r="4000" spans="1:4" x14ac:dyDescent="0.3">
      <c r="A4000" s="1" t="str">
        <f>"01005968700"</f>
        <v>01005968700</v>
      </c>
      <c r="B4000" s="1" t="str">
        <f>"EQUITY TRUST CO CUST FBO, HERBAN JOSEPH FREDERICK, IRA ACCT 98589"</f>
        <v>EQUITY TRUST CO CUST FBO, HERBAN JOSEPH FREDERICK, IRA ACCT 98589</v>
      </c>
      <c r="C4000" s="1" t="str">
        <f>"1571 MANCHESTER LINDEN LOT 270 "</f>
        <v xml:space="preserve">1571 MANCHESTER LINDEN LOT 270 </v>
      </c>
      <c r="D4000" s="1">
        <v>114.36</v>
      </c>
    </row>
    <row r="4001" spans="1:4" x14ac:dyDescent="0.3">
      <c r="A4001" s="1" t="str">
        <f>"01029718600"</f>
        <v>01029718600</v>
      </c>
      <c r="B4001" s="1" t="str">
        <f>"EQUITY TRUST COMPANY AS CUSTODIAN FBO ANGELA YAN"</f>
        <v>EQUITY TRUST COMPANY AS CUSTODIAN FBO ANGELA YAN</v>
      </c>
      <c r="C4001" s="1" t="str">
        <f>"570 LOFTS CONDOMINIUM UNIT 311"</f>
        <v>570 LOFTS CONDOMINIUM UNIT 311</v>
      </c>
      <c r="D4001" s="1">
        <v>2325.5700000000002</v>
      </c>
    </row>
    <row r="4002" spans="1:4" x14ac:dyDescent="0.3">
      <c r="A4002" s="1" t="str">
        <f>"01009234200"</f>
        <v>01009234200</v>
      </c>
      <c r="B4002" s="1" t="str">
        <f>"EQUITY TRUST COMPANY CUSTODIAN FBO MARGARET E SCHLATER IRA Z020933"</f>
        <v>EQUITY TRUST COMPANY CUSTODIAN FBO MARGARET E SCHLATER IRA Z020933</v>
      </c>
      <c r="C4002" s="1" t="str">
        <f>"3119 E TWELFTH AVE CASSADY - PEAKE MEADOWS ADD LOT 101     48' X 118.1'"</f>
        <v>3119 E TWELFTH AVE CASSADY - PEAKE MEADOWS ADD LOT 101     48' X 118.1'</v>
      </c>
      <c r="D4002" s="1">
        <v>879.6</v>
      </c>
    </row>
    <row r="4003" spans="1:4" x14ac:dyDescent="0.3">
      <c r="A4003" s="1" t="str">
        <f>"01011352700"</f>
        <v>01011352700</v>
      </c>
      <c r="B4003" s="1" t="str">
        <f>"EQUITY TRUST COMPANY CUSTODIAN FBO PRATYUSH SINGH IRA"</f>
        <v>EQUITY TRUST COMPANY CUSTODIAN FBO PRATYUSH SINGH IRA</v>
      </c>
      <c r="C4003" s="1" t="str">
        <f>"DEXTER RD S HIGH GARDENS LOT 54"</f>
        <v>DEXTER RD S HIGH GARDENS LOT 54</v>
      </c>
      <c r="D4003" s="1">
        <v>2592.85</v>
      </c>
    </row>
    <row r="4004" spans="1:4" x14ac:dyDescent="0.3">
      <c r="A4004" s="1" t="str">
        <f>"01000559900"</f>
        <v>01000559900</v>
      </c>
      <c r="B4004" s="1" t="str">
        <f>"EQUITY TRUST COMPANY CUSTODIAN FBO PRATYUSH SINGH IRA, SINGH PRATYUSH"</f>
        <v>EQUITY TRUST COMPANY CUSTODIAN FBO PRATYUSH SINGH IRA, SINGH PRATYUSH</v>
      </c>
      <c r="C4004" s="1" t="str">
        <f>"973 OAKWOOD AUBURNDALE LOT 197"</f>
        <v>973 OAKWOOD AUBURNDALE LOT 197</v>
      </c>
      <c r="D4004" s="1">
        <v>3912.27</v>
      </c>
    </row>
    <row r="4005" spans="1:4" x14ac:dyDescent="0.3">
      <c r="A4005" s="1" t="str">
        <f>"01002158900"</f>
        <v>01002158900</v>
      </c>
      <c r="B4005" s="1" t="str">
        <f>"EQUITY TRUST COMPANY CUSTODIAN FBO WILLIAM T SOPHER IRA"</f>
        <v>EQUITY TRUST COMPANY CUSTODIAN FBO WILLIAM T SOPHER IRA</v>
      </c>
      <c r="C4005" s="1" t="str">
        <f>"269 S GREEN ST MARTENS WESTERN LOT 175"</f>
        <v>269 S GREEN ST MARTENS WESTERN LOT 175</v>
      </c>
      <c r="D4005" s="1">
        <v>607.26</v>
      </c>
    </row>
    <row r="4006" spans="1:4" x14ac:dyDescent="0.3">
      <c r="A4006" s="1" t="str">
        <f>"01005296700"</f>
        <v>01005296700</v>
      </c>
      <c r="B4006" s="1" t="str">
        <f>"EQUITY TRUST COMPANY FBO CHRISTOPHER AMATOS IRA"</f>
        <v>EQUITY TRUST COMPANY FBO CHRISTOPHER AMATOS IRA</v>
      </c>
      <c r="C4006" s="1" t="str">
        <f>"HOMECROFT DR WEBER PARK 2 LOT 62"</f>
        <v>HOMECROFT DR WEBER PARK 2 LOT 62</v>
      </c>
      <c r="D4006" s="1">
        <v>1116.01</v>
      </c>
    </row>
    <row r="4007" spans="1:4" x14ac:dyDescent="0.3">
      <c r="A4007" s="1" t="str">
        <f>"09000348200"</f>
        <v>09000348200</v>
      </c>
      <c r="B4007" s="1" t="str">
        <f>"EQUITY TRUST COMPANY FBO KEITH PEDERSEN IRA"</f>
        <v>EQUITY TRUST COMPANY FBO KEITH PEDERSEN IRA</v>
      </c>
      <c r="C4007" s="1" t="str">
        <f>"5103 WINSLOW DR TRURO ESTATES 252"</f>
        <v>5103 WINSLOW DR TRURO ESTATES 252</v>
      </c>
      <c r="D4007" s="1">
        <v>11</v>
      </c>
    </row>
    <row r="4008" spans="1:4" x14ac:dyDescent="0.3">
      <c r="A4008" s="1" t="str">
        <f>"01003020000"</f>
        <v>01003020000</v>
      </c>
      <c r="B4008" s="1" t="str">
        <f>"EQUITY TRUST COMPANY FBO NATHAN ZAGLANIS"</f>
        <v>EQUITY TRUST COMPANY FBO NATHAN ZAGLANIS</v>
      </c>
      <c r="C4008" s="1" t="str">
        <f>"E 5TH AVE 142FT SE OF 39X157FT LOT 22-5-3"</f>
        <v>E 5TH AVE 142FT SE OF 39X157FT LOT 22-5-3</v>
      </c>
      <c r="D4008" s="1">
        <v>9.23</v>
      </c>
    </row>
    <row r="4009" spans="1:4" x14ac:dyDescent="0.3">
      <c r="A4009" s="1" t="str">
        <f>"01007318400"</f>
        <v>01007318400</v>
      </c>
      <c r="B4009" s="1" t="str">
        <f>"EQUITY TRUST COMPANY, CUSTODIAN FBO DOUGLAS C, GRINNELL IRA"</f>
        <v>EQUITY TRUST COMPANY, CUSTODIAN FBO DOUGLAS C, GRINNELL IRA</v>
      </c>
      <c r="C4009" s="1" t="str">
        <f>"20TH AVE RICHMOND LOT 99"</f>
        <v>20TH AVE RICHMOND LOT 99</v>
      </c>
      <c r="D4009" s="1">
        <v>1015.18</v>
      </c>
    </row>
    <row r="4010" spans="1:4" x14ac:dyDescent="0.3">
      <c r="A4010" s="1" t="str">
        <f>"59019600600"</f>
        <v>59019600600</v>
      </c>
      <c r="B4010" s="1" t="str">
        <f>"ERAIN CAPITAL NORTH AMERICA LLC"</f>
        <v>ERAIN CAPITAL NORTH AMERICA LLC</v>
      </c>
      <c r="C4010" s="1" t="str">
        <f>"SAWMILL STATION CONDO PH II UNIT 2942 BLDG 7"</f>
        <v>SAWMILL STATION CONDO PH II UNIT 2942 BLDG 7</v>
      </c>
      <c r="D4010" s="1">
        <v>1158.28</v>
      </c>
    </row>
    <row r="4011" spans="1:4" x14ac:dyDescent="0.3">
      <c r="A4011" s="1" t="str">
        <f>"59019600700"</f>
        <v>59019600700</v>
      </c>
      <c r="B4011" s="1" t="str">
        <f>"ERAIN CAPITAL NORTH AMERICA LLC"</f>
        <v>ERAIN CAPITAL NORTH AMERICA LLC</v>
      </c>
      <c r="C4011" s="1" t="str">
        <f>"SAWMILL STATION CONDO PH II UNIT 2944 BLDG 7"</f>
        <v>SAWMILL STATION CONDO PH II UNIT 2944 BLDG 7</v>
      </c>
      <c r="D4011" s="1">
        <v>1158.28</v>
      </c>
    </row>
    <row r="4012" spans="1:4" x14ac:dyDescent="0.3">
      <c r="A4012" s="1" t="str">
        <f>"59019600800"</f>
        <v>59019600800</v>
      </c>
      <c r="B4012" s="1" t="str">
        <f>"ERAIN CAPITAL NORTH AMERICA LLC"</f>
        <v>ERAIN CAPITAL NORTH AMERICA LLC</v>
      </c>
      <c r="C4012" s="1" t="str">
        <f>"SAWMILL STATION CONDO PH II UNIT 2946 BLDG 7"</f>
        <v>SAWMILL STATION CONDO PH II UNIT 2946 BLDG 7</v>
      </c>
      <c r="D4012" s="1">
        <v>1158.28</v>
      </c>
    </row>
    <row r="4013" spans="1:4" x14ac:dyDescent="0.3">
      <c r="A4013" s="1" t="str">
        <f>"59019600900"</f>
        <v>59019600900</v>
      </c>
      <c r="B4013" s="1" t="str">
        <f>"ERAIN CAPITAL NORTH AMERICA LLC"</f>
        <v>ERAIN CAPITAL NORTH AMERICA LLC</v>
      </c>
      <c r="C4013" s="1" t="str">
        <f>"SAWMILL STATION CONDO PH II UNIT 2948 BLDG 7"</f>
        <v>SAWMILL STATION CONDO PH II UNIT 2948 BLDG 7</v>
      </c>
      <c r="D4013" s="1">
        <v>1158.28</v>
      </c>
    </row>
    <row r="4014" spans="1:4" x14ac:dyDescent="0.3">
      <c r="A4014" s="1" t="str">
        <f>"01007675500"</f>
        <v>01007675500</v>
      </c>
      <c r="B4014" s="1" t="str">
        <f>"ERAZO AYALA ROMULO FRANCISCO"</f>
        <v>ERAZO AYALA ROMULO FRANCISCO</v>
      </c>
      <c r="C4014" s="1" t="str">
        <f>"26,THAVE HOMESTEAD HEIGHTS 2 LOT 187"</f>
        <v>26,THAVE HOMESTEAD HEIGHTS 2 LOT 187</v>
      </c>
      <c r="D4014" s="1">
        <v>85.85</v>
      </c>
    </row>
    <row r="4015" spans="1:4" x14ac:dyDescent="0.3">
      <c r="A4015" s="1" t="str">
        <f>"01006802300"</f>
        <v>01006802300</v>
      </c>
      <c r="B4015" s="1" t="str">
        <f>"ERAZO ORTEGA NURI DEYANIRA"</f>
        <v>ERAZO ORTEGA NURI DEYANIRA</v>
      </c>
      <c r="C4015" s="1" t="str">
        <f>"554 HILLTONIA AVE HILLTONIAANNEXBLK10 LOT 16"</f>
        <v>554 HILLTONIA AVE HILLTONIAANNEXBLK10 LOT 16</v>
      </c>
      <c r="D4015" s="1">
        <v>2344.5100000000002</v>
      </c>
    </row>
    <row r="4016" spans="1:4" x14ac:dyDescent="0.3">
      <c r="A4016" s="1" t="str">
        <f>"01004451400"</f>
        <v>01004451400</v>
      </c>
      <c r="B4016" s="1" t="str">
        <f>"ERAZO ROMULO"</f>
        <v>ERAZO ROMULO</v>
      </c>
      <c r="C4016" s="1" t="str">
        <f>"881 13TH AVE SCHNEIDERS 12TH AVE LOT 49"</f>
        <v>881 13TH AVE SCHNEIDERS 12TH AVE LOT 49</v>
      </c>
      <c r="D4016" s="1">
        <v>53.03</v>
      </c>
    </row>
    <row r="4017" spans="1:4" x14ac:dyDescent="0.3">
      <c r="A4017" s="1" t="str">
        <f>"01016376400"</f>
        <v>01016376400</v>
      </c>
      <c r="B4017" s="1" t="str">
        <f>"ERAZO ROMULO"</f>
        <v>ERAZO ROMULO</v>
      </c>
      <c r="C4017" s="1" t="str">
        <f>"KIMBERLY VILLAS CONDO PHASE V BLDG 41 UNIT C"</f>
        <v>KIMBERLY VILLAS CONDO PHASE V BLDG 41 UNIT C</v>
      </c>
      <c r="D4017" s="1">
        <v>59.09</v>
      </c>
    </row>
    <row r="4018" spans="1:4" x14ac:dyDescent="0.3">
      <c r="A4018" s="1" t="str">
        <f>"01007941700"</f>
        <v>01007941700</v>
      </c>
      <c r="B4018" s="1" t="str">
        <f>"ERAZO ROMULO F"</f>
        <v>ERAZO ROMULO F</v>
      </c>
      <c r="C4018" s="1" t="str">
        <f>"23RD AVE 37 25 FT W S LINMOOR LOT 118"</f>
        <v>23RD AVE 37 25 FT W S LINMOOR LOT 118</v>
      </c>
      <c r="D4018" s="1">
        <v>114.26</v>
      </c>
    </row>
    <row r="4019" spans="1:4" x14ac:dyDescent="0.3">
      <c r="A4019" s="1" t="str">
        <f>"01007675600"</f>
        <v>01007675600</v>
      </c>
      <c r="B4019" s="1" t="str">
        <f>"ERAZO ROMULO F"</f>
        <v>ERAZO ROMULO F</v>
      </c>
      <c r="C4019" s="1" t="str">
        <f>"26TH AVE HOMESTEAD HEIGHTS 2 LOT 188"</f>
        <v>26TH AVE HOMESTEAD HEIGHTS 2 LOT 188</v>
      </c>
      <c r="D4019" s="1">
        <v>62.04</v>
      </c>
    </row>
    <row r="4020" spans="1:4" x14ac:dyDescent="0.3">
      <c r="A4020" s="1" t="str">
        <f>"24000591700"</f>
        <v>24000591700</v>
      </c>
      <c r="B4020" s="1" t="str">
        <f>"ERAZO ROMULO F"</f>
        <v>ERAZO ROMULO F</v>
      </c>
      <c r="C4020" s="1" t="str">
        <f>"GLENFORD VILL CONDMN UNIT 7-3E "</f>
        <v xml:space="preserve">GLENFORD VILL CONDMN UNIT 7-3E </v>
      </c>
      <c r="D4020" s="1">
        <v>44.46</v>
      </c>
    </row>
    <row r="4021" spans="1:4" x14ac:dyDescent="0.3">
      <c r="A4021" s="1" t="str">
        <f>"51016037300"</f>
        <v>51016037300</v>
      </c>
      <c r="B4021" s="1" t="str">
        <f>"ERB EQUITY LLC"</f>
        <v>ERB EQUITY LLC</v>
      </c>
      <c r="C4021" s="1" t="str">
        <f>"788 BREATHITT AVE SOUTHERN PINES SEC 9 LOT 1050"</f>
        <v>788 BREATHITT AVE SOUTHERN PINES SEC 9 LOT 1050</v>
      </c>
      <c r="D4021" s="1">
        <v>1168.83</v>
      </c>
    </row>
    <row r="4022" spans="1:4" x14ac:dyDescent="0.3">
      <c r="A4022" s="1" t="str">
        <f>"51011483500"</f>
        <v>51011483500</v>
      </c>
      <c r="B4022" s="1" t="str">
        <f>"ERB EQUITY LLC"</f>
        <v>ERB EQUITY LLC</v>
      </c>
      <c r="C4022" s="1" t="str">
        <f>"866 OBETZ RD .1586 ACRE R22 T4 S15"</f>
        <v>866 OBETZ RD .1586 ACRE R22 T4 S15</v>
      </c>
      <c r="D4022" s="1">
        <v>1262.6400000000001</v>
      </c>
    </row>
    <row r="4023" spans="1:4" x14ac:dyDescent="0.3">
      <c r="A4023" s="1" t="str">
        <f>"51014604500"</f>
        <v>51014604500</v>
      </c>
      <c r="B4023" s="1" t="str">
        <f>"ERB EQUITY LLC"</f>
        <v>ERB EQUITY LLC</v>
      </c>
      <c r="C4023" s="1" t="str">
        <f>"3790 HIGBEE DR E SOUTHERN PINES SEC 8 LOT 564"</f>
        <v>3790 HIGBEE DR E SOUTHERN PINES SEC 8 LOT 564</v>
      </c>
      <c r="D4023" s="1">
        <v>1075.8900000000001</v>
      </c>
    </row>
    <row r="4024" spans="1:4" x14ac:dyDescent="0.3">
      <c r="A4024" s="1" t="str">
        <f>"51022733100"</f>
        <v>51022733100</v>
      </c>
      <c r="B4024" s="1" t="str">
        <f>"ERB EQUITY LLC"</f>
        <v>ERB EQUITY LLC</v>
      </c>
      <c r="C4024" s="1" t="str">
        <f>"LAVENDER LANE HAMILTON HEIGHTS SECTION 1 LOT 11"</f>
        <v>LAVENDER LANE HAMILTON HEIGHTS SECTION 1 LOT 11</v>
      </c>
      <c r="D4024" s="1">
        <v>1437.26</v>
      </c>
    </row>
    <row r="4025" spans="1:4" x14ac:dyDescent="0.3">
      <c r="A4025" s="1" t="str">
        <f>"10000321500"</f>
        <v>10000321500</v>
      </c>
      <c r="B4025" s="1" t="str">
        <f>"ERICKSON PETER J, ERICKSON TAMI L"</f>
        <v>ERICKSON PETER J, ERICKSON TAMI L</v>
      </c>
      <c r="C4025" s="1" t="str">
        <f>"281 NEW ENGLAND AVE KILBOURNE VILLAGE 2 LOT 123"</f>
        <v>281 NEW ENGLAND AVE KILBOURNE VILLAGE 2 LOT 123</v>
      </c>
      <c r="D4025" s="1">
        <v>5225.8900000000003</v>
      </c>
    </row>
    <row r="4026" spans="1:4" x14ac:dyDescent="0.3">
      <c r="A4026" s="1" t="str">
        <f>"01028798200"</f>
        <v>01028798200</v>
      </c>
      <c r="B4026" s="1" t="str">
        <f>"ERICKSON TODD A"</f>
        <v>ERICKSON TODD A</v>
      </c>
      <c r="C4026" s="1" t="str">
        <f>"THE FALLS AT HAYDEN RUN   CONDO 13TH AMD BLDG 63    UNIT 63-5352             "</f>
        <v xml:space="preserve">THE FALLS AT HAYDEN RUN   CONDO 13TH AMD BLDG 63    UNIT 63-5352             </v>
      </c>
      <c r="D4026" s="1">
        <v>11</v>
      </c>
    </row>
    <row r="4027" spans="1:4" x14ac:dyDescent="0.3">
      <c r="A4027" s="1" t="str">
        <f>"56022918900"</f>
        <v>56022918900</v>
      </c>
      <c r="B4027" s="1" t="str">
        <f>"ERIKA ACOSTA"</f>
        <v>ERIKA ACOSTA</v>
      </c>
      <c r="C4027" s="1" t="str">
        <f>"HILLIARD COMMONS CONDOMINIUM 4TH AMD UNIT 144D"</f>
        <v>HILLIARD COMMONS CONDOMINIUM 4TH AMD UNIT 144D</v>
      </c>
      <c r="D4027" s="1">
        <v>152.29</v>
      </c>
    </row>
    <row r="4028" spans="1:4" x14ac:dyDescent="0.3">
      <c r="A4028" s="1" t="str">
        <f>"61019328800"</f>
        <v>61019328800</v>
      </c>
      <c r="B4028" s="1" t="str">
        <f>"EROSSY ILONA SIMON"</f>
        <v>EROSSY ILONA SIMON</v>
      </c>
      <c r="C4028" s="1" t="str">
        <f>"STONEFORD DR RESUB PT SUMMERWD 2 LOT 319"</f>
        <v>STONEFORD DR RESUB PT SUMMERWD 2 LOT 319</v>
      </c>
      <c r="D4028" s="1">
        <v>214.11</v>
      </c>
    </row>
    <row r="4029" spans="1:4" x14ac:dyDescent="0.3">
      <c r="A4029" s="1" t="str">
        <f>"16100011000"</f>
        <v>16100011000</v>
      </c>
      <c r="B4029" s="1" t="str">
        <f>"ERVIN BESSIE, WALLACE DOLLY"</f>
        <v>ERVIN BESSIE, WALLACE DOLLY</v>
      </c>
      <c r="C4029" s="1" t="str">
        <f>"1ST AVE URBANCREST BLK 18 LOTS 53-54"</f>
        <v>1ST AVE URBANCREST BLK 18 LOTS 53-54</v>
      </c>
      <c r="D4029" s="1">
        <v>78.06</v>
      </c>
    </row>
    <row r="4030" spans="1:4" x14ac:dyDescent="0.3">
      <c r="A4030" s="1" t="str">
        <f>"10000537400"</f>
        <v>10000537400</v>
      </c>
      <c r="B4030" s="1" t="str">
        <f>"ERVIN DALE A"</f>
        <v>ERVIN DALE A</v>
      </c>
      <c r="C4030" s="1" t="str">
        <f>"125 ST MICHELLE DR VILLE CHARMANTE COND UNIT 35-A"</f>
        <v>125 ST MICHELLE DR VILLE CHARMANTE COND UNIT 35-A</v>
      </c>
      <c r="D4030" s="1">
        <v>341.55</v>
      </c>
    </row>
    <row r="4031" spans="1:4" x14ac:dyDescent="0.3">
      <c r="A4031" s="1" t="str">
        <f>"57016575300"</f>
        <v>57016575300</v>
      </c>
      <c r="B4031" s="1" t="str">
        <f>"ERVIN DARRELL, JOHNSON MARYANN"</f>
        <v>ERVIN DARRELL, JOHNSON MARYANN</v>
      </c>
      <c r="C4031" s="1" t="str">
        <f>"WESTBURY VILLAGE CONDOMINIUM NO 1 UNIT 22-B"</f>
        <v>WESTBURY VILLAGE CONDOMINIUM NO 1 UNIT 22-B</v>
      </c>
      <c r="D4031" s="1">
        <v>890.07</v>
      </c>
    </row>
    <row r="4032" spans="1:4" x14ac:dyDescent="0.3">
      <c r="A4032" s="1" t="str">
        <f>"08001096900"</f>
        <v>08001096900</v>
      </c>
      <c r="B4032" s="1" t="str">
        <f>"ESCAPE GLENN S, ESCAPE GIRLIE T"</f>
        <v>ESCAPE GLENN S, ESCAPE GIRLIE T</v>
      </c>
      <c r="C4032" s="1" t="str">
        <f>"HAMPTON PARK HAMPTON SECTION 1 LOT 5"</f>
        <v>HAMPTON PARK HAMPTON SECTION 1 LOT 5</v>
      </c>
      <c r="D4032" s="1">
        <v>1845.1</v>
      </c>
    </row>
    <row r="4033" spans="1:4" x14ac:dyDescent="0.3">
      <c r="A4033" s="1" t="str">
        <f>"01017341600"</f>
        <v>01017341600</v>
      </c>
      <c r="B4033" s="1" t="str">
        <f>"ESE ABDIJABAR MOHAMED"</f>
        <v>ESE ABDIJABAR MOHAMED</v>
      </c>
      <c r="C4033" s="1" t="str">
        <f>"STONEHENGE CONDOMINIUM BLDG 19 UNIT 2854"</f>
        <v>STONEHENGE CONDOMINIUM BLDG 19 UNIT 2854</v>
      </c>
      <c r="D4033" s="1">
        <v>84.51</v>
      </c>
    </row>
    <row r="4034" spans="1:4" x14ac:dyDescent="0.3">
      <c r="A4034" s="1" t="str">
        <f>"59018183600"</f>
        <v>59018183600</v>
      </c>
      <c r="B4034" s="1" t="str">
        <f>"ESMOND JOHN E, ESMOND LISA R"</f>
        <v>ESMOND JOHN E, ESMOND LISA R</v>
      </c>
      <c r="C4034" s="1" t="str">
        <f>"EMBERWOOD RD RIVERSIDE GREEN S 2 LOT 146"</f>
        <v>EMBERWOOD RD RIVERSIDE GREEN S 2 LOT 146</v>
      </c>
      <c r="D4034" s="1">
        <v>1980</v>
      </c>
    </row>
    <row r="4035" spans="1:4" x14ac:dyDescent="0.3">
      <c r="A4035" s="1" t="str">
        <f>"06000594700"</f>
        <v>06000594700</v>
      </c>
      <c r="B4035" s="1" t="str">
        <f>"ESPINAL HYPATIA, ESPINAL ALBERTO"</f>
        <v>ESPINAL HYPATIA, ESPINAL ALBERTO</v>
      </c>
      <c r="C4035" s="1" t="str">
        <f>"WOODLOW DR TIMBER CREEK LOT 80"</f>
        <v>WOODLOW DR TIMBER CREEK LOT 80</v>
      </c>
      <c r="D4035" s="1">
        <v>2769.02</v>
      </c>
    </row>
    <row r="4036" spans="1:4" x14ac:dyDescent="0.3">
      <c r="A4036" s="1" t="str">
        <f>"01007484100"</f>
        <v>01007484100</v>
      </c>
      <c r="B4036" s="1" t="str">
        <f>"ESPINO MADRID KEVIN A, SANDOVAL ANA LILIA"</f>
        <v>ESPINO MADRID KEVIN A, SANDOVAL ANA LILIA</v>
      </c>
      <c r="C4036" s="1" t="str">
        <f>"HAMILTON AVE GRASMERE GARDENS LOT 75"</f>
        <v>HAMILTON AVE GRASMERE GARDENS LOT 75</v>
      </c>
      <c r="D4036" s="1">
        <v>1392.45</v>
      </c>
    </row>
    <row r="4037" spans="1:4" x14ac:dyDescent="0.3">
      <c r="A4037" s="1" t="str">
        <f>"01001338000"</f>
        <v>01001338000</v>
      </c>
      <c r="B4037" s="1" t="str">
        <f>"ESQ HOLDINGS LIMITED"</f>
        <v>ESQ HOLDINGS LIMITED</v>
      </c>
      <c r="C4037" s="1" t="str">
        <f>"120 PRINCETON AVE WEST PARK LOT 791"</f>
        <v>120 PRINCETON AVE WEST PARK LOT 791</v>
      </c>
      <c r="D4037" s="1">
        <v>2341.84</v>
      </c>
    </row>
    <row r="4038" spans="1:4" x14ac:dyDescent="0.3">
      <c r="A4038" s="1" t="str">
        <f>"01000223400"</f>
        <v>01000223400</v>
      </c>
      <c r="B4038" s="1" t="str">
        <f>"ESQ HOLDINGS LIMITED"</f>
        <v>ESQ HOLDINGS LIMITED</v>
      </c>
      <c r="C4038" s="1" t="str">
        <f>"681 OHIO AVE WILLIAMS OHIO AVE LOT 26"</f>
        <v>681 OHIO AVE WILLIAMS OHIO AVE LOT 26</v>
      </c>
      <c r="D4038" s="1">
        <v>4496.57</v>
      </c>
    </row>
    <row r="4039" spans="1:4" x14ac:dyDescent="0.3">
      <c r="A4039" s="1" t="str">
        <f>"01005928200"</f>
        <v>01005928200</v>
      </c>
      <c r="B4039" s="1" t="str">
        <f>"ESSANBATI YOUNES, BAMHAOUD MANAL"</f>
        <v>ESSANBATI YOUNES, BAMHAOUD MANAL</v>
      </c>
      <c r="C4039" s="1" t="str">
        <f>"2787 WESTERVILLE RD ELM DALE LOT 58-9"</f>
        <v>2787 WESTERVILLE RD ELM DALE LOT 58-9</v>
      </c>
      <c r="D4039" s="1">
        <v>27.93</v>
      </c>
    </row>
    <row r="4040" spans="1:4" x14ac:dyDescent="0.3">
      <c r="A4040" s="1" t="str">
        <f>"01020426800"</f>
        <v>01020426800</v>
      </c>
      <c r="B4040" s="1" t="str">
        <f>"ESSANBATI YOUNES, BAMHAOUD MANAL"</f>
        <v>ESSANBATI YOUNES, BAMHAOUD MANAL</v>
      </c>
      <c r="C4040" s="1" t="str">
        <f>"WESTERVILLE RD ELM DALE ADDN PT LOT 60"</f>
        <v>WESTERVILLE RD ELM DALE ADDN PT LOT 60</v>
      </c>
      <c r="D4040" s="1">
        <v>121.73</v>
      </c>
    </row>
    <row r="4041" spans="1:4" x14ac:dyDescent="0.3">
      <c r="A4041" s="1" t="str">
        <f>"27301322600"</f>
        <v>27301322600</v>
      </c>
      <c r="B4041" s="1" t="str">
        <f>"ESSIG ELIZABETH W, ESSIG GREG"</f>
        <v>ESSIG ELIZABETH W, ESSIG GREG</v>
      </c>
      <c r="C4041" s="1" t="str">
        <f>"BELLAIRE AVE DUBLIN EST 2 PT LOT 22 (0.624 ACRE)"</f>
        <v>BELLAIRE AVE DUBLIN EST 2 PT LOT 22 (0.624 ACRE)</v>
      </c>
      <c r="D4041" s="1">
        <v>1628.76</v>
      </c>
    </row>
    <row r="4042" spans="1:4" x14ac:dyDescent="0.3">
      <c r="A4042" s="1" t="str">
        <f>"27301322700"</f>
        <v>27301322700</v>
      </c>
      <c r="B4042" s="1" t="str">
        <f>"ESSIG ELIZABETH W, ESSIG GREG"</f>
        <v>ESSIG ELIZABETH W, ESSIG GREG</v>
      </c>
      <c r="C4042" s="1" t="str">
        <f>"BELLAIRE AVE DUBLIN EST 2 PT LOT 23 (0.991 ACRE)"</f>
        <v>BELLAIRE AVE DUBLIN EST 2 PT LOT 23 (0.991 ACRE)</v>
      </c>
      <c r="D4042" s="1">
        <v>2586.71</v>
      </c>
    </row>
    <row r="4043" spans="1:4" x14ac:dyDescent="0.3">
      <c r="A4043" s="1" t="str">
        <f>"20000054000"</f>
        <v>20000054000</v>
      </c>
      <c r="B4043" s="1" t="str">
        <f>"ESSIG GREGORY H TR"</f>
        <v>ESSIG GREGORY H TR</v>
      </c>
      <c r="C4043" s="1" t="str">
        <f>"DUBLIN RD ENTRY 1406 ACRES 3.241 TRACT 7 URP"</f>
        <v>DUBLIN RD ENTRY 1406 ACRES 3.241 TRACT 7 URP</v>
      </c>
      <c r="D4043" s="1">
        <v>23776.52</v>
      </c>
    </row>
    <row r="4044" spans="1:4" x14ac:dyDescent="0.3">
      <c r="A4044" s="1" t="str">
        <f>"15000028800"</f>
        <v>15000028800</v>
      </c>
      <c r="B4044" s="1" t="str">
        <f>"ESSIG WAYNE H"</f>
        <v>ESSIG WAYNE H</v>
      </c>
      <c r="C4044" s="1" t="str">
        <f>"ROANOKE AVE WALNUT HTS 108-9-10"</f>
        <v>ROANOKE AVE WALNUT HTS 108-9-10</v>
      </c>
      <c r="D4044" s="1">
        <v>6535.94</v>
      </c>
    </row>
    <row r="4045" spans="1:4" x14ac:dyDescent="0.3">
      <c r="A4045" s="1" t="str">
        <f>"08000716700"</f>
        <v>08000716700</v>
      </c>
      <c r="B4045" s="1" t="str">
        <f>"ESTABROOK JAMES K, JONES DORTHY A"</f>
        <v>ESTABROOK JAMES K, JONES DORTHY A</v>
      </c>
      <c r="C4045" s="1" t="str">
        <f>"159 KEETHLER DR S SPRING GROVE #3 SEC2 LOT 442"</f>
        <v>159 KEETHLER DR S SPRING GROVE #3 SEC2 LOT 442</v>
      </c>
      <c r="D4045" s="1">
        <v>389.73</v>
      </c>
    </row>
    <row r="4046" spans="1:4" x14ac:dyDescent="0.3">
      <c r="A4046" s="1" t="str">
        <f>"16000303700"</f>
        <v>16000303700</v>
      </c>
      <c r="B4046" s="1" t="str">
        <f>"ESTADT PATRICIA B"</f>
        <v>ESTADT PATRICIA B</v>
      </c>
      <c r="C4046" s="1" t="str">
        <f>"BORROR RD ENTRY 6115 2.146 ACRES"</f>
        <v>BORROR RD ENTRY 6115 2.146 ACRES</v>
      </c>
      <c r="D4046" s="1">
        <v>499.32</v>
      </c>
    </row>
    <row r="4047" spans="1:4" x14ac:dyDescent="0.3">
      <c r="A4047" s="1" t="str">
        <f>"18000499300"</f>
        <v>18000499300</v>
      </c>
      <c r="B4047" s="1" t="str">
        <f>"ESTE CORP"</f>
        <v>ESTE CORP</v>
      </c>
      <c r="C4047" s="1" t="str">
        <f>"HAMILTON RD. R21 T11 S4 3.706 ACRES"</f>
        <v>HAMILTON RD. R21 T11 S4 3.706 ACRES</v>
      </c>
      <c r="D4047" s="1">
        <v>8925.52</v>
      </c>
    </row>
    <row r="4048" spans="1:4" x14ac:dyDescent="0.3">
      <c r="A4048" s="1" t="str">
        <f>"18000285400"</f>
        <v>18000285400</v>
      </c>
      <c r="B4048" s="1" t="str">
        <f>"ESTE CORP"</f>
        <v>ESTE CORP</v>
      </c>
      <c r="C4048" s="1" t="str">
        <f>"HABOR BLVD BLACKLICK ESTATES 4 LOTS 44-47 &amp; 1.641 ACRES"</f>
        <v>HABOR BLVD BLACKLICK ESTATES 4 LOTS 44-47 &amp; 1.641 ACRES</v>
      </c>
      <c r="D4048" s="1">
        <v>13186.72</v>
      </c>
    </row>
    <row r="4049" spans="1:4" x14ac:dyDescent="0.3">
      <c r="A4049" s="1" t="str">
        <f>"59018233900"</f>
        <v>59018233900</v>
      </c>
      <c r="B4049" s="1" t="str">
        <f>"ESTELL WILLIAM E, ESTELL CAROL A"</f>
        <v>ESTELL WILLIAM E, ESTELL CAROL A</v>
      </c>
      <c r="C4049" s="1" t="str">
        <f>"MAPLELEAF CT BROOKSIDE COLONY LOT 73"</f>
        <v>MAPLELEAF CT BROOKSIDE COLONY LOT 73</v>
      </c>
      <c r="D4049" s="1">
        <v>352.3</v>
      </c>
    </row>
    <row r="4050" spans="1:4" x14ac:dyDescent="0.3">
      <c r="A4050" s="1" t="str">
        <f>"01016121500"</f>
        <v>01016121500</v>
      </c>
      <c r="B4050" s="1" t="str">
        <f>"ESTEP TOMIKA"</f>
        <v>ESTEP TOMIKA</v>
      </c>
      <c r="C4050" s="1" t="str">
        <f>"WOODBROOK LANE WOODBROOK VILLAGE CONDO UNIT 249"</f>
        <v>WOODBROOK LANE WOODBROOK VILLAGE CONDO UNIT 249</v>
      </c>
      <c r="D4050" s="1">
        <v>63.66</v>
      </c>
    </row>
    <row r="4051" spans="1:4" x14ac:dyDescent="0.3">
      <c r="A4051" s="1" t="str">
        <f>"21300164900"</f>
        <v>21300164900</v>
      </c>
      <c r="B4051" s="1" t="str">
        <f>"ESTES DANIEL J, ESTES CAROL A"</f>
        <v>ESTES DANIEL J, ESTES CAROL A</v>
      </c>
      <c r="C4051" s="1" t="str">
        <f>"MCVEY BLVD BROOKSIDE ESTATES 5 LOT 78"</f>
        <v>MCVEY BLVD BROOKSIDE ESTATES 5 LOT 78</v>
      </c>
      <c r="D4051" s="1">
        <v>479.6</v>
      </c>
    </row>
    <row r="4052" spans="1:4" x14ac:dyDescent="0.3">
      <c r="A4052" s="1" t="str">
        <f>"01010810200"</f>
        <v>01010810200</v>
      </c>
      <c r="B4052" s="1" t="str">
        <f>"ESTES JOYCE H"</f>
        <v>ESTES JOYCE H</v>
      </c>
      <c r="C4052" s="1" t="str">
        <f>"KELTON AVE DESHLER PARK LOT 49"</f>
        <v>KELTON AVE DESHLER PARK LOT 49</v>
      </c>
      <c r="D4052" s="1">
        <v>1237.51</v>
      </c>
    </row>
    <row r="4053" spans="1:4" x14ac:dyDescent="0.3">
      <c r="A4053" s="1" t="str">
        <f>"01000473100"</f>
        <v>01000473100</v>
      </c>
      <c r="B4053" s="1" t="str">
        <f>"ESTHEIMER CHERYL A"</f>
        <v>ESTHEIMER CHERYL A</v>
      </c>
      <c r="C4053" s="1" t="str">
        <f>"88 N TERRACE AVE DB ONG ET AL LOT 26"</f>
        <v>88 N TERRACE AVE DB ONG ET AL LOT 26</v>
      </c>
      <c r="D4053" s="1">
        <v>825.01</v>
      </c>
    </row>
    <row r="4054" spans="1:4" x14ac:dyDescent="0.3">
      <c r="A4054" s="1" t="str">
        <f>"02500440100"</f>
        <v>02500440100</v>
      </c>
      <c r="B4054" s="1" t="str">
        <f>"ESTICE LAWRENCE M, ESTICE JOANN"</f>
        <v>ESTICE LAWRENCE M, ESTICE JOANN</v>
      </c>
      <c r="C4054" s="1" t="str">
        <f>"3731 STYGLER RD .459 ACRE "</f>
        <v xml:space="preserve">3731 STYGLER RD .459 ACRE </v>
      </c>
      <c r="D4054" s="1">
        <v>3832.7</v>
      </c>
    </row>
    <row r="4055" spans="1:4" x14ac:dyDescent="0.3">
      <c r="A4055" s="1" t="str">
        <f>"08000062000"</f>
        <v>08000062000</v>
      </c>
      <c r="B4055" s="1" t="str">
        <f>"ESTRELLA DE ESPERANZA LTD"</f>
        <v>ESTRELLA DE ESPERANZA LTD</v>
      </c>
      <c r="C4055" s="1" t="str">
        <f>"208 E COLLEGE AVE WHITEHEAD AMD SUB 3 &amp; PT LOTS 5-6"</f>
        <v>208 E COLLEGE AVE WHITEHEAD AMD SUB 3 &amp; PT LOTS 5-6</v>
      </c>
      <c r="D4055" s="1">
        <v>6779.45</v>
      </c>
    </row>
    <row r="4056" spans="1:4" x14ac:dyDescent="0.3">
      <c r="A4056" s="1" t="str">
        <f>"01013788000"</f>
        <v>01013788000</v>
      </c>
      <c r="B4056" s="1" t="str">
        <f>"ETG HOLDINGS LLC"</f>
        <v>ETG HOLDINGS LLC</v>
      </c>
      <c r="C4056" s="1" t="str">
        <f>"KILDALE CT DEVONSHIRE 4 LOT 462"</f>
        <v>KILDALE CT DEVONSHIRE 4 LOT 462</v>
      </c>
      <c r="D4056" s="1">
        <v>188.44</v>
      </c>
    </row>
    <row r="4057" spans="1:4" x14ac:dyDescent="0.3">
      <c r="A4057" s="1" t="str">
        <f>"01002439500"</f>
        <v>01002439500</v>
      </c>
      <c r="B4057" s="1" t="str">
        <f>"ETHICAL EQUITY LLC"</f>
        <v>ETHICAL EQUITY LLC</v>
      </c>
      <c r="C4057" s="1" t="str">
        <f>"1349 E BROAD ST PUGH LOT 2"</f>
        <v>1349 E BROAD ST PUGH LOT 2</v>
      </c>
      <c r="D4057" s="1">
        <v>18764.48</v>
      </c>
    </row>
    <row r="4058" spans="1:4" x14ac:dyDescent="0.3">
      <c r="A4058" s="1" t="str">
        <f>"01001259100"</f>
        <v>01001259100</v>
      </c>
      <c r="B4058" s="1" t="str">
        <f>"EUBANKS ROBERT"</f>
        <v>EUBANKS ROBERT</v>
      </c>
      <c r="C4058" s="1" t="str">
        <f>"936 N NELSON RD HEFFNER M C LOT 2-3-4  .251 ACS"</f>
        <v>936 N NELSON RD HEFFNER M C LOT 2-3-4  .251 ACS</v>
      </c>
      <c r="D4058" s="1">
        <v>1742.96</v>
      </c>
    </row>
    <row r="4059" spans="1:4" x14ac:dyDescent="0.3">
      <c r="A4059" s="1" t="str">
        <f>"01011891500"</f>
        <v>01011891500</v>
      </c>
      <c r="B4059" s="1" t="str">
        <f>"EUBANKS ROBERT"</f>
        <v>EUBANKS ROBERT</v>
      </c>
      <c r="C4059" s="1" t="str">
        <f>"LIV-MOOR DR LIV MOOR HTS 4 LOT 25"</f>
        <v>LIV-MOOR DR LIV MOOR HTS 4 LOT 25</v>
      </c>
      <c r="D4059" s="1">
        <v>1414.3</v>
      </c>
    </row>
    <row r="4060" spans="1:4" x14ac:dyDescent="0.3">
      <c r="A4060" s="1" t="str">
        <f>"01012813900"</f>
        <v>01012813900</v>
      </c>
      <c r="B4060" s="1" t="str">
        <f>"EUBANKS ROBERT A"</f>
        <v>EUBANKS ROBERT A</v>
      </c>
      <c r="C4060" s="1" t="str">
        <f>"LANGFIRLD DR BERWYN LOT 265"</f>
        <v>LANGFIRLD DR BERWYN LOT 265</v>
      </c>
      <c r="D4060" s="1">
        <v>1386.83</v>
      </c>
    </row>
    <row r="4061" spans="1:4" x14ac:dyDescent="0.3">
      <c r="A4061" s="1" t="str">
        <f>"06000542400"</f>
        <v>06000542400</v>
      </c>
      <c r="B4061" s="1" t="str">
        <f>"EUBANKS ROBERT A, EUBANKS SANDRA F"</f>
        <v>EUBANKS ROBERT A, EUBANKS SANDRA F</v>
      </c>
      <c r="C4061" s="1" t="str">
        <f>"RUGOSA AVENUE AMD SUB OF ROSE HILL LOT 547"</f>
        <v>RUGOSA AVENUE AMD SUB OF ROSE HILL LOT 547</v>
      </c>
      <c r="D4061" s="1">
        <v>5562.55</v>
      </c>
    </row>
    <row r="4062" spans="1:4" x14ac:dyDescent="0.3">
      <c r="A4062" s="1" t="str">
        <f>"01013159100"</f>
        <v>01013159100</v>
      </c>
      <c r="B4062" s="1" t="str">
        <f>"EUBANKS SHEILA"</f>
        <v>EUBANKS SHEILA</v>
      </c>
      <c r="C4062" s="1" t="str">
        <f>"RADCLIFF LOT 35 "</f>
        <v xml:space="preserve">RADCLIFF LOT 35 </v>
      </c>
      <c r="D4062" s="1">
        <v>1238.51</v>
      </c>
    </row>
    <row r="4063" spans="1:4" x14ac:dyDescent="0.3">
      <c r="A4063" s="1" t="str">
        <f>"55015616400"</f>
        <v>55015616400</v>
      </c>
      <c r="B4063" s="1" t="str">
        <f>"EUCEDA LUZ, NAVARRO EDUARDO CANELAS"</f>
        <v>EUCEDA LUZ, NAVARRO EDUARDO CANELAS</v>
      </c>
      <c r="C4063" s="1" t="str">
        <f>"MANOR DRIVE IDLEWILD MANOR EXT LOT 24"</f>
        <v>MANOR DRIVE IDLEWILD MANOR EXT LOT 24</v>
      </c>
      <c r="D4063" s="1">
        <v>5080.8500000000004</v>
      </c>
    </row>
    <row r="4064" spans="1:4" x14ac:dyDescent="0.3">
      <c r="A4064" s="1" t="str">
        <f>"01011333000"</f>
        <v>01011333000</v>
      </c>
      <c r="B4064" s="1" t="str">
        <f>"EUCEDA PAINTING &amp; MORE LLC"</f>
        <v>EUCEDA PAINTING &amp; MORE LLC</v>
      </c>
      <c r="C4064" s="1" t="str">
        <f>"DERING AVE 17.5FT ES S HIGH ST LOT 113"</f>
        <v>DERING AVE 17.5FT ES S HIGH ST LOT 113</v>
      </c>
      <c r="D4064" s="1">
        <v>221.39</v>
      </c>
    </row>
    <row r="4065" spans="1:4" x14ac:dyDescent="0.3">
      <c r="A4065" s="1" t="str">
        <f>"01011333100"</f>
        <v>01011333100</v>
      </c>
      <c r="B4065" s="1" t="str">
        <f>"EUCEDA PAINTING &amp; MORE LLC"</f>
        <v>EUCEDA PAINTING &amp; MORE LLC</v>
      </c>
      <c r="C4065" s="1" t="str">
        <f>"DERING AVE S HIGH ST LOT 114"</f>
        <v>DERING AVE S HIGH ST LOT 114</v>
      </c>
      <c r="D4065" s="1">
        <v>2527.86</v>
      </c>
    </row>
    <row r="4066" spans="1:4" x14ac:dyDescent="0.3">
      <c r="A4066" s="1" t="str">
        <f>"01001350100"</f>
        <v>01001350100</v>
      </c>
      <c r="B4066" s="1" t="str">
        <f>"EUCEDA PAINTING &amp; MORE LLC"</f>
        <v>EUCEDA PAINTING &amp; MORE LLC</v>
      </c>
      <c r="C4066" s="1" t="str">
        <f>"200 WILLIAMS RD HOME ACRES 65'WS LOT 85"</f>
        <v>200 WILLIAMS RD HOME ACRES 65'WS LOT 85</v>
      </c>
      <c r="D4066" s="1">
        <v>2592.63</v>
      </c>
    </row>
    <row r="4067" spans="1:4" x14ac:dyDescent="0.3">
      <c r="A4067" s="1" t="str">
        <f>"01011302800"</f>
        <v>01011302800</v>
      </c>
      <c r="B4067" s="1" t="str">
        <f>"EUCEDA RUEDA OSCAR ORLANDO"</f>
        <v>EUCEDA RUEDA OSCAR ORLANDO</v>
      </c>
      <c r="C4067" s="1" t="str">
        <f>"BENFIELD AVE SOUTH HIGH ST LOT 82"</f>
        <v>BENFIELD AVE SOUTH HIGH ST LOT 82</v>
      </c>
      <c r="D4067" s="1">
        <v>399.8</v>
      </c>
    </row>
    <row r="4068" spans="1:4" x14ac:dyDescent="0.3">
      <c r="A4068" s="1" t="str">
        <f>"23000093700"</f>
        <v>23000093700</v>
      </c>
      <c r="B4068" s="1" t="str">
        <f>"EVANICHKO STANLEY JR, EVANICHKO NANCY"</f>
        <v>EVANICHKO STANLEY JR, EVANICHKO NANCY</v>
      </c>
      <c r="C4068" s="1" t="str">
        <f>"HARRISBURG PIKE 6.724 ACRES ENTRY 6441-2596-97"</f>
        <v>HARRISBURG PIKE 6.724 ACRES ENTRY 6441-2596-97</v>
      </c>
      <c r="D4068" s="1">
        <v>13715.79</v>
      </c>
    </row>
    <row r="4069" spans="1:4" x14ac:dyDescent="0.3">
      <c r="A4069" s="1" t="str">
        <f>"02500338600"</f>
        <v>02500338600</v>
      </c>
      <c r="B4069" s="1" t="str">
        <f>"EVANS ALAN H, EVANS PATRICIA R"</f>
        <v>EVANS ALAN H, EVANS PATRICIA R</v>
      </c>
      <c r="C4069" s="1" t="str">
        <f>"478 FOXWOOD DRIVE BRENTWOOD ESTATES 3 320"</f>
        <v>478 FOXWOOD DRIVE BRENTWOOD ESTATES 3 320</v>
      </c>
      <c r="D4069" s="1">
        <v>2312.39</v>
      </c>
    </row>
    <row r="4070" spans="1:4" x14ac:dyDescent="0.3">
      <c r="A4070" s="1" t="str">
        <f>"01001891000"</f>
        <v>01001891000</v>
      </c>
      <c r="B4070" s="1" t="str">
        <f>"EVANS BRENDA J LE, TERRY JOSHUA RMDR"</f>
        <v>EVANS BRENDA J LE, TERRY JOSHUA RMDR</v>
      </c>
      <c r="C4070" s="1" t="str">
        <f>"497 MELROSE AVE INDIANOLA HIGHLANDS LOT 63"</f>
        <v>497 MELROSE AVE INDIANOLA HIGHLANDS LOT 63</v>
      </c>
      <c r="D4070" s="1">
        <v>2258.1999999999998</v>
      </c>
    </row>
    <row r="4071" spans="1:4" x14ac:dyDescent="0.3">
      <c r="A4071" s="1" t="str">
        <f>"23400005300"</f>
        <v>23400005300</v>
      </c>
      <c r="B4071" s="1" t="str">
        <f>"EVANS CAROLYN S"</f>
        <v>EVANS CAROLYN S</v>
      </c>
      <c r="C4071" s="1" t="str">
        <f>"HIGH ST 7FT NS OF26&amp; 10FT SS OF 27&amp;20FT ALLEY LOTS 26-27"</f>
        <v>HIGH ST 7FT NS OF26&amp; 10FT SS OF 27&amp;20FT ALLEY LOTS 26-27</v>
      </c>
      <c r="D4071" s="1">
        <v>996.19</v>
      </c>
    </row>
    <row r="4072" spans="1:4" x14ac:dyDescent="0.3">
      <c r="A4072" s="1" t="str">
        <f>"01005625500"</f>
        <v>01005625500</v>
      </c>
      <c r="B4072" s="1" t="str">
        <f>"EVANS CARPET JUNKYARD INC"</f>
        <v>EVANS CARPET JUNKYARD INC</v>
      </c>
      <c r="C4072" s="1" t="str">
        <f>"558 S CENTRAL AVE HAMILTON PLACE LOT 360-1EX 0.042 AC"</f>
        <v>558 S CENTRAL AVE HAMILTON PLACE LOT 360-1EX 0.042 AC</v>
      </c>
      <c r="D4072" s="1">
        <v>264.35000000000002</v>
      </c>
    </row>
    <row r="4073" spans="1:4" x14ac:dyDescent="0.3">
      <c r="A4073" s="1" t="str">
        <f>"01004567600"</f>
        <v>01004567600</v>
      </c>
      <c r="B4073" s="1" t="str">
        <f>"EVANS CARPET JUNKYARD INC"</f>
        <v>EVANS CARPET JUNKYARD INC</v>
      </c>
      <c r="C4073" s="1" t="str">
        <f>"1380 W MOUND ST HAMILTON PLACE LTS 351-8 EX 0.036 AC"</f>
        <v>1380 W MOUND ST HAMILTON PLACE LTS 351-8 EX 0.036 AC</v>
      </c>
      <c r="D4073" s="1">
        <v>4532.24</v>
      </c>
    </row>
    <row r="4074" spans="1:4" x14ac:dyDescent="0.3">
      <c r="A4074" s="1" t="str">
        <f>"01004495100"</f>
        <v>01004495100</v>
      </c>
      <c r="B4074" s="1" t="str">
        <f>"EVANS CARPET JUNKYARD INC"</f>
        <v>EVANS CARPET JUNKYARD INC</v>
      </c>
      <c r="C4074" s="1" t="str">
        <f>"554 S CENTRAL AVE HAMILTON-SULLIVANT LOT 30-362 EX 0.012 AC"</f>
        <v>554 S CENTRAL AVE HAMILTON-SULLIVANT LOT 30-362 EX 0.012 AC</v>
      </c>
      <c r="D4074" s="1">
        <v>303.12</v>
      </c>
    </row>
    <row r="4075" spans="1:4" x14ac:dyDescent="0.3">
      <c r="A4075" s="1" t="str">
        <f>"01001699100"</f>
        <v>01001699100</v>
      </c>
      <c r="B4075" s="1" t="str">
        <f>"EVANS CARPET JUNKYARD INC"</f>
        <v>EVANS CARPET JUNKYARD INC</v>
      </c>
      <c r="C4075" s="1" t="str">
        <f>"349-553 BREHL AVE HAMILTON PL LOTS 349-350 EX 0.021 AC"</f>
        <v>349-553 BREHL AVE HAMILTON PL LOTS 349-350 EX 0.021 AC</v>
      </c>
      <c r="D4075" s="1">
        <v>365.39</v>
      </c>
    </row>
    <row r="4076" spans="1:4" x14ac:dyDescent="0.3">
      <c r="A4076" s="1" t="str">
        <f>"01006914400"</f>
        <v>01006914400</v>
      </c>
      <c r="B4076" s="1" t="str">
        <f>"EVANS DAWN M"</f>
        <v>EVANS DAWN M</v>
      </c>
      <c r="C4076" s="1" t="str">
        <f>"BINNIS BLVD WILSHIRE HEIGHTS LOT 23 BLK 31"</f>
        <v>BINNIS BLVD WILSHIRE HEIGHTS LOT 23 BLK 31</v>
      </c>
      <c r="D4076" s="1">
        <v>1138.97</v>
      </c>
    </row>
    <row r="4077" spans="1:4" x14ac:dyDescent="0.3">
      <c r="A4077" s="1" t="str">
        <f>"01013708100"</f>
        <v>01013708100</v>
      </c>
      <c r="B4077" s="1" t="str">
        <f>"EVANS DOROTHY M"</f>
        <v>EVANS DOROTHY M</v>
      </c>
      <c r="C4077" s="1" t="str">
        <f>"ADELL RD HOLLY HILL 7 LOT 640"</f>
        <v>ADELL RD HOLLY HILL 7 LOT 640</v>
      </c>
      <c r="D4077" s="1">
        <v>1194.44</v>
      </c>
    </row>
    <row r="4078" spans="1:4" x14ac:dyDescent="0.3">
      <c r="A4078" s="1" t="str">
        <f>"11515843400"</f>
        <v>11515843400</v>
      </c>
      <c r="B4078" s="1" t="str">
        <f>"EVANS GEORGE J"</f>
        <v>EVANS GEORGE J</v>
      </c>
      <c r="C4078" s="1" t="str">
        <f>"3440 MORSE RD R17 T2 1/4T3 0.395 ACRE"</f>
        <v>3440 MORSE RD R17 T2 1/4T3 0.395 ACRE</v>
      </c>
      <c r="D4078" s="1">
        <v>55</v>
      </c>
    </row>
    <row r="4079" spans="1:4" x14ac:dyDescent="0.3">
      <c r="A4079" s="1" t="str">
        <f>"01013516200"</f>
        <v>01013516200</v>
      </c>
      <c r="B4079" s="1" t="str">
        <f>"EVANS IDA M"</f>
        <v>EVANS IDA M</v>
      </c>
      <c r="C4079" s="1" t="str">
        <f>"NICHOAAS AVE BROOKSHIRE SOUTH LOT 193"</f>
        <v>NICHOAAS AVE BROOKSHIRE SOUTH LOT 193</v>
      </c>
      <c r="D4079" s="1">
        <v>144.65</v>
      </c>
    </row>
    <row r="4080" spans="1:4" x14ac:dyDescent="0.3">
      <c r="A4080" s="1" t="str">
        <f>"01000871400"</f>
        <v>01000871400</v>
      </c>
      <c r="B4080" s="1" t="str">
        <f>"EVANS JUSTINE"</f>
        <v>EVANS JUSTINE</v>
      </c>
      <c r="C4080" s="1" t="str">
        <f>"NELSON RD HAYDEN PARK PLC LOT 13"</f>
        <v>NELSON RD HAYDEN PARK PLC LOT 13</v>
      </c>
      <c r="D4080" s="1">
        <v>518.74</v>
      </c>
    </row>
    <row r="4081" spans="1:4" x14ac:dyDescent="0.3">
      <c r="A4081" s="1" t="str">
        <f>"01005031800"</f>
        <v>01005031800</v>
      </c>
      <c r="B4081" s="1" t="str">
        <f>"EVANS KAREN"</f>
        <v>EVANS KAREN</v>
      </c>
      <c r="C4081" s="1" t="str">
        <f>"LINFIELD PLACE EAST GATE LOT 1 BLK 1"</f>
        <v>LINFIELD PLACE EAST GATE LOT 1 BLK 1</v>
      </c>
      <c r="D4081" s="1">
        <v>1602.49</v>
      </c>
    </row>
    <row r="4082" spans="1:4" x14ac:dyDescent="0.3">
      <c r="A4082" s="1" t="str">
        <f>"60018138200"</f>
        <v>60018138200</v>
      </c>
      <c r="B4082" s="1" t="str">
        <f>"EVANS KIMBERLY L"</f>
        <v>EVANS KIMBERLY L</v>
      </c>
      <c r="C4082" s="1" t="str">
        <f>"BERRYHILL CT DARYNGTON PLACE COND UNIT 4869"</f>
        <v>BERRYHILL CT DARYNGTON PLACE COND UNIT 4869</v>
      </c>
      <c r="D4082" s="1">
        <v>1100</v>
      </c>
    </row>
    <row r="4083" spans="1:4" x14ac:dyDescent="0.3">
      <c r="A4083" s="1" t="str">
        <f>"03000055800"</f>
        <v>03000055800</v>
      </c>
      <c r="B4083" s="1" t="str">
        <f>"EVANS LEIGH S, EVANS JAY L"</f>
        <v>EVANS LEIGH S, EVANS JAY L</v>
      </c>
      <c r="C4083" s="1" t="str">
        <f>"1507 WYANDOTTE RD N1/2 9 &amp; ALL 10 WYANDOTTE PLACE 9-10"</f>
        <v>1507 WYANDOTTE RD N1/2 9 &amp; ALL 10 WYANDOTTE PLACE 9-10</v>
      </c>
      <c r="D4083" s="1">
        <v>486.38</v>
      </c>
    </row>
    <row r="4084" spans="1:4" x14ac:dyDescent="0.3">
      <c r="A4084" s="1" t="str">
        <f>"01008089900"</f>
        <v>01008089900</v>
      </c>
      <c r="B4084" s="1" t="str">
        <f>"EVANS PATRICIA A"</f>
        <v>EVANS PATRICIA A</v>
      </c>
      <c r="C4084" s="1" t="str">
        <f>"1374 WHITTIER ST DRIVING PARK LOT 399-400"</f>
        <v>1374 WHITTIER ST DRIVING PARK LOT 399-400</v>
      </c>
      <c r="D4084" s="1">
        <v>2105.86</v>
      </c>
    </row>
    <row r="4085" spans="1:4" x14ac:dyDescent="0.3">
      <c r="A4085" s="1" t="str">
        <f>"01006069400"</f>
        <v>01006069400</v>
      </c>
      <c r="B4085" s="1" t="str">
        <f>"EVANS SHARON K"</f>
        <v>EVANS SHARON K</v>
      </c>
      <c r="C4085" s="1" t="str">
        <f>"E BLAKE AVE WEYANTSCLEVANEPLACE LOT 92"</f>
        <v>E BLAKE AVE WEYANTSCLEVANEPLACE LOT 92</v>
      </c>
      <c r="D4085" s="1">
        <v>1377.02</v>
      </c>
    </row>
    <row r="4086" spans="1:4" x14ac:dyDescent="0.3">
      <c r="A4086" s="1" t="str">
        <f>"02500185700"</f>
        <v>02500185700</v>
      </c>
      <c r="B4086" s="1" t="str">
        <f>"EVANS SHAWN R"</f>
        <v>EVANS SHAWN R</v>
      </c>
      <c r="C4086" s="1" t="str">
        <f>"388 SANDRA COURT ZUBROD HTS 7 "</f>
        <v xml:space="preserve">388 SANDRA COURT ZUBROD HTS 7 </v>
      </c>
      <c r="D4086" s="1">
        <v>15.58</v>
      </c>
    </row>
    <row r="4087" spans="1:4" x14ac:dyDescent="0.3">
      <c r="A4087" s="1" t="str">
        <f>"23000311400"</f>
        <v>23000311400</v>
      </c>
      <c r="B4087" s="1" t="str">
        <f>"EVANS WILLIAM, EVANS CAROLYN SUE"</f>
        <v>EVANS WILLIAM, EVANS CAROLYN SUE</v>
      </c>
      <c r="C4087" s="1" t="str">
        <f>"GAY ROAD ENTRY 6441 20.846 ACRES"</f>
        <v>GAY ROAD ENTRY 6441 20.846 ACRES</v>
      </c>
      <c r="D4087" s="1">
        <v>3027.01</v>
      </c>
    </row>
    <row r="4088" spans="1:4" x14ac:dyDescent="0.3">
      <c r="A4088" s="1" t="str">
        <f>"54523100100"</f>
        <v>54523100100</v>
      </c>
      <c r="B4088" s="1" t="str">
        <f>"EVENOR SHIRIN"</f>
        <v>EVENOR SHIRIN</v>
      </c>
      <c r="C4088" s="1" t="str">
        <f>"TOTTENHAM PLACE HAMPSTED VILLAGE SECTION 2 LOT 106"</f>
        <v>TOTTENHAM PLACE HAMPSTED VILLAGE SECTION 2 LOT 106</v>
      </c>
      <c r="D4088" s="1">
        <v>492.9</v>
      </c>
    </row>
    <row r="4089" spans="1:4" x14ac:dyDescent="0.3">
      <c r="A4089" s="1" t="str">
        <f>"01013527900"</f>
        <v>01013527900</v>
      </c>
      <c r="B4089" s="1" t="str">
        <f>"EVERETT DAWN D"</f>
        <v>EVERETT DAWN D</v>
      </c>
      <c r="C4089" s="1" t="str">
        <f>"DALEHURST RD RESUB PART OF KENSINGTON LOT 49"</f>
        <v>DALEHURST RD RESUB PART OF KENSINGTON LOT 49</v>
      </c>
      <c r="D4089" s="1">
        <v>1277.1500000000001</v>
      </c>
    </row>
    <row r="4090" spans="1:4" x14ac:dyDescent="0.3">
      <c r="A4090" s="1" t="str">
        <f>"01026166000"</f>
        <v>01026166000</v>
      </c>
      <c r="B4090" s="1" t="str">
        <f>"EVERETTS PEGGY L"</f>
        <v>EVERETTS PEGGY L</v>
      </c>
      <c r="C4090" s="1" t="str">
        <f>"THE CONDOMINIUM AT WINCHESTER COVE 1ST AMD BLDG 32 UNIT 4296"</f>
        <v>THE CONDOMINIUM AT WINCHESTER COVE 1ST AMD BLDG 32 UNIT 4296</v>
      </c>
      <c r="D4090" s="1">
        <v>102.89</v>
      </c>
    </row>
    <row r="4091" spans="1:4" x14ac:dyDescent="0.3">
      <c r="A4091" s="1" t="str">
        <f>"01000131100"</f>
        <v>01000131100</v>
      </c>
      <c r="B4091" s="1" t="str">
        <f>"EVERGIN JAMES G JR"</f>
        <v>EVERGIN JAMES G JR</v>
      </c>
      <c r="C4091" s="1" t="str">
        <f>"422 BERKELEY RD MORRISON PK LOT 104"</f>
        <v>422 BERKELEY RD MORRISON PK LOT 104</v>
      </c>
      <c r="D4091" s="1">
        <v>4719.1499999999996</v>
      </c>
    </row>
    <row r="4092" spans="1:4" x14ac:dyDescent="0.3">
      <c r="A4092" s="1" t="str">
        <f>"01008034800"</f>
        <v>01008034800</v>
      </c>
      <c r="B4092" s="1" t="str">
        <f>"EVERHART TONY"</f>
        <v>EVERHART TONY</v>
      </c>
      <c r="C4092" s="1" t="str">
        <f>"1043 SEYMOUR AVE LENOX LOT 179-180"</f>
        <v>1043 SEYMOUR AVE LENOX LOT 179-180</v>
      </c>
      <c r="D4092" s="1">
        <v>1147.5899999999999</v>
      </c>
    </row>
    <row r="4093" spans="1:4" x14ac:dyDescent="0.3">
      <c r="A4093" s="1" t="str">
        <f>"01013071500"</f>
        <v>01013071500</v>
      </c>
      <c r="B4093" s="1" t="str">
        <f>"EVERLY MAISON &amp; CO LLC"</f>
        <v>EVERLY MAISON &amp; CO LLC</v>
      </c>
      <c r="C4093" s="1" t="str">
        <f>"KENDALE RD N KENDALE SEC 1 LOT 13"</f>
        <v>KENDALE RD N KENDALE SEC 1 LOT 13</v>
      </c>
      <c r="D4093" s="1">
        <v>3187.31</v>
      </c>
    </row>
    <row r="4094" spans="1:4" x14ac:dyDescent="0.3">
      <c r="A4094" s="1" t="str">
        <f>"01003810900"</f>
        <v>01003810900</v>
      </c>
      <c r="B4094" s="1" t="str">
        <f>"EVERT LAURA J"</f>
        <v>EVERT LAURA J</v>
      </c>
      <c r="C4094" s="1" t="str">
        <f>"2206 INDIANA AVE INDIANOLA HEIGHTS ADDN N 1/2 LOT 60"</f>
        <v>2206 INDIANA AVE INDIANOLA HEIGHTS ADDN N 1/2 LOT 60</v>
      </c>
      <c r="D4094" s="1">
        <v>127.07</v>
      </c>
    </row>
    <row r="4095" spans="1:4" x14ac:dyDescent="0.3">
      <c r="A4095" s="1" t="str">
        <f>"01010677600"</f>
        <v>01010677600</v>
      </c>
      <c r="B4095" s="1" t="str">
        <f>"EVOLA VITO"</f>
        <v>EVOLA VITO</v>
      </c>
      <c r="C4095" s="1" t="str">
        <f>"BRINKER AVE DEMOREST 28 BLK 20 "</f>
        <v xml:space="preserve">BRINKER AVE DEMOREST 28 BLK 20 </v>
      </c>
      <c r="D4095" s="1">
        <v>3612.59</v>
      </c>
    </row>
    <row r="4096" spans="1:4" x14ac:dyDescent="0.3">
      <c r="A4096" s="1" t="str">
        <f>"24000292200"</f>
        <v>24000292200</v>
      </c>
      <c r="B4096" s="1" t="str">
        <f>"EWALD JOHN M JR"</f>
        <v>EWALD JOHN M JR</v>
      </c>
      <c r="C4096" s="1" t="str">
        <f>"GREENER AVE GARDEN HGHTS 74 "</f>
        <v xml:space="preserve">GREENER AVE GARDEN HGHTS 74 </v>
      </c>
      <c r="D4096" s="1">
        <v>483.47</v>
      </c>
    </row>
    <row r="4097" spans="1:4" x14ac:dyDescent="0.3">
      <c r="A4097" s="1" t="str">
        <f>"01006825700"</f>
        <v>01006825700</v>
      </c>
      <c r="B4097" s="1" t="str">
        <f>"EWAN NIGEL G, EWAN KAREN E"</f>
        <v>EWAN NIGEL G, EWAN KAREN E</v>
      </c>
      <c r="C4097" s="1" t="str">
        <f>"621 S WARREN AVE HEFFNER HEIGHTS LOT 31"</f>
        <v>621 S WARREN AVE HEFFNER HEIGHTS LOT 31</v>
      </c>
      <c r="D4097" s="1">
        <v>996.95</v>
      </c>
    </row>
    <row r="4098" spans="1:4" x14ac:dyDescent="0.3">
      <c r="A4098" s="1" t="str">
        <f>"01005251200"</f>
        <v>01005251200</v>
      </c>
      <c r="B4098" s="1" t="str">
        <f>"EWAN NIGEL G, EWAN KAREN E"</f>
        <v>EWAN NIGEL G, EWAN KAREN E</v>
      </c>
      <c r="C4098" s="1" t="str">
        <f>"HILLTOP LOT 146 "</f>
        <v xml:space="preserve">HILLTOP LOT 146 </v>
      </c>
      <c r="D4098" s="1">
        <v>1273.53</v>
      </c>
    </row>
    <row r="4099" spans="1:4" x14ac:dyDescent="0.3">
      <c r="A4099" s="1" t="str">
        <f>"01007573500"</f>
        <v>01007573500</v>
      </c>
      <c r="B4099" s="1" t="str">
        <f>"EWAN NIGEL G, EWAN KAREN E"</f>
        <v>EWAN NIGEL G, EWAN KAREN E</v>
      </c>
      <c r="C4099" s="1" t="str">
        <f>"WEBER RD SUNNYSIDE LOT 316"</f>
        <v>WEBER RD SUNNYSIDE LOT 316</v>
      </c>
      <c r="D4099" s="1">
        <v>1258.6099999999999</v>
      </c>
    </row>
    <row r="4100" spans="1:4" x14ac:dyDescent="0.3">
      <c r="A4100" s="1" t="str">
        <f>"01002683500"</f>
        <v>01002683500</v>
      </c>
      <c r="B4100" s="1" t="str">
        <f>"EWAN NIGEL G, EWAN KAREN E"</f>
        <v>EWAN NIGEL G, EWAN KAREN E</v>
      </c>
      <c r="C4100" s="1" t="str">
        <f>"865-7 E FRANKLIN DESHLER &amp; SINKS LOTS 35 &amp; 36"</f>
        <v>865-7 E FRANKLIN DESHLER &amp; SINKS LOTS 35 &amp; 36</v>
      </c>
      <c r="D4100" s="1">
        <v>3835.25</v>
      </c>
    </row>
    <row r="4101" spans="1:4" x14ac:dyDescent="0.3">
      <c r="A4101" s="1" t="str">
        <f>"01001499100"</f>
        <v>01001499100</v>
      </c>
      <c r="B4101" s="1" t="str">
        <f>"EWAN NIGEL G, SCHROCK KAREN E"</f>
        <v>EWAN NIGEL G, SCHROCK KAREN E</v>
      </c>
      <c r="C4101" s="1" t="str">
        <f>"171 PACEMONT AVE PACEMONT LOT 59"</f>
        <v>171 PACEMONT AVE PACEMONT LOT 59</v>
      </c>
      <c r="D4101" s="1">
        <v>2932.85</v>
      </c>
    </row>
    <row r="4102" spans="1:4" x14ac:dyDescent="0.3">
      <c r="A4102" s="1" t="str">
        <f>"04000669900"</f>
        <v>04000669900</v>
      </c>
      <c r="B4102" s="1" t="str">
        <f>"EWART SANDRA L TR"</f>
        <v>EWART SANDRA L TR</v>
      </c>
      <c r="C4102" s="1" t="str">
        <f>"2823 ANNABELLE CT ANNABELLE ROBINSON LOT 17"</f>
        <v>2823 ANNABELLE CT ANNABELLE ROBINSON LOT 17</v>
      </c>
      <c r="D4102" s="1">
        <v>364</v>
      </c>
    </row>
    <row r="4103" spans="1:4" x14ac:dyDescent="0.3">
      <c r="A4103" s="1" t="str">
        <f>"02501205800"</f>
        <v>02501205800</v>
      </c>
      <c r="B4103" s="1" t="str">
        <f>"EXPONENTIA US INC"</f>
        <v>EXPONENTIA US INC</v>
      </c>
      <c r="C4103" s="1" t="str">
        <f>"BEECHER RIDGE OFFICE PARK CONDOMINIUM 2ND AMD UNIT 424"</f>
        <v>BEECHER RIDGE OFFICE PARK CONDOMINIUM 2ND AMD UNIT 424</v>
      </c>
      <c r="D4103" s="1">
        <v>8008.81</v>
      </c>
    </row>
    <row r="4104" spans="1:4" x14ac:dyDescent="0.3">
      <c r="A4104" s="1" t="str">
        <f>"01002965800"</f>
        <v>01002965800</v>
      </c>
      <c r="B4104" s="1" t="str">
        <f>"EYE HOMES INC"</f>
        <v>EYE HOMES INC</v>
      </c>
      <c r="C4104" s="1" t="str">
        <f>"156 WILSON AVE 35X43FT OF EACH WILSON&amp;SHARP L34-5"</f>
        <v>156 WILSON AVE 35X43FT OF EACH WILSON&amp;SHARP L34-5</v>
      </c>
      <c r="D4104" s="1">
        <v>4544.58</v>
      </c>
    </row>
    <row r="4105" spans="1:4" x14ac:dyDescent="0.3">
      <c r="A4105" s="1" t="str">
        <f>"01012863800"</f>
        <v>01012863800</v>
      </c>
      <c r="B4105" s="1" t="str">
        <f>"EYE HOMES INC"</f>
        <v>EYE HOMES INC</v>
      </c>
      <c r="C4105" s="1" t="str">
        <f>"DARCY RD SALEM VILLAGE LOT 26"</f>
        <v>DARCY RD SALEM VILLAGE LOT 26</v>
      </c>
      <c r="D4105" s="1">
        <v>418.58</v>
      </c>
    </row>
    <row r="4106" spans="1:4" x14ac:dyDescent="0.3">
      <c r="A4106" s="1" t="str">
        <f>"01013653800"</f>
        <v>01013653800</v>
      </c>
      <c r="B4106" s="1" t="str">
        <f>"EYE HOMES INC"</f>
        <v>EYE HOMES INC</v>
      </c>
      <c r="C4106" s="1" t="str">
        <f>"ARDATH RD HOLLY HILL 6 LOT 596"</f>
        <v>ARDATH RD HOLLY HILL 6 LOT 596</v>
      </c>
      <c r="D4106" s="1">
        <v>1150.2</v>
      </c>
    </row>
    <row r="4107" spans="1:4" x14ac:dyDescent="0.3">
      <c r="A4107" s="1" t="str">
        <f>"56022152800"</f>
        <v>56022152800</v>
      </c>
      <c r="B4107" s="1" t="str">
        <f>"EYEGOUGE ENTERPRISES LLC"</f>
        <v>EYEGOUGE ENTERPRISES LLC</v>
      </c>
      <c r="C4107" s="1" t="str">
        <f>"TRANSAMERICA DRIVE TRABUE-WALCUT INDUST PARK 1 LOT 6 1.537AC"</f>
        <v>TRANSAMERICA DRIVE TRABUE-WALCUT INDUST PARK 1 LOT 6 1.537AC</v>
      </c>
      <c r="D4107" s="1">
        <v>1110.53</v>
      </c>
    </row>
    <row r="4108" spans="1:4" x14ac:dyDescent="0.3">
      <c r="A4108" s="1" t="str">
        <f>"01008059100"</f>
        <v>01008059100</v>
      </c>
      <c r="B4108" s="1" t="str">
        <f>"EZ PROPERTYS LLC"</f>
        <v>EZ PROPERTYS LLC</v>
      </c>
      <c r="C4108" s="1" t="str">
        <f>"897 BERKELEY RD DRIVING PARK LOT 92"</f>
        <v>897 BERKELEY RD DRIVING PARK LOT 92</v>
      </c>
      <c r="D4108" s="1">
        <v>1167.97</v>
      </c>
    </row>
    <row r="4109" spans="1:4" x14ac:dyDescent="0.3">
      <c r="A4109" s="1" t="str">
        <f>"01000148100"</f>
        <v>01000148100</v>
      </c>
      <c r="B4109" s="1" t="str">
        <f>"EZS MARU HOUSING LLC"</f>
        <v>EZS MARU HOUSING LLC</v>
      </c>
      <c r="C4109" s="1" t="str">
        <f>"1491 ATCHESON ST H C TRENT ALL LOT 12"</f>
        <v>1491 ATCHESON ST H C TRENT ALL LOT 12</v>
      </c>
      <c r="D4109" s="1">
        <v>1990.55</v>
      </c>
    </row>
    <row r="4110" spans="1:4" x14ac:dyDescent="0.3">
      <c r="A4110" s="1" t="str">
        <f>"01004245800"</f>
        <v>01004245800</v>
      </c>
      <c r="B4110" s="1" t="str">
        <f>"EZS MARU HOUSING LLC"</f>
        <v>EZS MARU HOUSING LLC</v>
      </c>
      <c r="C4110" s="1" t="str">
        <f>"80-82 CENTRAL AVE KNAUSS AMD SUB 31"</f>
        <v>80-82 CENTRAL AVE KNAUSS AMD SUB 31</v>
      </c>
      <c r="D4110" s="1">
        <v>2473.87</v>
      </c>
    </row>
    <row r="4111" spans="1:4" x14ac:dyDescent="0.3">
      <c r="A4111" s="1" t="str">
        <f>"01000666300"</f>
        <v>01000666300</v>
      </c>
      <c r="B4111" s="1" t="str">
        <f>"F A R FRENCHIE INVESTMENTS LLC"</f>
        <v>F A R FRENCHIE INVESTMENTS LLC</v>
      </c>
      <c r="C4111" s="1" t="str">
        <f>"41 S GARFIELD AVE S BARTLETT LOT 32"</f>
        <v>41 S GARFIELD AVE S BARTLETT LOT 32</v>
      </c>
      <c r="D4111" s="1">
        <v>396.44</v>
      </c>
    </row>
    <row r="4112" spans="1:4" x14ac:dyDescent="0.3">
      <c r="A4112" s="1" t="str">
        <f>"01000935200"</f>
        <v>01000935200</v>
      </c>
      <c r="B4112" s="1" t="str">
        <f>"F JENKINS REAL ESTATE LLC"</f>
        <v>F JENKINS REAL ESTATE LLC</v>
      </c>
      <c r="C4112" s="1" t="str">
        <f>"635 JENKINS AVE MERIONS EXRS LOT 396-397"</f>
        <v>635 JENKINS AVE MERIONS EXRS LOT 396-397</v>
      </c>
      <c r="D4112" s="1">
        <v>3356.16</v>
      </c>
    </row>
    <row r="4113" spans="1:4" x14ac:dyDescent="0.3">
      <c r="A4113" s="1" t="str">
        <f>"01011511700"</f>
        <v>01011511700</v>
      </c>
      <c r="B4113" s="1" t="str">
        <f>"F JENKINS REAL ESTATE LLC"</f>
        <v>F JENKINS REAL ESTATE LLC</v>
      </c>
      <c r="C4113" s="1" t="str">
        <f>"S CHAMPION AVE 37. 19X155 FT R22T5S27 1/2S 40"</f>
        <v>S CHAMPION AVE 37. 19X155 FT R22T5S27 1/2S 40</v>
      </c>
      <c r="D4113" s="1">
        <v>2884.68</v>
      </c>
    </row>
    <row r="4114" spans="1:4" x14ac:dyDescent="0.3">
      <c r="A4114" s="1" t="str">
        <f>"01020489000"</f>
        <v>01020489000</v>
      </c>
      <c r="B4114" s="1" t="str">
        <f>"F&amp;F REAL ESTATE LLC"</f>
        <v>F&amp;F REAL ESTATE LLC</v>
      </c>
      <c r="C4114" s="1" t="str">
        <f>"FALCON BRIDGE DR WALNUT BLUFF 7 LOT 1350"</f>
        <v>FALCON BRIDGE DR WALNUT BLUFF 7 LOT 1350</v>
      </c>
      <c r="D4114" s="1">
        <v>3361.01</v>
      </c>
    </row>
    <row r="4115" spans="1:4" x14ac:dyDescent="0.3">
      <c r="A4115" s="1" t="str">
        <f>"24000344000"</f>
        <v>24000344000</v>
      </c>
      <c r="B4115" s="1" t="str">
        <f>"FABBRO KATIE TR"</f>
        <v>FABBRO KATIE TR</v>
      </c>
      <c r="C4115" s="1" t="str">
        <f>"452 DARBYHURST RD LINCOLN VILLAGE 300 "</f>
        <v xml:space="preserve">452 DARBYHURST RD LINCOLN VILLAGE 300 </v>
      </c>
      <c r="D4115" s="1">
        <v>2420.81</v>
      </c>
    </row>
    <row r="4116" spans="1:4" x14ac:dyDescent="0.3">
      <c r="A4116" s="1" t="str">
        <f>"01005800100"</f>
        <v>01005800100</v>
      </c>
      <c r="B4116" s="1" t="str">
        <f>"FABECK BARBARA L TR"</f>
        <v>FABECK BARBARA L TR</v>
      </c>
      <c r="C4116" s="1" t="str">
        <f>"MARION RD BRODBELTS LOT 11"</f>
        <v>MARION RD BRODBELTS LOT 11</v>
      </c>
      <c r="D4116" s="1">
        <v>653.1</v>
      </c>
    </row>
    <row r="4117" spans="1:4" x14ac:dyDescent="0.3">
      <c r="A4117" s="1" t="str">
        <f>"01000937500"</f>
        <v>01000937500</v>
      </c>
      <c r="B4117" s="1" t="str">
        <f>"FABECK BARBARA L TR"</f>
        <v>FABECK BARBARA L TR</v>
      </c>
      <c r="C4117" s="1" t="str">
        <f>"742 FREBIS AVE HOMEVILLE LOT 140"</f>
        <v>742 FREBIS AVE HOMEVILLE LOT 140</v>
      </c>
      <c r="D4117" s="1">
        <v>2338.94</v>
      </c>
    </row>
    <row r="4118" spans="1:4" x14ac:dyDescent="0.3">
      <c r="A4118" s="1" t="str">
        <f>"01003020100"</f>
        <v>01003020100</v>
      </c>
      <c r="B4118" s="1" t="str">
        <f>"FABECK BARBARA L TR"</f>
        <v>FABECK BARBARA L TR</v>
      </c>
      <c r="C4118" s="1" t="str">
        <f>"PARSONS AVE RUHWEDELS SOUTH SIDE ADD LOT 2(36'X 140')"</f>
        <v>PARSONS AVE RUHWEDELS SOUTH SIDE ADD LOT 2(36'X 140')</v>
      </c>
      <c r="D4118" s="1">
        <v>392.93</v>
      </c>
    </row>
    <row r="4119" spans="1:4" x14ac:dyDescent="0.3">
      <c r="A4119" s="1" t="str">
        <f>"01005811900"</f>
        <v>01005811900</v>
      </c>
      <c r="B4119" s="1" t="str">
        <f>"FABECK BARBARA L TR"</f>
        <v>FABECK BARBARA L TR</v>
      </c>
      <c r="C4119" s="1" t="str">
        <f>"MARION RD BRODBELT LOT 12"</f>
        <v>MARION RD BRODBELT LOT 12</v>
      </c>
      <c r="D4119" s="1">
        <v>433.38</v>
      </c>
    </row>
    <row r="4120" spans="1:4" x14ac:dyDescent="0.3">
      <c r="A4120" s="1" t="str">
        <f>"01005812100"</f>
        <v>01005812100</v>
      </c>
      <c r="B4120" s="1" t="str">
        <f>"FABECK BARBARA L TR"</f>
        <v>FABECK BARBARA L TR</v>
      </c>
      <c r="C4120" s="1" t="str">
        <f>"464 KIAN AVE BRODBELTS LOT 30"</f>
        <v>464 KIAN AVE BRODBELTS LOT 30</v>
      </c>
      <c r="D4120" s="1">
        <v>1904.86</v>
      </c>
    </row>
    <row r="4121" spans="1:4" x14ac:dyDescent="0.3">
      <c r="A4121" s="1" t="str">
        <f>"01001127400"</f>
        <v>01001127400</v>
      </c>
      <c r="B4121" s="1" t="str">
        <f>"FABECK BARBARA L TR"</f>
        <v>FABECK BARBARA L TR</v>
      </c>
      <c r="C4121" s="1" t="str">
        <f>"1942-46 PARSONS AVE BRODBELT LOT 1 &amp; 2"</f>
        <v>1942-46 PARSONS AVE BRODBELT LOT 1 &amp; 2</v>
      </c>
      <c r="D4121" s="1">
        <v>3722.99</v>
      </c>
    </row>
    <row r="4122" spans="1:4" x14ac:dyDescent="0.3">
      <c r="A4122" s="1" t="str">
        <f>"01001688200"</f>
        <v>01001688200</v>
      </c>
      <c r="B4122" s="1" t="str">
        <f>"FABECK BARBARA L TR"</f>
        <v>FABECK BARBARA L TR</v>
      </c>
      <c r="C4122" s="1" t="str">
        <f>"196J PARSONS AVE BRODBELTS LOT 7"</f>
        <v>196J PARSONS AVE BRODBELTS LOT 7</v>
      </c>
      <c r="D4122" s="1">
        <v>397.17</v>
      </c>
    </row>
    <row r="4123" spans="1:4" x14ac:dyDescent="0.3">
      <c r="A4123" s="1" t="str">
        <f>"01005172700"</f>
        <v>01005172700</v>
      </c>
      <c r="B4123" s="1" t="str">
        <f>"FABECK BARBARA L TR"</f>
        <v>FABECK BARBARA L TR</v>
      </c>
      <c r="C4123" s="1" t="str">
        <f>"1926-8-30 PARSONS 428 MARION RD HUBBARD LOT 9-10"</f>
        <v>1926-8-30 PARSONS 428 MARION RD HUBBARD LOT 9-10</v>
      </c>
      <c r="D4123" s="1">
        <v>283.69</v>
      </c>
    </row>
    <row r="4124" spans="1:4" x14ac:dyDescent="0.3">
      <c r="A4124" s="1" t="str">
        <f>"01001576800"</f>
        <v>01001576800</v>
      </c>
      <c r="B4124" s="1" t="str">
        <f>"FABECK BARBARA L TR"</f>
        <v>FABECK BARBARA L TR</v>
      </c>
      <c r="C4124" s="1" t="str">
        <f>"PARSONS AVE BROADBELTS LOT 4-5"</f>
        <v>PARSONS AVE BROADBELTS LOT 4-5</v>
      </c>
      <c r="D4124" s="1">
        <v>4561.41</v>
      </c>
    </row>
    <row r="4125" spans="1:4" x14ac:dyDescent="0.3">
      <c r="A4125" s="1" t="str">
        <f>"01001576900"</f>
        <v>01001576900</v>
      </c>
      <c r="B4125" s="1" t="str">
        <f>"FABECK BARBARA L TR"</f>
        <v>FABECK BARBARA L TR</v>
      </c>
      <c r="C4125" s="1" t="str">
        <f>"PARSONS AVE BROADBELTS LOT 6"</f>
        <v>PARSONS AVE BROADBELTS LOT 6</v>
      </c>
      <c r="D4125" s="1">
        <v>481.68</v>
      </c>
    </row>
    <row r="4126" spans="1:4" x14ac:dyDescent="0.3">
      <c r="A4126" s="1" t="str">
        <f>"01002273800"</f>
        <v>01002273800</v>
      </c>
      <c r="B4126" s="1" t="str">
        <f>"FABECK BARBARA L TR"</f>
        <v>FABECK BARBARA L TR</v>
      </c>
      <c r="C4126" s="1" t="str">
        <f>"PARSONS AVE BRODBELTS LOT 8"</f>
        <v>PARSONS AVE BRODBELTS LOT 8</v>
      </c>
      <c r="D4126" s="1">
        <v>409.84</v>
      </c>
    </row>
    <row r="4127" spans="1:4" x14ac:dyDescent="0.3">
      <c r="A4127" s="1" t="str">
        <f>"01002273900"</f>
        <v>01002273900</v>
      </c>
      <c r="B4127" s="1" t="str">
        <f>"FABECK BARBARA L TR"</f>
        <v>FABECK BARBARA L TR</v>
      </c>
      <c r="C4127" s="1" t="str">
        <f>"PARSONS AVE BRODBELTS LOT 9"</f>
        <v>PARSONS AVE BRODBELTS LOT 9</v>
      </c>
      <c r="D4127" s="1">
        <v>357.32</v>
      </c>
    </row>
    <row r="4128" spans="1:4" x14ac:dyDescent="0.3">
      <c r="A4128" s="1" t="str">
        <f>"01000491000"</f>
        <v>01000491000</v>
      </c>
      <c r="B4128" s="1" t="str">
        <f>"FABECK BARBARA L TR"</f>
        <v>FABECK BARBARA L TR</v>
      </c>
      <c r="C4128" s="1" t="str">
        <f>"431 MARION ROAD BRODBELTS LOT 10"</f>
        <v>431 MARION ROAD BRODBELTS LOT 10</v>
      </c>
      <c r="D4128" s="1">
        <v>2119.2399999999998</v>
      </c>
    </row>
    <row r="4129" spans="1:4" x14ac:dyDescent="0.3">
      <c r="A4129" s="1" t="str">
        <f>"01002904400"</f>
        <v>01002904400</v>
      </c>
      <c r="B4129" s="1" t="str">
        <f>"FABECK BARBARA L TR"</f>
        <v>FABECK BARBARA L TR</v>
      </c>
      <c r="C4129" s="1" t="str">
        <f>"1924 PARSONS AVE HUBBARD S SIDE LOT 8"</f>
        <v>1924 PARSONS AVE HUBBARD S SIDE LOT 8</v>
      </c>
      <c r="D4129" s="1">
        <v>2535.12</v>
      </c>
    </row>
    <row r="4130" spans="1:4" x14ac:dyDescent="0.3">
      <c r="A4130" s="1" t="str">
        <f>"01003067600"</f>
        <v>01003067600</v>
      </c>
      <c r="B4130" s="1" t="str">
        <f>"FABECK BARBARA L TR"</f>
        <v>FABECK BARBARA L TR</v>
      </c>
      <c r="C4130" s="1" t="str">
        <f>"1939 PARSONS AVE 20TH CENTURY LOT 113"</f>
        <v>1939 PARSONS AVE 20TH CENTURY LOT 113</v>
      </c>
      <c r="D4130" s="1">
        <v>1973.17</v>
      </c>
    </row>
    <row r="4131" spans="1:4" x14ac:dyDescent="0.3">
      <c r="A4131" s="1" t="str">
        <f>"01004307400"</f>
        <v>01004307400</v>
      </c>
      <c r="B4131" s="1" t="str">
        <f>"FABECK BARBARA L TR"</f>
        <v>FABECK BARBARA L TR</v>
      </c>
      <c r="C4131" s="1" t="str">
        <f>"1846 PARSONS AVE RUHWEDEL LOT 1"</f>
        <v>1846 PARSONS AVE RUHWEDEL LOT 1</v>
      </c>
      <c r="D4131" s="1">
        <v>4027.64</v>
      </c>
    </row>
    <row r="4132" spans="1:4" x14ac:dyDescent="0.3">
      <c r="A4132" s="1" t="str">
        <f>"01002973600"</f>
        <v>01002973600</v>
      </c>
      <c r="B4132" s="1" t="str">
        <f>"FABECK BARBARA TR"</f>
        <v>FABECK BARBARA TR</v>
      </c>
      <c r="C4132" s="1" t="str">
        <f>"1950 PARSONS AVE BROADBELTS LOT 3"</f>
        <v>1950 PARSONS AVE BROADBELTS LOT 3</v>
      </c>
      <c r="D4132" s="1">
        <v>1024.9000000000001</v>
      </c>
    </row>
    <row r="4133" spans="1:4" x14ac:dyDescent="0.3">
      <c r="A4133" s="1" t="str">
        <f>"01009827800"</f>
        <v>01009827800</v>
      </c>
      <c r="B4133" s="1" t="str">
        <f>"FABYAN DARRELL BRUCE, FABYAN MARK A"</f>
        <v>FABYAN DARRELL BRUCE, FABYAN MARK A</v>
      </c>
      <c r="C4133" s="1" t="str">
        <f>"NORWOOD ST OAK PARK 10 LOT 20"</f>
        <v>NORWOOD ST OAK PARK 10 LOT 20</v>
      </c>
      <c r="D4133" s="1">
        <v>5091.57</v>
      </c>
    </row>
    <row r="4134" spans="1:4" x14ac:dyDescent="0.3">
      <c r="A4134" s="1" t="str">
        <f>"01004761100"</f>
        <v>01004761100</v>
      </c>
      <c r="B4134" s="1" t="str">
        <f>"FACO REO SECURITIZATION SUB I LLC"</f>
        <v>FACO REO SECURITIZATION SUB I LLC</v>
      </c>
      <c r="C4134" s="1" t="str">
        <f>"1580 GRANVILLE ST W B HAYDEN SUB 56"</f>
        <v>1580 GRANVILLE ST W B HAYDEN SUB 56</v>
      </c>
      <c r="D4134" s="1">
        <v>1249.6500000000001</v>
      </c>
    </row>
    <row r="4135" spans="1:4" x14ac:dyDescent="0.3">
      <c r="A4135" s="1" t="str">
        <f>"01007565100"</f>
        <v>01007565100</v>
      </c>
      <c r="B4135" s="1" t="str">
        <f>"FADLEY THOMAS CLAYTON TR"</f>
        <v>FADLEY THOMAS CLAYTON TR</v>
      </c>
      <c r="C4135" s="1" t="str">
        <f>"2973 MEDINA AVE LINDEN GDNS LOT 19"</f>
        <v>2973 MEDINA AVE LINDEN GDNS LOT 19</v>
      </c>
      <c r="D4135" s="1">
        <v>2856.5</v>
      </c>
    </row>
    <row r="4136" spans="1:4" x14ac:dyDescent="0.3">
      <c r="A4136" s="1" t="str">
        <f>"01007588400"</f>
        <v>01007588400</v>
      </c>
      <c r="B4136" s="1" t="str">
        <f>"FADLEY THOMAS CLAYTON TR"</f>
        <v>FADLEY THOMAS CLAYTON TR</v>
      </c>
      <c r="C4136" s="1" t="str">
        <f>"MEDINA AVE 50.09X 140.15FT SE COR LOT 20 LINDEN GDNS"</f>
        <v>MEDINA AVE 50.09X 140.15FT SE COR LOT 20 LINDEN GDNS</v>
      </c>
      <c r="D4136" s="1">
        <v>2393.41</v>
      </c>
    </row>
    <row r="4137" spans="1:4" x14ac:dyDescent="0.3">
      <c r="A4137" s="1" t="str">
        <f>"03000269000"</f>
        <v>03000269000</v>
      </c>
      <c r="B4137" s="1" t="str">
        <f>"FAERBER GEORGE H, FAERBER BETHANY A"</f>
        <v>FAERBER GEORGE H, FAERBER BETHANY A</v>
      </c>
      <c r="C4137" s="1" t="str">
        <f>"1000 URLIN AVE SUMMIT CHASE CONDO UNIT 1017"</f>
        <v>1000 URLIN AVE SUMMIT CHASE CONDO UNIT 1017</v>
      </c>
      <c r="D4137" s="1">
        <v>5538.83</v>
      </c>
    </row>
    <row r="4138" spans="1:4" x14ac:dyDescent="0.3">
      <c r="A4138" s="1" t="str">
        <f>"03000272200"</f>
        <v>03000272200</v>
      </c>
      <c r="B4138" s="1" t="str">
        <f>"FAERBER GEORGE, FAERBER BETHANY"</f>
        <v>FAERBER GEORGE, FAERBER BETHANY</v>
      </c>
      <c r="C4138" s="1" t="str">
        <f>"1000 URLIN AVE SUMMIT CHASE CONDO UNIT 1608"</f>
        <v>1000 URLIN AVE SUMMIT CHASE CONDO UNIT 1608</v>
      </c>
      <c r="D4138" s="1">
        <v>4807.8900000000003</v>
      </c>
    </row>
    <row r="4139" spans="1:4" x14ac:dyDescent="0.3">
      <c r="A4139" s="1" t="str">
        <f>"61027996000"</f>
        <v>61027996000</v>
      </c>
      <c r="B4139" s="1" t="str">
        <f>"FAGERT MARIA J TR"</f>
        <v>FAGERT MARIA J TR</v>
      </c>
      <c r="C4139" s="1" t="str">
        <f>"1079 BLUFFWAY DRIVE THE LAKES OF WORTHINGTON SECTION 4 LOT 190"</f>
        <v>1079 BLUFFWAY DRIVE THE LAKES OF WORTHINGTON SECTION 4 LOT 190</v>
      </c>
      <c r="D4139" s="1">
        <v>400.93</v>
      </c>
    </row>
    <row r="4140" spans="1:4" x14ac:dyDescent="0.3">
      <c r="A4140" s="1" t="str">
        <f>"01009444500"</f>
        <v>01009444500</v>
      </c>
      <c r="B4140" s="1" t="str">
        <f>"FAHY RANDALL L"</f>
        <v>FAHY RANDALL L</v>
      </c>
      <c r="C4140" s="1" t="str">
        <f>"230 VILLAGE DR INDIAN SPRINGS VILL LOT 5-6 BLK E"</f>
        <v>230 VILLAGE DR INDIAN SPRINGS VILL LOT 5-6 BLK E</v>
      </c>
      <c r="D4140" s="1">
        <v>13.92</v>
      </c>
    </row>
    <row r="4141" spans="1:4" x14ac:dyDescent="0.3">
      <c r="A4141" s="1" t="str">
        <f>"01015939800"</f>
        <v>01015939800</v>
      </c>
      <c r="B4141" s="1" t="str">
        <f>"FAIELLA JOHN J"</f>
        <v>FAIELLA JOHN J</v>
      </c>
      <c r="C4141" s="1" t="str">
        <f>"SHARON WOODS SEC 8 WALBRIDGE ST LOT 762"</f>
        <v>SHARON WOODS SEC 8 WALBRIDGE ST LOT 762</v>
      </c>
      <c r="D4141" s="1">
        <v>2015.73</v>
      </c>
    </row>
    <row r="4142" spans="1:4" x14ac:dyDescent="0.3">
      <c r="A4142" s="1" t="str">
        <f>"01026079400"</f>
        <v>01026079400</v>
      </c>
      <c r="B4142" s="1" t="str">
        <f>"FAIN PATRICK L"</f>
        <v>FAIN PATRICK L</v>
      </c>
      <c r="C4142" s="1" t="str">
        <f>"RIVER RIDGE CONDOMINIUM ON ALUM CREEK (2ND AMD) UNIT 3165-A (GARAGE UNIT)"</f>
        <v>RIVER RIDGE CONDOMINIUM ON ALUM CREEK (2ND AMD) UNIT 3165-A (GARAGE UNIT)</v>
      </c>
      <c r="D4142" s="1">
        <v>3.37</v>
      </c>
    </row>
    <row r="4143" spans="1:4" x14ac:dyDescent="0.3">
      <c r="A4143" s="1" t="str">
        <f>"01012334100"</f>
        <v>01012334100</v>
      </c>
      <c r="B4143" s="1" t="str">
        <f>"FAIN PHILLIP D, FAIN FLOSSIE A"</f>
        <v>FAIN PHILLIP D, FAIN FLOSSIE A</v>
      </c>
      <c r="C4143" s="1" t="str">
        <f>"BERNHARD RD PINECREST 4 LOT 668"</f>
        <v>BERNHARD RD PINECREST 4 LOT 668</v>
      </c>
      <c r="D4143" s="1">
        <v>440</v>
      </c>
    </row>
    <row r="4144" spans="1:4" x14ac:dyDescent="0.3">
      <c r="A4144" s="1" t="str">
        <f>"01006630100"</f>
        <v>01006630100</v>
      </c>
      <c r="B4144" s="1" t="str">
        <f>"FAIRBANKS TERRY R"</f>
        <v>FAIRBANKS TERRY R</v>
      </c>
      <c r="C4144" s="1" t="str">
        <f>"2835 9TH AVE DUNHAMS 1ST LOT 15"</f>
        <v>2835 9TH AVE DUNHAMS 1ST LOT 15</v>
      </c>
      <c r="D4144" s="1">
        <v>1327.79</v>
      </c>
    </row>
    <row r="4145" spans="1:4" x14ac:dyDescent="0.3">
      <c r="A4145" s="1" t="str">
        <f>"18400268100"</f>
        <v>18400268100</v>
      </c>
      <c r="B4145" s="1" t="str">
        <f>"FAIRCHILD DEVIN TTEE"</f>
        <v>FAIRCHILD DEVIN TTEE</v>
      </c>
      <c r="C4145" s="1" t="str">
        <f>"GREENSVIEW VILLAS CONDOMINIUM BLDG 14 UNIT 7381"</f>
        <v>GREENSVIEW VILLAS CONDOMINIUM BLDG 14 UNIT 7381</v>
      </c>
      <c r="D4145" s="1">
        <v>261.79000000000002</v>
      </c>
    </row>
    <row r="4146" spans="1:4" x14ac:dyDescent="0.3">
      <c r="A4146" s="1" t="str">
        <f>"60015908800"</f>
        <v>60015908800</v>
      </c>
      <c r="B4146" s="1" t="str">
        <f>"FAIRCHILD ROBERT S TTEE"</f>
        <v>FAIRCHILD ROBERT S TTEE</v>
      </c>
      <c r="C4146" s="1" t="str">
        <f>"COLLINGDALE ROAD PARKRIDGE VIL SEC 3 LOT 359"</f>
        <v>COLLINGDALE ROAD PARKRIDGE VIL SEC 3 LOT 359</v>
      </c>
      <c r="D4146" s="1">
        <v>184.93</v>
      </c>
    </row>
    <row r="4147" spans="1:4" x14ac:dyDescent="0.3">
      <c r="A4147" s="1" t="str">
        <f>"01012848100"</f>
        <v>01012848100</v>
      </c>
      <c r="B4147" s="1" t="str">
        <f>"FAIRHAVEN PROPERTIES LLC"</f>
        <v>FAIRHAVEN PROPERTIES LLC</v>
      </c>
      <c r="C4147" s="1" t="str">
        <f>"SEYMOUR AVE L12 EX51 FT N S DRIVING PK PL LOT 12"</f>
        <v>SEYMOUR AVE L12 EX51 FT N S DRIVING PK PL LOT 12</v>
      </c>
      <c r="D4147" s="1">
        <v>27.72</v>
      </c>
    </row>
    <row r="4148" spans="1:4" x14ac:dyDescent="0.3">
      <c r="A4148" s="1" t="str">
        <f>"57016847100"</f>
        <v>57016847100</v>
      </c>
      <c r="B4148" s="1" t="str">
        <f>"FAIRLEY ANNIE R"</f>
        <v>FAIRLEY ANNIE R</v>
      </c>
      <c r="C4148" s="1" t="str">
        <f>"ATHENS AVE BURNSIDE HTS LOT 115"</f>
        <v>ATHENS AVE BURNSIDE HTS LOT 115</v>
      </c>
      <c r="D4148" s="1">
        <v>522.69000000000005</v>
      </c>
    </row>
    <row r="4149" spans="1:4" x14ac:dyDescent="0.3">
      <c r="A4149" s="1" t="str">
        <f>"01006264700"</f>
        <v>01006264700</v>
      </c>
      <c r="B4149" s="1" t="str">
        <f>"FAITHFUL HOME PROPERTIES LLC"</f>
        <v>FAITHFUL HOME PROPERTIES LLC</v>
      </c>
      <c r="C4149" s="1" t="str">
        <f>"1795 BUCHER ST SEE DUP FOR DESC REEB LOT 60-61"</f>
        <v>1795 BUCHER ST SEE DUP FOR DESC REEB LOT 60-61</v>
      </c>
      <c r="D4149" s="1">
        <v>1162.78</v>
      </c>
    </row>
    <row r="4150" spans="1:4" x14ac:dyDescent="0.3">
      <c r="A4150" s="1" t="str">
        <f>"01001684800"</f>
        <v>01001684800</v>
      </c>
      <c r="B4150" s="1" t="str">
        <f>"FAITHFUL HOME PROPERTIES LLC"</f>
        <v>FAITHFUL HOME PROPERTIES LLC</v>
      </c>
      <c r="C4150" s="1" t="str">
        <f>"1846 S FIFTH ST LINTON &amp; MCLARREN'S LOT 55"</f>
        <v>1846 S FIFTH ST LINTON &amp; MCLARREN'S LOT 55</v>
      </c>
      <c r="D4150" s="1">
        <v>1306.1500000000001</v>
      </c>
    </row>
    <row r="4151" spans="1:4" x14ac:dyDescent="0.3">
      <c r="A4151" s="1" t="str">
        <f>"01001853700"</f>
        <v>01001853700</v>
      </c>
      <c r="B4151" s="1" t="str">
        <f>"FAITHFUL HOME PROPERTIES LLC"</f>
        <v>FAITHFUL HOME PROPERTIES LLC</v>
      </c>
      <c r="C4151" s="1" t="str">
        <f>"1775W WASHINGTON AVE SOUTH SIDE TERRACE LOT 140"</f>
        <v>1775W WASHINGTON AVE SOUTH SIDE TERRACE LOT 140</v>
      </c>
      <c r="D4151" s="1">
        <v>1450.5</v>
      </c>
    </row>
    <row r="4152" spans="1:4" x14ac:dyDescent="0.3">
      <c r="A4152" s="1" t="str">
        <f>"01004565100"</f>
        <v>01004565100</v>
      </c>
      <c r="B4152" s="1" t="str">
        <f>"FAITHFUL HOME PROPERTIES LLC"</f>
        <v>FAITHFUL HOME PROPERTIES LLC</v>
      </c>
      <c r="C4152" s="1" t="str">
        <f>"118 INNIS AVE 40 X 1 32 FT DURRETTS LOT 9 "</f>
        <v xml:space="preserve">118 INNIS AVE 40 X 1 32 FT DURRETTS LOT 9 </v>
      </c>
      <c r="D4152" s="1">
        <v>1351.39</v>
      </c>
    </row>
    <row r="4153" spans="1:4" x14ac:dyDescent="0.3">
      <c r="A4153" s="1" t="str">
        <f>"01000909800"</f>
        <v>01000909800</v>
      </c>
      <c r="B4153" s="1" t="str">
        <f>"FAJARDO DELOREZ, FAJARDO HERIBERTO"</f>
        <v>FAJARDO DELOREZ, FAJARDO HERIBERTO</v>
      </c>
      <c r="C4153" s="1" t="str">
        <f>"208 MIDLAND AVE WESTWOOD HTS LOT 118"</f>
        <v>208 MIDLAND AVE WESTWOOD HTS LOT 118</v>
      </c>
      <c r="D4153" s="1">
        <v>1195.3</v>
      </c>
    </row>
    <row r="4154" spans="1:4" x14ac:dyDescent="0.3">
      <c r="A4154" s="1" t="str">
        <f>"23000115600"</f>
        <v>23000115600</v>
      </c>
      <c r="B4154" s="1" t="str">
        <f>"FAJARDO ERIKA FERNANDA"</f>
        <v>FAJARDO ERIKA FERNANDA</v>
      </c>
      <c r="C4154" s="1" t="str">
        <f>"7750 ALKIRE RD 10 ACRES OQ 689 ENT 2885"</f>
        <v>7750 ALKIRE RD 10 ACRES OQ 689 ENT 2885</v>
      </c>
      <c r="D4154" s="1">
        <v>2704</v>
      </c>
    </row>
    <row r="4155" spans="1:4" x14ac:dyDescent="0.3">
      <c r="A4155" s="1" t="str">
        <f>"01007322900"</f>
        <v>01007322900</v>
      </c>
      <c r="B4155" s="1" t="str">
        <f>"FAJARDO TEODOMIRA"</f>
        <v>FAJARDO TEODOMIRA</v>
      </c>
      <c r="C4155" s="1" t="str">
        <f>"1176-8 20TH AVE RICHMOND LOT 150"</f>
        <v>1176-8 20TH AVE RICHMOND LOT 150</v>
      </c>
      <c r="D4155" s="1">
        <v>114.64</v>
      </c>
    </row>
    <row r="4156" spans="1:4" x14ac:dyDescent="0.3">
      <c r="A4156" s="1" t="str">
        <f>"01003393300"</f>
        <v>01003393300</v>
      </c>
      <c r="B4156" s="1" t="str">
        <f>"FAJARDO TEODOMIRA"</f>
        <v>FAJARDO TEODOMIRA</v>
      </c>
      <c r="C4156" s="1" t="str">
        <f>"1227 17TH AVE LOUIS HTS LOT 111"</f>
        <v>1227 17TH AVE LOUIS HTS LOT 111</v>
      </c>
      <c r="D4156" s="1">
        <v>94.49</v>
      </c>
    </row>
    <row r="4157" spans="1:4" x14ac:dyDescent="0.3">
      <c r="A4157" s="1" t="str">
        <f>"01006584700"</f>
        <v>01006584700</v>
      </c>
      <c r="B4157" s="1" t="str">
        <f>"FAJARDO TEODOMIRA"</f>
        <v>FAJARDO TEODOMIRA</v>
      </c>
      <c r="C4157" s="1" t="str">
        <f>"508 S OAKLEY AVE EDGEWOOD PLC LOT 13 &amp; 14"</f>
        <v>508 S OAKLEY AVE EDGEWOOD PLC LOT 13 &amp; 14</v>
      </c>
      <c r="D4157" s="1">
        <v>67.349999999999994</v>
      </c>
    </row>
    <row r="4158" spans="1:4" x14ac:dyDescent="0.3">
      <c r="A4158" s="1" t="str">
        <f>"07001232900"</f>
        <v>07001232900</v>
      </c>
      <c r="B4158" s="1" t="str">
        <f>"FALENSKI ALEXANDRA M TR"</f>
        <v>FALENSKI ALEXANDRA M TR</v>
      </c>
      <c r="C4158" s="1" t="str">
        <f>"1271 LA ROCHELLE DR TROUVILLE FOUNTAINE CONDOMINIUM LOTB10-L"</f>
        <v>1271 LA ROCHELLE DR TROUVILLE FOUNTAINE CONDOMINIUM LOTB10-L</v>
      </c>
      <c r="D4158" s="1">
        <v>3725.04</v>
      </c>
    </row>
    <row r="4159" spans="1:4" x14ac:dyDescent="0.3">
      <c r="A4159" s="1" t="str">
        <f>"07001234900"</f>
        <v>07001234900</v>
      </c>
      <c r="B4159" s="1" t="str">
        <f>"FALENSKI ALEXANDRA M TR"</f>
        <v>FALENSKI ALEXANDRA M TR</v>
      </c>
      <c r="C4159" s="1" t="str">
        <f>"LA ROCHELLE DRIVE TROUVILLE FOUNTAINE CONDOMINIUM LOTG10-L"</f>
        <v>LA ROCHELLE DRIVE TROUVILLE FOUNTAINE CONDOMINIUM LOTG10-L</v>
      </c>
      <c r="D4159" s="1">
        <v>168.3</v>
      </c>
    </row>
    <row r="4160" spans="1:4" x14ac:dyDescent="0.3">
      <c r="A4160" s="1" t="str">
        <f>"01013637800"</f>
        <v>01013637800</v>
      </c>
      <c r="B4160" s="1" t="str">
        <f>"FALK KENNETH F, FALK LYN C"</f>
        <v>FALK KENNETH F, FALK LYN C</v>
      </c>
      <c r="C4160" s="1" t="str">
        <f>"955 SPRING GROVE LN INDIAN HILLS 2 LOT 135"</f>
        <v>955 SPRING GROVE LN INDIAN HILLS 2 LOT 135</v>
      </c>
      <c r="D4160" s="1">
        <v>280.33</v>
      </c>
    </row>
    <row r="4161" spans="1:4" x14ac:dyDescent="0.3">
      <c r="A4161" s="1" t="str">
        <f>"01002615000"</f>
        <v>01002615000</v>
      </c>
      <c r="B4161" s="1" t="str">
        <f>"FAMILY HOUSING INSTITUTE 3 LLC"</f>
        <v>FAMILY HOUSING INSTITUTE 3 LLC</v>
      </c>
      <c r="C4161" s="1" t="str">
        <f>"GROVE STREET SHORTS SUB 52' WE LOT 9 (52' X 80')"</f>
        <v>GROVE STREET SHORTS SUB 52' WE LOT 9 (52' X 80')</v>
      </c>
      <c r="D4161" s="1">
        <v>806.51</v>
      </c>
    </row>
    <row r="4162" spans="1:4" x14ac:dyDescent="0.3">
      <c r="A4162" s="1" t="str">
        <f>"01004036300"</f>
        <v>01004036300</v>
      </c>
      <c r="B4162" s="1" t="str">
        <f>"FAMILY HOUSING INSTITUTE 4 LLC"</f>
        <v>FAMILY HOUSING INSTITUTE 4 LLC</v>
      </c>
      <c r="C4162" s="1" t="str">
        <f>"351 ST CLAIR AVE 80 FT E E SHORTS SUB 9"</f>
        <v>351 ST CLAIR AVE 80 FT E E SHORTS SUB 9</v>
      </c>
      <c r="D4162" s="1">
        <v>2085.29</v>
      </c>
    </row>
    <row r="4163" spans="1:4" x14ac:dyDescent="0.3">
      <c r="A4163" s="1" t="str">
        <f>"01007299900"</f>
        <v>01007299900</v>
      </c>
      <c r="B4163" s="1" t="str">
        <f>"FANAYA ESTATES LLC"</f>
        <v>FANAYA ESTATES LLC</v>
      </c>
      <c r="C4163" s="1" t="str">
        <f>"2891 SIXTH AVE CASSADYS 5TH AVE LOT 173"</f>
        <v>2891 SIXTH AVE CASSADYS 5TH AVE LOT 173</v>
      </c>
      <c r="D4163" s="1">
        <v>1552.67</v>
      </c>
    </row>
    <row r="4164" spans="1:4" x14ac:dyDescent="0.3">
      <c r="A4164" s="1" t="str">
        <f>"01009240000"</f>
        <v>01009240000</v>
      </c>
      <c r="B4164" s="1" t="str">
        <f>"FANAYA ESTATES LLC"</f>
        <v>FANAYA ESTATES LLC</v>
      </c>
      <c r="C4164" s="1" t="str">
        <f>"13TH AVE CASSADY PEAKE MEADOW LOT 159"</f>
        <v>13TH AVE CASSADY PEAKE MEADOW LOT 159</v>
      </c>
      <c r="D4164" s="1">
        <v>2632.1</v>
      </c>
    </row>
    <row r="4165" spans="1:4" x14ac:dyDescent="0.3">
      <c r="A4165" s="1" t="str">
        <f>"01016681000"</f>
        <v>01016681000</v>
      </c>
      <c r="B4165" s="1" t="str">
        <f>"FANAYA ESTATES LLC"</f>
        <v>FANAYA ESTATES LLC</v>
      </c>
      <c r="C4165" s="1" t="str">
        <f>"ARGYLE DRIVE AMVET HOMESTEAD 2 LOT 9 BLK K"</f>
        <v>ARGYLE DRIVE AMVET HOMESTEAD 2 LOT 9 BLK K</v>
      </c>
      <c r="D4165" s="1">
        <v>1624.88</v>
      </c>
    </row>
    <row r="4166" spans="1:4" x14ac:dyDescent="0.3">
      <c r="A4166" s="1" t="str">
        <f>"01016679400"</f>
        <v>01016679400</v>
      </c>
      <c r="B4166" s="1" t="str">
        <f>"FANAYA ESTATES LLC"</f>
        <v>FANAYA ESTATES LLC</v>
      </c>
      <c r="C4166" s="1" t="str">
        <f>"DEVONSHIRE RD AMVET HOMESTEAD 2 LOT 21 BLK J"</f>
        <v>DEVONSHIRE RD AMVET HOMESTEAD 2 LOT 21 BLK J</v>
      </c>
      <c r="D4166" s="1">
        <v>1540.98</v>
      </c>
    </row>
    <row r="4167" spans="1:4" x14ac:dyDescent="0.3">
      <c r="A4167" s="1" t="str">
        <f>"01003992300"</f>
        <v>01003992300</v>
      </c>
      <c r="B4167" s="1" t="str">
        <f>"FANAYA ESTATES LLC"</f>
        <v>FANAYA ESTATES LLC</v>
      </c>
      <c r="C4167" s="1" t="str">
        <f>"N CHAMPION AVE 23FT SS LT2&amp;18FT NS LT3 HAYES LOT 2/3"</f>
        <v>N CHAMPION AVE 23FT SS LT2&amp;18FT NS LT3 HAYES LOT 2/3</v>
      </c>
      <c r="D4167" s="1">
        <v>1871.93</v>
      </c>
    </row>
    <row r="4168" spans="1:4" x14ac:dyDescent="0.3">
      <c r="A4168" s="1" t="str">
        <f>"01001052700"</f>
        <v>01001052700</v>
      </c>
      <c r="B4168" s="1" t="str">
        <f>"FANTA ANNE P"</f>
        <v>FANTA ANNE P</v>
      </c>
      <c r="C4168" s="1" t="str">
        <f>"726 CITYPKAVE 47 FT W E JAEGER LOT 10"</f>
        <v>726 CITYPKAVE 47 FT W E JAEGER LOT 10</v>
      </c>
      <c r="D4168" s="1">
        <v>455.54</v>
      </c>
    </row>
    <row r="4169" spans="1:4" x14ac:dyDescent="0.3">
      <c r="A4169" s="1" t="str">
        <f>"14000289400"</f>
        <v>14000289400</v>
      </c>
      <c r="B4169" s="1" t="str">
        <f>"FANTASTIC HOMES LLC"</f>
        <v>FANTASTIC HOMES LLC</v>
      </c>
      <c r="C4169" s="1" t="str">
        <f>"3729 HARDING DR BROADLAWN LOT 183 "</f>
        <v xml:space="preserve">3729 HARDING DR BROADLAWN LOT 183 </v>
      </c>
      <c r="D4169" s="1">
        <v>1277.82</v>
      </c>
    </row>
    <row r="4170" spans="1:4" x14ac:dyDescent="0.3">
      <c r="A4170" s="1" t="str">
        <f>"01011426800"</f>
        <v>01011426800</v>
      </c>
      <c r="B4170" s="1" t="str">
        <f>"FANTASTIC HOMES LLC"</f>
        <v>FANTASTIC HOMES LLC</v>
      </c>
      <c r="C4170" s="1" t="str">
        <f>"713 LEWIS AVE LEWIS SOUTHERN HTS LOT 48"</f>
        <v>713 LEWIS AVE LEWIS SOUTHERN HTS LOT 48</v>
      </c>
      <c r="D4170" s="1">
        <v>1929.63</v>
      </c>
    </row>
    <row r="4171" spans="1:4" x14ac:dyDescent="0.3">
      <c r="A4171" s="1" t="str">
        <f>"01010148600"</f>
        <v>01010148600</v>
      </c>
      <c r="B4171" s="1" t="str">
        <f>"FANTASTIC HOMES LLC"</f>
        <v>FANTASTIC HOMES LLC</v>
      </c>
      <c r="C4171" s="1" t="str">
        <f>"VILARDO LANE VILARDO AMD LOT 18"</f>
        <v>VILARDO LANE VILARDO AMD LOT 18</v>
      </c>
      <c r="D4171" s="1">
        <v>1328.39</v>
      </c>
    </row>
    <row r="4172" spans="1:4" x14ac:dyDescent="0.3">
      <c r="A4172" s="1" t="str">
        <f>"01006575700"</f>
        <v>01006575700</v>
      </c>
      <c r="B4172" s="1" t="str">
        <f>"FANTASTIC HOMES LLC"</f>
        <v>FANTASTIC HOMES LLC</v>
      </c>
      <c r="C4172" s="1" t="str">
        <f>"HELEN ST 537 FOREST HILL LOT 50"</f>
        <v>HELEN ST 537 FOREST HILL LOT 50</v>
      </c>
      <c r="D4172" s="1">
        <v>685.94</v>
      </c>
    </row>
    <row r="4173" spans="1:4" x14ac:dyDescent="0.3">
      <c r="A4173" s="1" t="str">
        <f>"01003865400"</f>
        <v>01003865400</v>
      </c>
      <c r="B4173" s="1" t="str">
        <f>"FANTASTIC HOMES LLC"</f>
        <v>FANTASTIC HOMES LLC</v>
      </c>
      <c r="C4173" s="1" t="str">
        <f>"445 S EUREKA AVE BELLAIRE EXT LOT 197"</f>
        <v>445 S EUREKA AVE BELLAIRE EXT LOT 197</v>
      </c>
      <c r="D4173" s="1">
        <v>934.74</v>
      </c>
    </row>
    <row r="4174" spans="1:4" x14ac:dyDescent="0.3">
      <c r="A4174" s="1" t="str">
        <f>"01002774500"</f>
        <v>01002774500</v>
      </c>
      <c r="B4174" s="1" t="str">
        <f>"FAR FRENCHIE INVESTMENTS LLC"</f>
        <v>FAR FRENCHIE INVESTMENTS LLC</v>
      </c>
      <c r="C4174" s="1" t="str">
        <f>"PARSONS 2ND LOT 34 "</f>
        <v xml:space="preserve">PARSONS 2ND LOT 34 </v>
      </c>
      <c r="D4174" s="1">
        <v>3774.01</v>
      </c>
    </row>
    <row r="4175" spans="1:4" x14ac:dyDescent="0.3">
      <c r="A4175" s="1" t="str">
        <f>"01004135700"</f>
        <v>01004135700</v>
      </c>
      <c r="B4175" s="1" t="str">
        <f>"FARADUNIA INVESTMENT LLC"</f>
        <v>FARADUNIA INVESTMENT LLC</v>
      </c>
      <c r="C4175" s="1" t="str">
        <f>"874 MT VERNON AVE JONES ADDITION LOT 74"</f>
        <v>874 MT VERNON AVE JONES ADDITION LOT 74</v>
      </c>
      <c r="D4175" s="1">
        <v>278.86</v>
      </c>
    </row>
    <row r="4176" spans="1:4" x14ac:dyDescent="0.3">
      <c r="A4176" s="1" t="str">
        <f>"52027757300"</f>
        <v>52027757300</v>
      </c>
      <c r="B4176" s="1" t="str">
        <f>"FARAH ABDIHAKIIN, MOHAMED MOHAMED A"</f>
        <v>FARAH ABDIHAKIIN, MOHAMED MOHAMED A</v>
      </c>
      <c r="C4176" s="1" t="str">
        <f>"2687 KANTIAN DRIVE TOWNE PARK SECTION 1 LOT 157"</f>
        <v>2687 KANTIAN DRIVE TOWNE PARK SECTION 1 LOT 157</v>
      </c>
      <c r="D4176" s="1">
        <v>3401.42</v>
      </c>
    </row>
    <row r="4177" spans="1:4" x14ac:dyDescent="0.3">
      <c r="A4177" s="1" t="str">
        <f>"52027754600"</f>
        <v>52027754600</v>
      </c>
      <c r="B4177" s="1" t="str">
        <f>"FARAH ADEN J, JAMA RIDWAN, MOHAMED HODAN"</f>
        <v>FARAH ADEN J, JAMA RIDWAN, MOHAMED HODAN</v>
      </c>
      <c r="C4177" s="1" t="str">
        <f>"RINALDI DRIVE TOWNE PARK SECTION 1 LOT 130"</f>
        <v>RINALDI DRIVE TOWNE PARK SECTION 1 LOT 130</v>
      </c>
      <c r="D4177" s="1">
        <v>3583.54</v>
      </c>
    </row>
    <row r="4178" spans="1:4" x14ac:dyDescent="0.3">
      <c r="A4178" s="1" t="str">
        <f>"02501302100"</f>
        <v>02501302100</v>
      </c>
      <c r="B4178" s="1" t="str">
        <f>"FARAH SHAKIR, KOSHIN RUUN A"</f>
        <v>FARAH SHAKIR, KOSHIN RUUN A</v>
      </c>
      <c r="C4178" s="1" t="str">
        <f>"THE WOODS AT SHAGBARK CONDOMINIUM 8TH AMD BLDG 19 UNIT 19-1194"</f>
        <v>THE WOODS AT SHAGBARK CONDOMINIUM 8TH AMD BLDG 19 UNIT 19-1194</v>
      </c>
      <c r="D4178" s="1">
        <v>6492.46</v>
      </c>
    </row>
    <row r="4179" spans="1:4" x14ac:dyDescent="0.3">
      <c r="A4179" s="1" t="str">
        <f>"19100064100"</f>
        <v>19100064100</v>
      </c>
      <c r="B4179" s="1" t="str">
        <f>"FARAH UBAH, NURRE SHERIFF"</f>
        <v>FARAH UBAH, NURRE SHERIFF</v>
      </c>
      <c r="C4179" s="1" t="str">
        <f>"MISSOURI AVE LEONARD PARK 50 BLK G"</f>
        <v>MISSOURI AVE LEONARD PARK 50 BLK G</v>
      </c>
      <c r="D4179" s="1">
        <v>788.57</v>
      </c>
    </row>
    <row r="4180" spans="1:4" x14ac:dyDescent="0.3">
      <c r="A4180" s="1" t="str">
        <f>"59017326000"</f>
        <v>59017326000</v>
      </c>
      <c r="B4180" s="1" t="str">
        <f>"FARBER PROPERTIES LLC"</f>
        <v>FARBER PROPERTIES LLC</v>
      </c>
      <c r="C4180" s="1" t="str">
        <f>"FOXBORO LANE FOXBORO VILLAGE SEC2 LOT 43"</f>
        <v>FOXBORO LANE FOXBORO VILLAGE SEC2 LOT 43</v>
      </c>
      <c r="D4180" s="1">
        <v>7465.73</v>
      </c>
    </row>
    <row r="4181" spans="1:4" x14ac:dyDescent="0.3">
      <c r="A4181" s="1" t="str">
        <f>"05000539400"</f>
        <v>05000539400</v>
      </c>
      <c r="B4181" s="1" t="str">
        <f>"FARES IBRAHIM A, FARES ABEER M"</f>
        <v>FARES IBRAHIM A, FARES ABEER M</v>
      </c>
      <c r="C4181" s="1" t="str">
        <f>"VANDORN COURT BRITTON FARMS SEC 1 LOT 62"</f>
        <v>VANDORN COURT BRITTON FARMS SEC 1 LOT 62</v>
      </c>
      <c r="D4181" s="1">
        <v>11959.42</v>
      </c>
    </row>
    <row r="4182" spans="1:4" x14ac:dyDescent="0.3">
      <c r="A4182" s="1" t="str">
        <f>"60011598300"</f>
        <v>60011598300</v>
      </c>
      <c r="B4182" s="1" t="str">
        <f>"FARIHAN HANNUN HOLDINGS LTD"</f>
        <v>FARIHAN HANNUN HOLDINGS LTD</v>
      </c>
      <c r="C4182" s="1" t="str">
        <f>"MORSE RD R15 T1 1/4 T4 .783 ACRE"</f>
        <v>MORSE RD R15 T1 1/4 T4 .783 ACRE</v>
      </c>
      <c r="D4182" s="1">
        <v>9013.0300000000007</v>
      </c>
    </row>
    <row r="4183" spans="1:4" x14ac:dyDescent="0.3">
      <c r="A4183" s="1" t="str">
        <f>"21000349000"</f>
        <v>21000349000</v>
      </c>
      <c r="B4183" s="1" t="str">
        <f>"FARINA MARIANA, KARPOW JUAN"</f>
        <v>FARINA MARIANA, KARPOW JUAN</v>
      </c>
      <c r="C4183" s="1" t="str">
        <f>"ARLINGTON POINTE CONDOMINIUM UNIT D 2601"</f>
        <v>ARLINGTON POINTE CONDOMINIUM UNIT D 2601</v>
      </c>
      <c r="D4183" s="1">
        <v>5066.29</v>
      </c>
    </row>
    <row r="4184" spans="1:4" x14ac:dyDescent="0.3">
      <c r="A4184" s="1" t="str">
        <f>"01015946400"</f>
        <v>01015946400</v>
      </c>
      <c r="B4184" s="1" t="str">
        <f>"FARISH CAROLYN A TTEE"</f>
        <v>FARISH CAROLYN A TTEE</v>
      </c>
      <c r="C4184" s="1" t="str">
        <f>"SHARON WOODS SEC 8 SHARON WOODS BLVD LOT 828"</f>
        <v>SHARON WOODS SEC 8 SHARON WOODS BLVD LOT 828</v>
      </c>
      <c r="D4184" s="1">
        <v>2014.87</v>
      </c>
    </row>
    <row r="4185" spans="1:4" x14ac:dyDescent="0.3">
      <c r="A4185" s="1" t="str">
        <f>"01007285200"</f>
        <v>01007285200</v>
      </c>
      <c r="B4185" s="1" t="str">
        <f>"FARLEY BRIAN"</f>
        <v>FARLEY BRIAN</v>
      </c>
      <c r="C4185" s="1" t="str">
        <f>"AZELDA ST ALMADA LOT 557"</f>
        <v>AZELDA ST ALMADA LOT 557</v>
      </c>
      <c r="D4185" s="1">
        <v>1702.77</v>
      </c>
    </row>
    <row r="4186" spans="1:4" x14ac:dyDescent="0.3">
      <c r="A4186" s="1" t="str">
        <f>"01012242500"</f>
        <v>01012242500</v>
      </c>
      <c r="B4186" s="1" t="str">
        <f>"FARLEY CLARK, FARLEY APRIL A"</f>
        <v>FARLEY CLARK, FARLEY APRIL A</v>
      </c>
      <c r="C4186" s="1" t="str">
        <f>"SCRIVEN AVE. GEORGIAN HTS. 5 LOT 14"</f>
        <v>SCRIVEN AVE. GEORGIAN HTS. 5 LOT 14</v>
      </c>
      <c r="D4186" s="1">
        <v>1449.22</v>
      </c>
    </row>
    <row r="4187" spans="1:4" x14ac:dyDescent="0.3">
      <c r="A4187" s="1" t="str">
        <f>"01011507400"</f>
        <v>01011507400</v>
      </c>
      <c r="B4187" s="1" t="str">
        <f>"FARLEY GLENDINE"</f>
        <v>FARLEY GLENDINE</v>
      </c>
      <c r="C4187" s="1" t="str">
        <f>"GLENDOWER AVE R22 T4 S3 0.197 ACRE    LOT11"</f>
        <v>GLENDOWER AVE R22 T4 S3 0.197 ACRE    LOT11</v>
      </c>
      <c r="D4187" s="1">
        <v>123.22</v>
      </c>
    </row>
    <row r="4188" spans="1:4" x14ac:dyDescent="0.3">
      <c r="A4188" s="1" t="str">
        <f>"01011507500"</f>
        <v>01011507500</v>
      </c>
      <c r="B4188" s="1" t="str">
        <f>"FARLEY GLENDINE"</f>
        <v>FARLEY GLENDINE</v>
      </c>
      <c r="C4188" s="1" t="str">
        <f>"GLENDOWER AVE R22 T4 S3 0.197 ACRE      LOT 12"</f>
        <v>GLENDOWER AVE R22 T4 S3 0.197 ACRE      LOT 12</v>
      </c>
      <c r="D4188" s="1">
        <v>20.76</v>
      </c>
    </row>
    <row r="4189" spans="1:4" x14ac:dyDescent="0.3">
      <c r="A4189" s="1" t="str">
        <f>"18500010100"</f>
        <v>18500010100</v>
      </c>
      <c r="B4189" s="1" t="str">
        <f>"FARLEY GWEN M"</f>
        <v>FARLEY GWEN M</v>
      </c>
      <c r="C4189" s="1" t="str">
        <f>"WALNUT ST ARNOLDS 3  "</f>
        <v xml:space="preserve">WALNUT ST ARNOLDS 3  </v>
      </c>
      <c r="D4189" s="1">
        <v>87.1</v>
      </c>
    </row>
    <row r="4190" spans="1:4" x14ac:dyDescent="0.3">
      <c r="A4190" s="1" t="str">
        <f>"11000240500"</f>
        <v>11000240500</v>
      </c>
      <c r="B4190" s="1" t="str">
        <f>"FARLEY JONATHAN D, FARLEY LISA J"</f>
        <v>FARLEY JONATHAN D, FARLEY LISA J</v>
      </c>
      <c r="C4190" s="1" t="str">
        <f>"2538 ABINGTON ROAD CLEVELAND HEIGHTS E1/2 L98 ALL L99-100"</f>
        <v>2538 ABINGTON ROAD CLEVELAND HEIGHTS E1/2 L98 ALL L99-100</v>
      </c>
      <c r="D4190" s="1">
        <v>91.58</v>
      </c>
    </row>
    <row r="4191" spans="1:4" x14ac:dyDescent="0.3">
      <c r="A4191" s="1" t="str">
        <f>"27300937700"</f>
        <v>27300937700</v>
      </c>
      <c r="B4191" s="1" t="str">
        <f>"FARLOW BEVERLY J, SCHWIETERMAN RICK J"</f>
        <v>FARLOW BEVERLY J, SCHWIETERMAN RICK J</v>
      </c>
      <c r="C4191" s="1" t="str">
        <f>"VILLAS OF EARLINGTON CONDOMINIUM 6TH AMD UNIT 10-D"</f>
        <v>VILLAS OF EARLINGTON CONDOMINIUM 6TH AMD UNIT 10-D</v>
      </c>
      <c r="D4191" s="1">
        <v>4287.25</v>
      </c>
    </row>
    <row r="4192" spans="1:4" x14ac:dyDescent="0.3">
      <c r="A4192" s="1" t="str">
        <f>"13000676900"</f>
        <v>13000676900</v>
      </c>
      <c r="B4192" s="1" t="str">
        <f>"FARMER BRENDA S"</f>
        <v>FARMER BRENDA S</v>
      </c>
      <c r="C4192" s="1" t="str">
        <f>"1948 ELMORE AVE LOT 352 ELMORE "</f>
        <v xml:space="preserve">1948 ELMORE AVE LOT 352 ELMORE </v>
      </c>
      <c r="D4192" s="1">
        <v>1457.38</v>
      </c>
    </row>
    <row r="4193" spans="1:4" x14ac:dyDescent="0.3">
      <c r="A4193" s="1" t="str">
        <f>"01007051000"</f>
        <v>01007051000</v>
      </c>
      <c r="B4193" s="1" t="str">
        <f>"FARMER CHARLOTTE C, FARMER MERLYN L"</f>
        <v>FARMER CHARLOTTE C, FARMER MERLYN L</v>
      </c>
      <c r="C4193" s="1" t="str">
        <f>"ELLIS PLACE WESTGATE LOT 76"</f>
        <v>ELLIS PLACE WESTGATE LOT 76</v>
      </c>
      <c r="D4193" s="1">
        <v>268.35000000000002</v>
      </c>
    </row>
    <row r="4194" spans="1:4" x14ac:dyDescent="0.3">
      <c r="A4194" s="1" t="str">
        <f>"06000148000"</f>
        <v>06000148000</v>
      </c>
      <c r="B4194" s="1" t="str">
        <f>"FARMER STEVEN M"</f>
        <v>FARMER STEVEN M</v>
      </c>
      <c r="C4194" s="1" t="str">
        <f>"NOCTURNE RD EAST BRIARCLIFF 1 120 "</f>
        <v xml:space="preserve">NOCTURNE RD EAST BRIARCLIFF 1 120 </v>
      </c>
      <c r="D4194" s="1">
        <v>1942.71</v>
      </c>
    </row>
    <row r="4195" spans="1:4" x14ac:dyDescent="0.3">
      <c r="A4195" s="1" t="str">
        <f>"11000246400"</f>
        <v>11000246400</v>
      </c>
      <c r="B4195" s="1" t="str">
        <f>"FARMMS REAL ESTATE MANAGEMENT LLC"</f>
        <v>FARMMS REAL ESTATE MANAGEMENT LLC</v>
      </c>
      <c r="C4195" s="1" t="str">
        <f>"CHESTER RD CLEVELAND HEIGHTS 2 LOT 205"</f>
        <v>CHESTER RD CLEVELAND HEIGHTS 2 LOT 205</v>
      </c>
      <c r="D4195" s="1">
        <v>659</v>
      </c>
    </row>
    <row r="4196" spans="1:4" x14ac:dyDescent="0.3">
      <c r="A4196" s="1" t="str">
        <f>"02000446600"</f>
        <v>02000446600</v>
      </c>
      <c r="B4196" s="1" t="str">
        <f>"FARQUHAR ROBERT A, HOWARD RACHEL"</f>
        <v>FARQUHAR ROBERT A, HOWARD RACHEL</v>
      </c>
      <c r="C4196" s="1" t="str">
        <f>"2339 SHERWOOD RD COURT PT LOT 12"</f>
        <v>2339 SHERWOOD RD COURT PT LOT 12</v>
      </c>
      <c r="D4196" s="1">
        <v>5181.8599999999997</v>
      </c>
    </row>
    <row r="4197" spans="1:4" x14ac:dyDescent="0.3">
      <c r="A4197" s="1" t="str">
        <f>"51525940000"</f>
        <v>51525940000</v>
      </c>
      <c r="B4197" s="1" t="str">
        <f>"FARRELL CHARLES A TTEE, FARRELL JUNE K TTEE"</f>
        <v>FARRELL CHARLES A TTEE, FARRELL JUNE K TTEE</v>
      </c>
      <c r="C4197" s="1" t="str">
        <f>"WAGGONER PARK CONDOMINIUM 2ND AMD UNIT 118"</f>
        <v>WAGGONER PARK CONDOMINIUM 2ND AMD UNIT 118</v>
      </c>
      <c r="D4197" s="1">
        <v>128.80000000000001</v>
      </c>
    </row>
    <row r="4198" spans="1:4" x14ac:dyDescent="0.3">
      <c r="A4198" s="1" t="str">
        <f>"01002873800"</f>
        <v>01002873800</v>
      </c>
      <c r="B4198" s="1" t="str">
        <f>"FARRELL MARGARET M"</f>
        <v>FARRELL MARGARET M</v>
      </c>
      <c r="C4198" s="1" t="str">
        <f>"179 E TOMPKINS ST GEO WILLIAMS LOT 155"</f>
        <v>179 E TOMPKINS ST GEO WILLIAMS LOT 155</v>
      </c>
      <c r="D4198" s="1">
        <v>5734.95</v>
      </c>
    </row>
    <row r="4199" spans="1:4" x14ac:dyDescent="0.3">
      <c r="A4199" s="1" t="str">
        <f>"01026840200"</f>
        <v>01026840200</v>
      </c>
      <c r="B4199" s="1" t="str">
        <f>"FARREN JONATHAN P TTEE"</f>
        <v>FARREN JONATHAN P TTEE</v>
      </c>
      <c r="C4199" s="1" t="str">
        <f>"NORTON CROSSING STREET    UPPER ALBANY SECTION 3    LOT 334                  "</f>
        <v xml:space="preserve">NORTON CROSSING STREET    UPPER ALBANY SECTION 3    LOT 334                  </v>
      </c>
      <c r="D4199" s="1">
        <v>274.58999999999997</v>
      </c>
    </row>
    <row r="4200" spans="1:4" x14ac:dyDescent="0.3">
      <c r="A4200" s="1" t="str">
        <f>"23000317800"</f>
        <v>23000317800</v>
      </c>
      <c r="B4200" s="1" t="str">
        <f>"FARRER NICHOLAS"</f>
        <v>FARRER NICHOLAS</v>
      </c>
      <c r="C4200" s="1" t="str">
        <f>"GARDNER ROAD ENTRY 2661 1.15 ACRES"</f>
        <v>GARDNER ROAD ENTRY 2661 1.15 ACRES</v>
      </c>
      <c r="D4200" s="1">
        <v>2788.89</v>
      </c>
    </row>
    <row r="4201" spans="1:4" x14ac:dyDescent="0.3">
      <c r="A4201" s="1" t="str">
        <f>"01022889800"</f>
        <v>01022889800</v>
      </c>
      <c r="B4201" s="1" t="str">
        <f>"FARRIS JAMES, FARRIS THERESA"</f>
        <v>FARRIS JAMES, FARRIS THERESA</v>
      </c>
      <c r="C4201" s="1" t="str">
        <f>"MCNEILL FARMS EAST CONDOMINIUM 1ST AMD UNIT 20C"</f>
        <v>MCNEILL FARMS EAST CONDOMINIUM 1ST AMD UNIT 20C</v>
      </c>
      <c r="D4201" s="1">
        <v>1145.0899999999999</v>
      </c>
    </row>
    <row r="4202" spans="1:4" x14ac:dyDescent="0.3">
      <c r="A4202" s="1" t="str">
        <f>"02000304000"</f>
        <v>02000304000</v>
      </c>
      <c r="B4202" s="1" t="str">
        <f>"FARROW MICHAEL"</f>
        <v>FARROW MICHAEL</v>
      </c>
      <c r="C4202" s="1" t="str">
        <f>"2583 STANBERY DR LOT 18 BEXLEY WOODS"</f>
        <v>2583 STANBERY DR LOT 18 BEXLEY WOODS</v>
      </c>
      <c r="D4202" s="1">
        <v>5962.72</v>
      </c>
    </row>
    <row r="4203" spans="1:4" x14ac:dyDescent="0.3">
      <c r="A4203" s="1" t="str">
        <f>"22200316800"</f>
        <v>22200316800</v>
      </c>
      <c r="B4203" s="1" t="str">
        <f>"FASORO LANRE B, FASORO ABIODUN A"</f>
        <v>FASORO LANRE B, FASORO ABIODUN A</v>
      </c>
      <c r="C4203" s="1" t="str">
        <f>"MARGARUM BEND NEW ALBANY LINKS SECTION 4 PART 3 LOT 446"</f>
        <v>MARGARUM BEND NEW ALBANY LINKS SECTION 4 PART 3 LOT 446</v>
      </c>
      <c r="D4203" s="1">
        <v>7370.88</v>
      </c>
    </row>
    <row r="4204" spans="1:4" x14ac:dyDescent="0.3">
      <c r="A4204" s="1" t="str">
        <f>"10000374100"</f>
        <v>10000374100</v>
      </c>
      <c r="B4204" s="1" t="str">
        <f>"FASSINGER RUTH"</f>
        <v>FASSINGER RUTH</v>
      </c>
      <c r="C4204" s="1" t="str">
        <f>"526 WHITNEY AVE WORTHINGTON ESTATES LOT 44 BLK N"</f>
        <v>526 WHITNEY AVE WORTHINGTON ESTATES LOT 44 BLK N</v>
      </c>
      <c r="D4204" s="1">
        <v>578.16999999999996</v>
      </c>
    </row>
    <row r="4205" spans="1:4" x14ac:dyDescent="0.3">
      <c r="A4205" s="1" t="str">
        <f>"52028900700"</f>
        <v>52028900700</v>
      </c>
      <c r="B4205" s="1" t="str">
        <f>"FATAH AHMED A"</f>
        <v>FATAH AHMED A</v>
      </c>
      <c r="C4205" s="1" t="str">
        <f>"TOWNE PARK SECTION 3 LOT 335"</f>
        <v>TOWNE PARK SECTION 3 LOT 335</v>
      </c>
      <c r="D4205" s="1">
        <v>6107.66</v>
      </c>
    </row>
    <row r="4206" spans="1:4" x14ac:dyDescent="0.3">
      <c r="A4206" s="1" t="str">
        <f>"15200039400"</f>
        <v>15200039400</v>
      </c>
      <c r="B4206" s="1" t="str">
        <f>"FATEH &amp; HAKEM INC"</f>
        <v>FATEH &amp; HAKEM INC</v>
      </c>
      <c r="C4206" s="1" t="str">
        <f>"200 GROVEPORT RD R22 T3-4 S14 .50 ACRES"</f>
        <v>200 GROVEPORT RD R22 T3-4 S14 .50 ACRES</v>
      </c>
      <c r="D4206" s="1">
        <v>1481.93</v>
      </c>
    </row>
    <row r="4207" spans="1:4" x14ac:dyDescent="0.3">
      <c r="A4207" s="1" t="str">
        <f>"15200000800"</f>
        <v>15200000800</v>
      </c>
      <c r="B4207" s="1" t="str">
        <f>"FATEH &amp; HAKEM INC"</f>
        <v>FATEH &amp; HAKEM INC</v>
      </c>
      <c r="C4207" s="1" t="str">
        <f>"4270 GROVEPORT PK T3-4 S14 R22 0.500 ACRE"</f>
        <v>4270 GROVEPORT PK T3-4 S14 R22 0.500 ACRE</v>
      </c>
      <c r="D4207" s="1">
        <v>3226.64</v>
      </c>
    </row>
    <row r="4208" spans="1:4" x14ac:dyDescent="0.3">
      <c r="A4208" s="1" t="str">
        <f>"01028729400"</f>
        <v>01028729400</v>
      </c>
      <c r="B4208" s="1" t="str">
        <f>"FATHERS FOOTHOLD LLC"</f>
        <v>FATHERS FOOTHOLD LLC</v>
      </c>
      <c r="C4208" s="1" t="str">
        <f>"THE HAMPTONS AT SHANNON LAKES CONDOMINIUM 4TH AMD UNIT 17-4325"</f>
        <v>THE HAMPTONS AT SHANNON LAKES CONDOMINIUM 4TH AMD UNIT 17-4325</v>
      </c>
      <c r="D4208" s="1">
        <v>1875.51</v>
      </c>
    </row>
    <row r="4209" spans="1:4" x14ac:dyDescent="0.3">
      <c r="A4209" s="1" t="str">
        <f>"01007190800"</f>
        <v>01007190800</v>
      </c>
      <c r="B4209" s="1" t="str">
        <f>"FAULHABER MARY M TR"</f>
        <v>FAULHABER MARY M TR</v>
      </c>
      <c r="C4209" s="1" t="str">
        <f>"ACTON RD NORTHRIDGE AMD LOT 414"</f>
        <v>ACTON RD NORTHRIDGE AMD LOT 414</v>
      </c>
      <c r="D4209" s="1">
        <v>285.13</v>
      </c>
    </row>
    <row r="4210" spans="1:4" x14ac:dyDescent="0.3">
      <c r="A4210" s="1" t="str">
        <f>"01008426600"</f>
        <v>01008426600</v>
      </c>
      <c r="B4210" s="1" t="str">
        <f>"FAULKNER ERIN M"</f>
        <v>FAULKNER ERIN M</v>
      </c>
      <c r="C4210" s="1" t="str">
        <f>"ZELLER RD ROSEMARY 32FT SS LT165 &amp; 23FT NS LOT 163"</f>
        <v>ZELLER RD ROSEMARY 32FT SS LT165 &amp; 23FT NS LOT 163</v>
      </c>
      <c r="D4210" s="1">
        <v>254.72</v>
      </c>
    </row>
    <row r="4211" spans="1:4" x14ac:dyDescent="0.3">
      <c r="A4211" s="1" t="str">
        <f>"01017833600"</f>
        <v>01017833600</v>
      </c>
      <c r="B4211" s="1" t="str">
        <f>"FAUVER DARLA K"</f>
        <v>FAUVER DARLA K</v>
      </c>
      <c r="C4211" s="1" t="str">
        <f>"WOODGATE CONDO PH 1 BLDG 3 UNIT 6055 "</f>
        <v xml:space="preserve">WOODGATE CONDO PH 1 BLDG 3 UNIT 6055 </v>
      </c>
      <c r="D4211" s="1">
        <v>1399.77</v>
      </c>
    </row>
    <row r="4212" spans="1:4" x14ac:dyDescent="0.3">
      <c r="A4212" s="1" t="str">
        <f>"01012959500"</f>
        <v>01012959500</v>
      </c>
      <c r="B4212" s="1" t="str">
        <f>"FAV FOUR LLC"</f>
        <v>FAV FOUR LLC</v>
      </c>
      <c r="C4212" s="1" t="str">
        <f>"1296 DUBLIN RD R23 T1 S11 1/2 S 2 4.51 ACRES"</f>
        <v>1296 DUBLIN RD R23 T1 S11 1/2 S 2 4.51 ACRES</v>
      </c>
      <c r="D4212" s="1">
        <v>2026.26</v>
      </c>
    </row>
    <row r="4213" spans="1:4" x14ac:dyDescent="0.3">
      <c r="A4213" s="1" t="str">
        <f>"01011412000"</f>
        <v>01011412000</v>
      </c>
      <c r="B4213" s="1" t="str">
        <f>"FAVILA AGUILAR VICENTE"</f>
        <v>FAVILA AGUILAR VICENTE</v>
      </c>
      <c r="C4213" s="1" t="str">
        <f>"LAWNDALE AVE ACRES .696 R22 T4 S1"</f>
        <v>LAWNDALE AVE ACRES .696 R22 T4 S1</v>
      </c>
      <c r="D4213" s="1">
        <v>3958.87</v>
      </c>
    </row>
    <row r="4214" spans="1:4" x14ac:dyDescent="0.3">
      <c r="A4214" s="1" t="str">
        <f>"01012906300"</f>
        <v>01012906300</v>
      </c>
      <c r="B4214" s="1" t="str">
        <f>"FAVOURS WILBUR P"</f>
        <v>FAVOURS WILBUR P</v>
      </c>
      <c r="C4214" s="1" t="str">
        <f>"MOLER RD MILLBROOK LOT 201"</f>
        <v>MOLER RD MILLBROOK LOT 201</v>
      </c>
      <c r="D4214" s="1">
        <v>332.19</v>
      </c>
    </row>
    <row r="4215" spans="1:4" x14ac:dyDescent="0.3">
      <c r="A4215" s="1" t="str">
        <f>"01010836100"</f>
        <v>01010836100</v>
      </c>
      <c r="B4215" s="1" t="str">
        <f>"FAVRET PATRICK J, FAVRET CATHERINE K"</f>
        <v>FAVRET PATRICK J, FAVRET CATHERINE K</v>
      </c>
      <c r="C4215" s="1" t="str">
        <f>"CLEARVIEW AVE MARBURN LOT 107"</f>
        <v>CLEARVIEW AVE MARBURN LOT 107</v>
      </c>
      <c r="D4215" s="1">
        <v>2628.54</v>
      </c>
    </row>
    <row r="4216" spans="1:4" x14ac:dyDescent="0.3">
      <c r="A4216" s="1" t="str">
        <f>"01010481000"</f>
        <v>01010481000</v>
      </c>
      <c r="B4216" s="1" t="str">
        <f>"FAZIO FRANK A, FAZIO HELEN I"</f>
        <v>FAZIO FRANK A, FAZIO HELEN I</v>
      </c>
      <c r="C4216" s="1" t="str">
        <f>"STRIMPLE AVE CHASELAND MANOR LOT 33"</f>
        <v>STRIMPLE AVE CHASELAND MANOR LOT 33</v>
      </c>
      <c r="D4216" s="1">
        <v>1523.5</v>
      </c>
    </row>
    <row r="4217" spans="1:4" x14ac:dyDescent="0.3">
      <c r="A4217" s="1" t="str">
        <f>"27300006900"</f>
        <v>27300006900</v>
      </c>
      <c r="B4217" s="1" t="str">
        <f>"FBN INVESTMENTS LLC"</f>
        <v>FBN INVESTMENTS LLC</v>
      </c>
      <c r="C4217" s="1" t="str">
        <f>"HIGH ST 66FT WE 38FT EE SW PT LOT 126"</f>
        <v>HIGH ST 66FT WE 38FT EE SW PT LOT 126</v>
      </c>
      <c r="D4217" s="1">
        <v>5601.73</v>
      </c>
    </row>
    <row r="4218" spans="1:4" x14ac:dyDescent="0.3">
      <c r="A4218" s="1" t="str">
        <f>"56023312400"</f>
        <v>56023312400</v>
      </c>
      <c r="B4218" s="1" t="str">
        <f>"FEATHERS KELSEY, FEATHERS ANDREA"</f>
        <v>FEATHERS KELSEY, FEATHERS ANDREA</v>
      </c>
      <c r="C4218" s="1" t="str">
        <f>"PUNDERSON DRIVE WESTERN LAKES SEC 6 PART 2 LOT 315"</f>
        <v>PUNDERSON DRIVE WESTERN LAKES SEC 6 PART 2 LOT 315</v>
      </c>
      <c r="D4218" s="1">
        <v>408.65</v>
      </c>
    </row>
    <row r="4219" spans="1:4" x14ac:dyDescent="0.3">
      <c r="A4219" s="1" t="str">
        <f>"01007506300"</f>
        <v>01007506300</v>
      </c>
      <c r="B4219" s="1" t="str">
        <f>"FEDOR NICOLAS, ACOSTA VIVIANA"</f>
        <v>FEDOR NICOLAS, ACOSTA VIVIANA</v>
      </c>
      <c r="C4219" s="1" t="str">
        <f>"JEFFERSON AVE GRASMERE GARDENS LOT 300"</f>
        <v>JEFFERSON AVE GRASMERE GARDENS LOT 300</v>
      </c>
      <c r="D4219" s="1">
        <v>761.29</v>
      </c>
    </row>
    <row r="4220" spans="1:4" x14ac:dyDescent="0.3">
      <c r="A4220" s="1" t="str">
        <f>"06000028900"</f>
        <v>06000028900</v>
      </c>
      <c r="B4220" s="1" t="str">
        <f>"FEE AMY"</f>
        <v>FEE AMY</v>
      </c>
      <c r="C4220" s="1" t="str">
        <f>"BRYDEN RD LT 22 &amp; 9.25FT ES 21 HIGHLAND TERRACE"</f>
        <v>BRYDEN RD LT 22 &amp; 9.25FT ES 21 HIGHLAND TERRACE</v>
      </c>
      <c r="D4220" s="1">
        <v>1813.19</v>
      </c>
    </row>
    <row r="4221" spans="1:4" x14ac:dyDescent="0.3">
      <c r="A4221" s="1" t="str">
        <f>"06000010100"</f>
        <v>06000010100</v>
      </c>
      <c r="B4221" s="1" t="str">
        <f>"FEE AMY"</f>
        <v>FEE AMY</v>
      </c>
      <c r="C4221" s="1" t="str">
        <f>"E BRYDEN RD 26.2FT ES L 51 &amp; 26.25FT WSL52 HGHLND TRRACE"</f>
        <v>E BRYDEN RD 26.2FT ES L 51 &amp; 26.25FT WSL52 HGHLND TRRACE</v>
      </c>
      <c r="D4221" s="1">
        <v>1500.83</v>
      </c>
    </row>
    <row r="4222" spans="1:4" x14ac:dyDescent="0.3">
      <c r="A4222" s="1" t="str">
        <f>"07000749700"</f>
        <v>07000749700</v>
      </c>
      <c r="B4222" s="1" t="str">
        <f>"FEHER J EDWARD, FEHER SUSAN J"</f>
        <v>FEHER J EDWARD, FEHER SUSAN J</v>
      </c>
      <c r="C4222" s="1" t="str">
        <f>"4151 FAIRFAX DR FAIRFAX AMD LOTS 95 TO 106 INC 108"</f>
        <v>4151 FAIRFAX DR FAIRFAX AMD LOTS 95 TO 106 INC 108</v>
      </c>
      <c r="D4222" s="1">
        <v>768.96</v>
      </c>
    </row>
    <row r="4223" spans="1:4" x14ac:dyDescent="0.3">
      <c r="A4223" s="1" t="str">
        <f>"59022907200"</f>
        <v>59022907200</v>
      </c>
      <c r="B4223" s="1" t="str">
        <f>"FELICE DIANA R"</f>
        <v>FELICE DIANA R</v>
      </c>
      <c r="C4223" s="1" t="str">
        <f>"DUBLIN GREEN CONDOMINIUM PHASE 1 UNIT 2323-102"</f>
        <v>DUBLIN GREEN CONDOMINIUM PHASE 1 UNIT 2323-102</v>
      </c>
      <c r="D4223" s="1">
        <v>901.22</v>
      </c>
    </row>
    <row r="4224" spans="1:4" x14ac:dyDescent="0.3">
      <c r="A4224" s="1" t="str">
        <f>"05000714100"</f>
        <v>05000714100</v>
      </c>
      <c r="B4224" s="1" t="str">
        <f>"FELICETTY RUSSELL PAUL, FELICETTY AMY M M"</f>
        <v>FELICETTY RUSSELL PAUL, FELICETTY AMY M M</v>
      </c>
      <c r="C4224" s="1" t="str">
        <f>"DAVIDSON RUN DR DAVIDSON RUN SEC 1 LOT 5"</f>
        <v>DAVIDSON RUN DR DAVIDSON RUN SEC 1 LOT 5</v>
      </c>
      <c r="D4224" s="1">
        <v>5424.35</v>
      </c>
    </row>
    <row r="4225" spans="1:4" x14ac:dyDescent="0.3">
      <c r="A4225" s="1" t="str">
        <f>"01007499000"</f>
        <v>01007499000</v>
      </c>
      <c r="B4225" s="1" t="str">
        <f>"FELICIANO YAHAIRA COTTO, ABREU ENMANUEL CORONADO"</f>
        <v>FELICIANO YAHAIRA COTTO, ABREU ENMANUEL CORONADO</v>
      </c>
      <c r="C4225" s="1" t="str">
        <f>"MCGUFFEY RD GRASMERE GRDNS LOT 224"</f>
        <v>MCGUFFEY RD GRASMERE GRDNS LOT 224</v>
      </c>
      <c r="D4225" s="1">
        <v>1488.63</v>
      </c>
    </row>
    <row r="4226" spans="1:4" x14ac:dyDescent="0.3">
      <c r="A4226" s="1" t="str">
        <f>"01005787400"</f>
        <v>01005787400</v>
      </c>
      <c r="B4226" s="1" t="str">
        <f>"FELL DEVAN MICHAEL"</f>
        <v>FELL DEVAN MICHAEL</v>
      </c>
      <c r="C4226" s="1" t="str">
        <f>"218 BELVIDERE AVE GLENWOOD HTS LOT 258-9-60"</f>
        <v>218 BELVIDERE AVE GLENWOOD HTS LOT 258-9-60</v>
      </c>
      <c r="D4226" s="1">
        <v>52.31</v>
      </c>
    </row>
    <row r="4227" spans="1:4" x14ac:dyDescent="0.3">
      <c r="A4227" s="1" t="str">
        <f>"04000855600"</f>
        <v>04000855600</v>
      </c>
      <c r="B4227" s="1" t="str">
        <f>"FELLNER BARRY J II, FELLNER LINDA S"</f>
        <v>FELLNER BARRY J II, FELLNER LINDA S</v>
      </c>
      <c r="C4227" s="1" t="str">
        <f>"THE WILLOWS AT QUAIL CREEK CONDO 1ST AMD BLDG 7 UNIT 5765"</f>
        <v>THE WILLOWS AT QUAIL CREEK CONDO 1ST AMD BLDG 7 UNIT 5765</v>
      </c>
      <c r="D4227" s="1">
        <v>547.30999999999995</v>
      </c>
    </row>
    <row r="4228" spans="1:4" x14ac:dyDescent="0.3">
      <c r="A4228" s="1" t="str">
        <f>"01019403600"</f>
        <v>01019403600</v>
      </c>
      <c r="B4228" s="1" t="str">
        <f>"FELLOWS ROLAND, CHAKOIAN KAREN"</f>
        <v>FELLOWS ROLAND, CHAKOIAN KAREN</v>
      </c>
      <c r="C4228" s="1" t="str">
        <f>"1439C LAKE SHORE DR HIDDEN LAKE CONDO 1 UNIT 117 BLDG 8"</f>
        <v>1439C LAKE SHORE DR HIDDEN LAKE CONDO 1 UNIT 117 BLDG 8</v>
      </c>
      <c r="D4228" s="1">
        <v>2403.23</v>
      </c>
    </row>
    <row r="4229" spans="1:4" x14ac:dyDescent="0.3">
      <c r="A4229" s="1" t="str">
        <f>"56026138500"</f>
        <v>56026138500</v>
      </c>
      <c r="B4229" s="1" t="str">
        <f>"FELLURE BETH A"</f>
        <v>FELLURE BETH A</v>
      </c>
      <c r="C4229" s="1" t="str">
        <f>"SPLITROCK ROAD QUARRY POINTE SECTION 2 PART 2 LOT 85"</f>
        <v>SPLITROCK ROAD QUARRY POINTE SECTION 2 PART 2 LOT 85</v>
      </c>
      <c r="D4229" s="1">
        <v>8523.9</v>
      </c>
    </row>
    <row r="4230" spans="1:4" x14ac:dyDescent="0.3">
      <c r="A4230" s="1" t="str">
        <f>"01002280700"</f>
        <v>01002280700</v>
      </c>
      <c r="B4230" s="1" t="str">
        <f>"FELONS TO FLIPPERS LLC"</f>
        <v>FELONS TO FLIPPERS LLC</v>
      </c>
      <c r="C4230" s="1" t="str">
        <f>"910 CHAMPION AVE OLD ORCHARD LOT 253"</f>
        <v>910 CHAMPION AVE OLD ORCHARD LOT 253</v>
      </c>
      <c r="D4230" s="1">
        <v>10833.62</v>
      </c>
    </row>
    <row r="4231" spans="1:4" x14ac:dyDescent="0.3">
      <c r="A4231" s="1" t="str">
        <f>"27300870000"</f>
        <v>27300870000</v>
      </c>
      <c r="B4231" s="1" t="str">
        <f>"FELTS ADAM D, FELTS JULIA K"</f>
        <v>FELTS ADAM D, FELTS JULIA K</v>
      </c>
      <c r="C4231" s="1" t="str">
        <f>"GRANDEE CLIFFS DR GRANDEE CLIFFS EST LOT 5"</f>
        <v>GRANDEE CLIFFS DR GRANDEE CLIFFS EST LOT 5</v>
      </c>
      <c r="D4231" s="1">
        <v>371.72</v>
      </c>
    </row>
    <row r="4232" spans="1:4" x14ac:dyDescent="0.3">
      <c r="A4232" s="1" t="str">
        <f>"57016975100"</f>
        <v>57016975100</v>
      </c>
      <c r="B4232" s="1" t="str">
        <f>"FELTY DARRELL L, FELTY BARBARA O"</f>
        <v>FELTY DARRELL L, FELTY BARBARA O</v>
      </c>
      <c r="C4232" s="1" t="str">
        <f>"CHANWICK DR AMD LEHNERT FARM 1 LOT 59"</f>
        <v>CHANWICK DR AMD LEHNERT FARM 1 LOT 59</v>
      </c>
      <c r="D4232" s="1">
        <v>220</v>
      </c>
    </row>
    <row r="4233" spans="1:4" x14ac:dyDescent="0.3">
      <c r="A4233" s="1" t="str">
        <f>"52016884900"</f>
        <v>52016884900</v>
      </c>
      <c r="B4233" s="1" t="str">
        <f>"FENELL JEFFREY M, FENELL DARLENE A"</f>
        <v>FENELL JEFFREY M, FENELL DARLENE A</v>
      </c>
      <c r="C4233" s="1" t="str">
        <f>"HALPERN ST VIRGINIA TERRACE LOT110"</f>
        <v>HALPERN ST VIRGINIA TERRACE LOT110</v>
      </c>
      <c r="D4233" s="1">
        <v>2087.65</v>
      </c>
    </row>
    <row r="4234" spans="1:4" x14ac:dyDescent="0.3">
      <c r="A4234" s="1" t="str">
        <f>"01025852300"</f>
        <v>01025852300</v>
      </c>
      <c r="B4234" s="1" t="str">
        <f>"FENN KAY E"</f>
        <v>FENN KAY E</v>
      </c>
      <c r="C4234" s="1" t="str">
        <f>"COLLINGWOOD POINTE AT THE PRESERVE CONDOMINIUM 1ST AMD UNIT 4-4565"</f>
        <v>COLLINGWOOD POINTE AT THE PRESERVE CONDOMINIUM 1ST AMD UNIT 4-4565</v>
      </c>
      <c r="D4234" s="1">
        <v>2244.58</v>
      </c>
    </row>
    <row r="4235" spans="1:4" x14ac:dyDescent="0.3">
      <c r="A4235" s="1" t="str">
        <f>"26000036500"</f>
        <v>26000036500</v>
      </c>
      <c r="B4235" s="1" t="str">
        <f>"FENNEKEN MARY A"</f>
        <v>FENNEKEN MARY A</v>
      </c>
      <c r="C4235" s="1" t="str">
        <f>"OLIVETTE RD QUALSTAN EAST LOT 508"</f>
        <v>OLIVETTE RD QUALSTAN EAST LOT 508</v>
      </c>
      <c r="D4235" s="1">
        <v>144.11000000000001</v>
      </c>
    </row>
    <row r="4236" spans="1:4" x14ac:dyDescent="0.3">
      <c r="A4236" s="1" t="str">
        <f>"01014123100"</f>
        <v>01014123100</v>
      </c>
      <c r="B4236" s="1" t="str">
        <f>"FENTIMAN DOUGLAS A TR ( FENTIMAN FAMILY TRUST )"</f>
        <v>FENTIMAN DOUGLAS A TR ( FENTIMAN FAMILY TRUST )</v>
      </c>
      <c r="C4236" s="1" t="str">
        <f>"CRANWOOD SQ S DEVONSHIRE 5 SEC 8 LOT 505"</f>
        <v>CRANWOOD SQ S DEVONSHIRE 5 SEC 8 LOT 505</v>
      </c>
      <c r="D4236" s="1">
        <v>1576.49</v>
      </c>
    </row>
    <row r="4237" spans="1:4" x14ac:dyDescent="0.3">
      <c r="A4237" s="1" t="str">
        <f>"01008199000"</f>
        <v>01008199000</v>
      </c>
      <c r="B4237" s="1" t="str">
        <f>"FERGUSON JAMES II"</f>
        <v>FERGUSON JAMES II</v>
      </c>
      <c r="C4237" s="1" t="str">
        <f>"139 E 1ST AVE 54.67X      30.05FT N MID PT GW       RICE LOT 11              "</f>
        <v xml:space="preserve">139 E 1ST AVE 54.67X      30.05FT N MID PT GW       RICE LOT 11              </v>
      </c>
      <c r="D4237" s="1">
        <v>445.32</v>
      </c>
    </row>
    <row r="4238" spans="1:4" x14ac:dyDescent="0.3">
      <c r="A4238" s="1" t="str">
        <f>"04001340200"</f>
        <v>04001340200</v>
      </c>
      <c r="B4238" s="1" t="str">
        <f>"FERGUSON KERRY L, FERGUSON APRIL M"</f>
        <v>FERGUSON KERRY L, FERGUSON APRIL M</v>
      </c>
      <c r="C4238" s="1" t="str">
        <f>"FOUNTAINVIEW AT PARKWAY   CONDOMINIUM 5TH AMD       UNIT 30-1384             "</f>
        <v xml:space="preserve">FOUNTAINVIEW AT PARKWAY   CONDOMINIUM 5TH AMD       UNIT 30-1384             </v>
      </c>
      <c r="D4238" s="1">
        <v>3715.33</v>
      </c>
    </row>
    <row r="4239" spans="1:4" x14ac:dyDescent="0.3">
      <c r="A4239" s="1" t="str">
        <f>"01011153700"</f>
        <v>01011153700</v>
      </c>
      <c r="B4239" s="1" t="str">
        <f>"FERGUSON LORI P"</f>
        <v>FERGUSON LORI P</v>
      </c>
      <c r="C4239" s="1" t="str">
        <f>"HIGH ST 40 FT N E COR HOME ACRES LOT 11"</f>
        <v>HIGH ST 40 FT N E COR HOME ACRES LOT 11</v>
      </c>
      <c r="D4239" s="1">
        <v>2222.34</v>
      </c>
    </row>
    <row r="4240" spans="1:4" x14ac:dyDescent="0.3">
      <c r="A4240" s="1" t="str">
        <f>"01007939600"</f>
        <v>01007939600</v>
      </c>
      <c r="B4240" s="1" t="str">
        <f>"FERGUSON-KOMFAH DARNESE R, FERGUSON CHRISTOPHER O"</f>
        <v>FERGUSON-KOMFAH DARNESE R, FERGUSON CHRISTOPHER O</v>
      </c>
      <c r="C4240" s="1" t="str">
        <f>"22ND AVE LINMOOR LOT 97"</f>
        <v>22ND AVE LINMOOR LOT 97</v>
      </c>
      <c r="D4240" s="1">
        <v>430.58</v>
      </c>
    </row>
    <row r="4241" spans="1:4" x14ac:dyDescent="0.3">
      <c r="A4241" s="1" t="str">
        <f>"01010244700"</f>
        <v>01010244700</v>
      </c>
      <c r="B4241" s="1" t="str">
        <f>"FERNANDEZ ANDRADE JOSE LUIS"</f>
        <v>FERNANDEZ ANDRADE JOSE LUIS</v>
      </c>
      <c r="C4241" s="1" t="str">
        <f>"1010 BINNS BLVD ACRES .1845 ENTRY 971"</f>
        <v>1010 BINNS BLVD ACRES .1845 ENTRY 971</v>
      </c>
      <c r="D4241" s="1">
        <v>2799.32</v>
      </c>
    </row>
    <row r="4242" spans="1:4" x14ac:dyDescent="0.3">
      <c r="A4242" s="1" t="str">
        <f>"61020577300"</f>
        <v>61020577300</v>
      </c>
      <c r="B4242" s="1" t="str">
        <f>"FERREE RONALD A, FERREE ROBERTA L"</f>
        <v>FERREE RONALD A, FERREE ROBERTA L</v>
      </c>
      <c r="C4242" s="1" t="str">
        <f>"WORTHINGTON WOODS WEST CONDO #9 1ST AMD UNIT 26-E"</f>
        <v>WORTHINGTON WOODS WEST CONDO #9 1ST AMD UNIT 26-E</v>
      </c>
      <c r="D4242" s="1">
        <v>3653.12</v>
      </c>
    </row>
    <row r="4243" spans="1:4" x14ac:dyDescent="0.3">
      <c r="A4243" s="1" t="str">
        <f>"02000044400"</f>
        <v>02000044400</v>
      </c>
      <c r="B4243" s="1" t="str">
        <f>"FERREL JASON R TTEE, FERREL JOANNA TTEE"</f>
        <v>FERREL JASON R TTEE, FERREL JOANNA TTEE</v>
      </c>
      <c r="C4243" s="1" t="str">
        <f>"256 S COLUMBIA AVE POWELLS PARK VIEW LOTS 7-8 &amp; 80' WS LOTS 5-6 &amp; NE PT LOT 9"</f>
        <v>256 S COLUMBIA AVE POWELLS PARK VIEW LOTS 7-8 &amp; 80' WS LOTS 5-6 &amp; NE PT LOT 9</v>
      </c>
      <c r="D4243" s="1">
        <v>29106.45</v>
      </c>
    </row>
    <row r="4244" spans="1:4" x14ac:dyDescent="0.3">
      <c r="A4244" s="1" t="str">
        <f>"01004839000"</f>
        <v>01004839000</v>
      </c>
      <c r="B4244" s="1" t="str">
        <f>"FERRELL ERNEST L"</f>
        <v>FERRELL ERNEST L</v>
      </c>
      <c r="C4244" s="1" t="str">
        <f>"DREXEL PARK LOT 119 "</f>
        <v xml:space="preserve">DREXEL PARK LOT 119 </v>
      </c>
      <c r="D4244" s="1">
        <v>2447.6799999999998</v>
      </c>
    </row>
    <row r="4245" spans="1:4" x14ac:dyDescent="0.3">
      <c r="A4245" s="1" t="str">
        <f>"01016596200"</f>
        <v>01016596200</v>
      </c>
      <c r="B4245" s="1" t="str">
        <f>"FERRELL JOHN JR"</f>
        <v>FERRELL JOHN JR</v>
      </c>
      <c r="C4245" s="1" t="str">
        <f>"WINDING HILLS CONDO II BROADLEAF COURT UNIT 2538 BLDG 19"</f>
        <v>WINDING HILLS CONDO II BROADLEAF COURT UNIT 2538 BLDG 19</v>
      </c>
      <c r="D4245" s="1">
        <v>2072.4699999999998</v>
      </c>
    </row>
    <row r="4246" spans="1:4" x14ac:dyDescent="0.3">
      <c r="A4246" s="1" t="str">
        <f>"01006943800"</f>
        <v>01006943800</v>
      </c>
      <c r="B4246" s="1" t="str">
        <f>"FERRELL LESTER U, FERRELL TINA M"</f>
        <v>FERRELL LESTER U, FERRELL TINA M</v>
      </c>
      <c r="C4246" s="1" t="str">
        <f>"MINNESOTA AVE WOLFE &amp; CAREYS LOT 34 &amp; PT VAC R/W"</f>
        <v>MINNESOTA AVE WOLFE &amp; CAREYS LOT 34 &amp; PT VAC R/W</v>
      </c>
      <c r="D4246" s="1">
        <v>923.07</v>
      </c>
    </row>
    <row r="4247" spans="1:4" x14ac:dyDescent="0.3">
      <c r="A4247" s="1" t="str">
        <f>"27400100300"</f>
        <v>27400100300</v>
      </c>
      <c r="B4247" s="1" t="str">
        <f>"FERRELL SHARON LYNN, LEMASTER SHEILA GAY, LEMASTER BARBARA J"</f>
        <v>FERRELL SHARON LYNN, LEMASTER SHEILA GAY, LEMASTER BARBARA J</v>
      </c>
      <c r="C4247" s="1" t="str">
        <f>"COFFMAN RD 6. AC PAR 7 OQ 1180- 560 2-3 ENT6953-3453"</f>
        <v>COFFMAN RD 6. AC PAR 7 OQ 1180- 560 2-3 ENT6953-3453</v>
      </c>
      <c r="D4247" s="1">
        <v>17.43</v>
      </c>
    </row>
    <row r="4248" spans="1:4" x14ac:dyDescent="0.3">
      <c r="A4248" s="1" t="str">
        <f>"27400100200"</f>
        <v>27400100200</v>
      </c>
      <c r="B4248" s="1" t="str">
        <f>"FERRELL SHARON LYNN, LEMASTER SHEILA GAY, LEMASTER BARBARA J"</f>
        <v>FERRELL SHARON LYNN, LEMASTER SHEILA GAY, LEMASTER BARBARA J</v>
      </c>
      <c r="C4248" s="1" t="str">
        <f>"RINGS RD ENTRY 6953 10.0 ACRES"</f>
        <v>RINGS RD ENTRY 6953 10.0 ACRES</v>
      </c>
      <c r="D4248" s="1">
        <v>34.369999999999997</v>
      </c>
    </row>
    <row r="4249" spans="1:4" x14ac:dyDescent="0.3">
      <c r="A4249" s="1" t="str">
        <f>"01010354400"</f>
        <v>01010354400</v>
      </c>
      <c r="B4249" s="1" t="str">
        <f>"FERRELL TENNIS L"</f>
        <v>FERRELL TENNIS L</v>
      </c>
      <c r="C4249" s="1" t="str">
        <f>"HOMESTEAD DR WH DAVIS LOT 126"</f>
        <v>HOMESTEAD DR WH DAVIS LOT 126</v>
      </c>
      <c r="D4249" s="1">
        <v>2033.05</v>
      </c>
    </row>
    <row r="4250" spans="1:4" x14ac:dyDescent="0.3">
      <c r="A4250" s="1" t="str">
        <f>"51023737800"</f>
        <v>51023737800</v>
      </c>
      <c r="B4250" s="1" t="str">
        <f>"FERRELLGAS LP"</f>
        <v>FERRELLGAS LP</v>
      </c>
      <c r="C4250" s="1" t="str">
        <f>"COLS AIRPORT ROAD LOCKBOURNE INDSTL PK PT RES B=1.850 ACRES"</f>
        <v>COLS AIRPORT ROAD LOCKBOURNE INDSTL PK PT RES B=1.850 ACRES</v>
      </c>
      <c r="D4250" s="1">
        <v>228.6</v>
      </c>
    </row>
    <row r="4251" spans="1:4" x14ac:dyDescent="0.3">
      <c r="A4251" s="1" t="str">
        <f>"06000533500"</f>
        <v>06000533500</v>
      </c>
      <c r="B4251" s="1" t="str">
        <f>"FERRER LUIS C, FERRER ARACELI"</f>
        <v>FERRER LUIS C, FERRER ARACELI</v>
      </c>
      <c r="C4251" s="1" t="str">
        <f>"BRICE ROAD AMD SUB OF ROSE HILL LOT 458"</f>
        <v>BRICE ROAD AMD SUB OF ROSE HILL LOT 458</v>
      </c>
      <c r="D4251" s="1">
        <v>230.89</v>
      </c>
    </row>
    <row r="4252" spans="1:4" x14ac:dyDescent="0.3">
      <c r="A4252" s="1" t="str">
        <f>"01004493600"</f>
        <v>01004493600</v>
      </c>
      <c r="B4252" s="1" t="str">
        <f>"FETHEROLF GERALD, FETHEROLF ROSE M"</f>
        <v>FETHEROLF GERALD, FETHEROLF ROSE M</v>
      </c>
      <c r="C4252" s="1" t="str">
        <f>"STEVENS AVE BELMONT LOT 51"</f>
        <v>STEVENS AVE BELMONT LOT 51</v>
      </c>
      <c r="D4252" s="1">
        <v>142.68</v>
      </c>
    </row>
    <row r="4253" spans="1:4" x14ac:dyDescent="0.3">
      <c r="A4253" s="1" t="str">
        <f>"07001091700"</f>
        <v>07001091700</v>
      </c>
      <c r="B4253" s="1" t="str">
        <f>"FETTERS AMANDA, FETTERS WILLIAM"</f>
        <v>FETTERS AMANDA, FETTERS WILLIAM</v>
      </c>
      <c r="C4253" s="1" t="str">
        <f>"4150 CHADBOURNE DR COVENTRY ESTATES 15 "</f>
        <v xml:space="preserve">4150 CHADBOURNE DR COVENTRY ESTATES 15 </v>
      </c>
      <c r="D4253" s="1">
        <v>18933.66</v>
      </c>
    </row>
    <row r="4254" spans="1:4" x14ac:dyDescent="0.3">
      <c r="A4254" s="1" t="str">
        <f>"01019436200"</f>
        <v>01019436200</v>
      </c>
      <c r="B4254" s="1" t="str">
        <f>"FETTERS AMANDA, FETTERS WILLIAM"</f>
        <v>FETTERS AMANDA, FETTERS WILLIAM</v>
      </c>
      <c r="C4254" s="1" t="str">
        <f>"5357-302 PORTLAND ST NORTHAMPTON VILLAGE CONDO PH1 BLDG 4 UNIT 94"</f>
        <v>5357-302 PORTLAND ST NORTHAMPTON VILLAGE CONDO PH1 BLDG 4 UNIT 94</v>
      </c>
      <c r="D4254" s="1">
        <v>2196.83</v>
      </c>
    </row>
    <row r="4255" spans="1:4" x14ac:dyDescent="0.3">
      <c r="A4255" s="1" t="str">
        <f>"01017739600"</f>
        <v>01017739600</v>
      </c>
      <c r="B4255" s="1" t="str">
        <f>"FEVRIER LOUIS B"</f>
        <v>FEVRIER LOUIS B</v>
      </c>
      <c r="C4255" s="1" t="str">
        <f>"HENDEREED VIL CONDO UNIT BLDG 1922 9 "</f>
        <v xml:space="preserve">HENDEREED VIL CONDO UNIT BLDG 1922 9 </v>
      </c>
      <c r="D4255" s="1">
        <v>1626.28</v>
      </c>
    </row>
    <row r="4256" spans="1:4" x14ac:dyDescent="0.3">
      <c r="A4256" s="1" t="str">
        <f>"07000139900"</f>
        <v>07000139900</v>
      </c>
      <c r="B4256" s="1" t="str">
        <f>"FEYKO JAMES, FEYKO LORI J"</f>
        <v>FEYKO JAMES, FEYKO LORI J</v>
      </c>
      <c r="C4256" s="1" t="str">
        <f>"2591 HENTHORN RD GUILFORD PLACE LOT 268"</f>
        <v>2591 HENTHORN RD GUILFORD PLACE LOT 268</v>
      </c>
      <c r="D4256" s="1">
        <v>456.4</v>
      </c>
    </row>
    <row r="4257" spans="1:4" x14ac:dyDescent="0.3">
      <c r="A4257" s="1" t="str">
        <f>"02501367300"</f>
        <v>02501367300</v>
      </c>
      <c r="B4257" s="1" t="str">
        <f>"FG MNTO I GAHANNA LLC"</f>
        <v>FG MNTO I GAHANNA LLC</v>
      </c>
      <c r="C4257" s="1" t="str">
        <f>"TECH CENTER               COMMONS                   LOT 3                    "</f>
        <v xml:space="preserve">TECH CENTER               COMMONS                   LOT 3                    </v>
      </c>
      <c r="D4257" s="1">
        <v>209179.16</v>
      </c>
    </row>
    <row r="4258" spans="1:4" x14ac:dyDescent="0.3">
      <c r="A4258" s="1" t="str">
        <f>"08000013100"</f>
        <v>08000013100</v>
      </c>
      <c r="B4258" s="1" t="str">
        <f>"FICKEISEN RITA L TTEE"</f>
        <v>FICKEISEN RITA L TTEE</v>
      </c>
      <c r="C4258" s="1" t="str">
        <f>"30-32 N STATE ST 31 1/2X56FT SW COR STONER OLD 2 NEW 152"</f>
        <v>30-32 N STATE ST 31 1/2X56FT SW COR STONER OLD 2 NEW 152</v>
      </c>
      <c r="D4258" s="1">
        <v>340.58</v>
      </c>
    </row>
    <row r="4259" spans="1:4" x14ac:dyDescent="0.3">
      <c r="A4259" s="1" t="str">
        <f>"01019837600"</f>
        <v>01019837600</v>
      </c>
      <c r="B4259" s="1" t="str">
        <f>"FICKEL TERRI L"</f>
        <v>FICKEL TERRI L</v>
      </c>
      <c r="C4259" s="1" t="str">
        <f>"FRANCISCO RD KENNY GLEN CONDO 3RD AMD UNIT 4931"</f>
        <v>FRANCISCO RD KENNY GLEN CONDO 3RD AMD UNIT 4931</v>
      </c>
      <c r="D4259" s="1">
        <v>1490.06</v>
      </c>
    </row>
    <row r="4260" spans="1:4" x14ac:dyDescent="0.3">
      <c r="A4260" s="1" t="str">
        <f>"05000161000"</f>
        <v>05000161000</v>
      </c>
      <c r="B4260" s="1" t="str">
        <f>"FIDAK HOLDINGS LLC"</f>
        <v>FIDAK HOLDINGS LLC</v>
      </c>
      <c r="C4260" s="1" t="str">
        <f>"5636 REVERE DRIVE COLONIAL LANES LOT 61"</f>
        <v>5636 REVERE DRIVE COLONIAL LANES LOT 61</v>
      </c>
      <c r="D4260" s="1">
        <v>5696.48</v>
      </c>
    </row>
    <row r="4261" spans="1:4" x14ac:dyDescent="0.3">
      <c r="A4261" s="1" t="str">
        <f>"01002966700"</f>
        <v>01002966700</v>
      </c>
      <c r="B4261" s="1" t="str">
        <f>"FIDELIS REAL ESTATE LLC"</f>
        <v>FIDELIS REAL ESTATE LLC</v>
      </c>
      <c r="C4261" s="1" t="str">
        <f>"669 GILBERT ST ANDREWS AMD LOT 74"</f>
        <v>669 GILBERT ST ANDREWS AMD LOT 74</v>
      </c>
      <c r="D4261" s="1">
        <v>4267.26</v>
      </c>
    </row>
    <row r="4262" spans="1:4" x14ac:dyDescent="0.3">
      <c r="A4262" s="1" t="str">
        <f>"01001433600"</f>
        <v>01001433600</v>
      </c>
      <c r="B4262" s="1" t="str">
        <f>"FIDELIS REAL ESTATE LLC"</f>
        <v>FIDELIS REAL ESTATE LLC</v>
      </c>
      <c r="C4262" s="1" t="str">
        <f>"565 GATES ST LOWRIE BROS LOT 55"</f>
        <v>565 GATES ST LOWRIE BROS LOT 55</v>
      </c>
      <c r="D4262" s="1">
        <v>3694.36</v>
      </c>
    </row>
    <row r="4263" spans="1:4" x14ac:dyDescent="0.3">
      <c r="A4263" s="1" t="str">
        <f>"23000207100"</f>
        <v>23000207100</v>
      </c>
      <c r="B4263" s="1" t="str">
        <f>"FIDLER DOYLE R, PARKER SANDRA L"</f>
        <v>FIDLER DOYLE R, PARKER SANDRA L</v>
      </c>
      <c r="C4263" s="1" t="str">
        <f>"GROSBEAK GLEN TIMBERLAKE NO 5 LOT 169"</f>
        <v>GROSBEAK GLEN TIMBERLAKE NO 5 LOT 169</v>
      </c>
      <c r="D4263" s="1">
        <v>3532.27</v>
      </c>
    </row>
    <row r="4264" spans="1:4" x14ac:dyDescent="0.3">
      <c r="A4264" s="1" t="str">
        <f>"14000350100"</f>
        <v>14000350100</v>
      </c>
      <c r="B4264" s="1" t="str">
        <f>"FIELDS ANGELA K"</f>
        <v>FIELDS ANGELA K</v>
      </c>
      <c r="C4264" s="1" t="str">
        <f>"1230 S EUREKA AVE EUREKA PARK LOT 55 BLK 2"</f>
        <v>1230 S EUREKA AVE EUREKA PARK LOT 55 BLK 2</v>
      </c>
      <c r="D4264" s="1">
        <v>1231</v>
      </c>
    </row>
    <row r="4265" spans="1:4" x14ac:dyDescent="0.3">
      <c r="A4265" s="1" t="str">
        <f>"01004252100"</f>
        <v>01004252100</v>
      </c>
      <c r="B4265" s="1" t="str">
        <f>"FIELDS RHONDA G"</f>
        <v>FIELDS RHONDA G</v>
      </c>
      <c r="C4265" s="1" t="str">
        <f>"327 WREXHAM AVE GLENWOOD LOT 63"</f>
        <v>327 WREXHAM AVE GLENWOOD LOT 63</v>
      </c>
      <c r="D4265" s="1">
        <v>683.08</v>
      </c>
    </row>
    <row r="4266" spans="1:4" x14ac:dyDescent="0.3">
      <c r="A4266" s="1" t="str">
        <f>"15200052900"</f>
        <v>15200052900</v>
      </c>
      <c r="B4266" s="1" t="str">
        <f>"FIELDS SARAH A"</f>
        <v>FIELDS SARAH A</v>
      </c>
      <c r="C4266" s="1" t="str">
        <f>"OBETZ AVE COLUMBUS TERRACE LOTS 8-10"</f>
        <v>OBETZ AVE COLUMBUS TERRACE LOTS 8-10</v>
      </c>
      <c r="D4266" s="1">
        <v>32.44</v>
      </c>
    </row>
    <row r="4267" spans="1:4" x14ac:dyDescent="0.3">
      <c r="A4267" s="1" t="str">
        <f>"15200073200"</f>
        <v>15200073200</v>
      </c>
      <c r="B4267" s="1" t="str">
        <f>"FIELDS SARAH A"</f>
        <v>FIELDS SARAH A</v>
      </c>
      <c r="C4267" s="1" t="str">
        <f>"CHILICOTHE ST 1 ACRE LT 16 &amp; PT AL VAC SCIOTO ADD"</f>
        <v>CHILICOTHE ST 1 ACRE LT 16 &amp; PT AL VAC SCIOTO ADD</v>
      </c>
      <c r="D4267" s="1">
        <v>165.61</v>
      </c>
    </row>
    <row r="4268" spans="1:4" x14ac:dyDescent="0.3">
      <c r="A4268" s="1" t="str">
        <f>"01012634400"</f>
        <v>01012634400</v>
      </c>
      <c r="B4268" s="1" t="str">
        <f>"FIELDS VERNON"</f>
        <v>FIELDS VERNON</v>
      </c>
      <c r="C4268" s="1" t="str">
        <f>"REAR SAMPSON AVE AMERICAN LOT 149"</f>
        <v>REAR SAMPSON AVE AMERICAN LOT 149</v>
      </c>
      <c r="D4268" s="1">
        <v>254.84</v>
      </c>
    </row>
    <row r="4269" spans="1:4" x14ac:dyDescent="0.3">
      <c r="A4269" s="1" t="str">
        <f>"01012637200"</f>
        <v>01012637200</v>
      </c>
      <c r="B4269" s="1" t="str">
        <f>"FIELDS VERNON S JR"</f>
        <v>FIELDS VERNON S JR</v>
      </c>
      <c r="C4269" s="1" t="str">
        <f>"SAMPSON AVE AMERICAN ADD LOT 119"</f>
        <v>SAMPSON AVE AMERICAN ADD LOT 119</v>
      </c>
      <c r="D4269" s="1">
        <v>254.84</v>
      </c>
    </row>
    <row r="4270" spans="1:4" x14ac:dyDescent="0.3">
      <c r="A4270" s="1" t="str">
        <f>"05000460300"</f>
        <v>05000460300</v>
      </c>
      <c r="B4270" s="1" t="str">
        <f>"FIFTH AVENUE REAL ESTATE LLC"</f>
        <v>FIFTH AVENUE REAL ESTATE LLC</v>
      </c>
      <c r="C4270" s="1" t="str">
        <f>"4543 HUCKLEBERRY CT HEATHER RIDGE SEC 3 LOT 141"</f>
        <v>4543 HUCKLEBERRY CT HEATHER RIDGE SEC 3 LOT 141</v>
      </c>
      <c r="D4270" s="1">
        <v>3796.11</v>
      </c>
    </row>
    <row r="4271" spans="1:4" x14ac:dyDescent="0.3">
      <c r="A4271" s="1" t="str">
        <f>"05000246600"</f>
        <v>05000246600</v>
      </c>
      <c r="B4271" s="1" t="str">
        <f>"FIFTH AVENUE REAL ESTATE LLC"</f>
        <v>FIFTH AVENUE REAL ESTATE LLC</v>
      </c>
      <c r="C4271" s="1" t="str">
        <f>"3580 PAXTON DR BEACON LOT 33"</f>
        <v>3580 PAXTON DR BEACON LOT 33</v>
      </c>
      <c r="D4271" s="1">
        <v>2246.71</v>
      </c>
    </row>
    <row r="4272" spans="1:4" x14ac:dyDescent="0.3">
      <c r="A4272" s="1" t="str">
        <f>"01007079500"</f>
        <v>01007079500</v>
      </c>
      <c r="B4272" s="1" t="str">
        <f>"FIFTH BY NORTHWEST LLC"</f>
        <v>FIFTH BY NORTHWEST LLC</v>
      </c>
      <c r="C4272" s="1" t="str">
        <f>"1307 W 5TH AVE            BLVD HTS ADD              PT RES C &amp; VAC ALLEY     "</f>
        <v xml:space="preserve">1307 W 5TH AVE            BLVD HTS ADD              PT RES C &amp; VAC ALLEY     </v>
      </c>
      <c r="D4272" s="1">
        <v>4988.78</v>
      </c>
    </row>
    <row r="4273" spans="1:4" x14ac:dyDescent="0.3">
      <c r="A4273" s="1" t="str">
        <f>"15100012000"</f>
        <v>15100012000</v>
      </c>
      <c r="B4273" s="1" t="str">
        <f>"FIFTH THIRD BANK"</f>
        <v>FIFTH THIRD BANK</v>
      </c>
      <c r="C4273" s="1" t="str">
        <f>"MECHANICS ST ES MILLER ST "</f>
        <v xml:space="preserve">MECHANICS ST ES MILLER ST </v>
      </c>
      <c r="D4273" s="1">
        <v>403.08</v>
      </c>
    </row>
    <row r="4274" spans="1:4" x14ac:dyDescent="0.3">
      <c r="A4274" s="1" t="str">
        <f>"01009517800"</f>
        <v>01009517800</v>
      </c>
      <c r="B4274" s="1" t="str">
        <f>"FIGUEROA COURTNEY, FIGUEROA JUAN"</f>
        <v>FIGUEROA COURTNEY, FIGUEROA JUAN</v>
      </c>
      <c r="C4274" s="1" t="str">
        <f>"HOWEY RD N GRASMERE AMD LOT 98"</f>
        <v>HOWEY RD N GRASMERE AMD LOT 98</v>
      </c>
      <c r="D4274" s="1">
        <v>1027.51</v>
      </c>
    </row>
    <row r="4275" spans="1:4" x14ac:dyDescent="0.3">
      <c r="A4275" s="1" t="str">
        <f>"01016097100"</f>
        <v>01016097100</v>
      </c>
      <c r="B4275" s="1" t="str">
        <f>"FIGUEROA ENEMIAS, PLEITEZ MARIA"</f>
        <v>FIGUEROA ENEMIAS, PLEITEZ MARIA</v>
      </c>
      <c r="C4275" s="1" t="str">
        <f>"WOODBROOK LANE WOODBROOK VILLAGE CONDOMINIUM UNIT 5"</f>
        <v>WOODBROOK LANE WOODBROOK VILLAGE CONDOMINIUM UNIT 5</v>
      </c>
      <c r="D4275" s="1">
        <v>701.95</v>
      </c>
    </row>
    <row r="4276" spans="1:4" x14ac:dyDescent="0.3">
      <c r="A4276" s="1" t="str">
        <f>"01000965500"</f>
        <v>01000965500</v>
      </c>
      <c r="B4276" s="1" t="str">
        <f>"FIGUEROA PERAZA EMELINA"</f>
        <v>FIGUEROA PERAZA EMELINA</v>
      </c>
      <c r="C4276" s="1" t="str">
        <f>"DANA AVE WEST HIGH SCHOOL LOT 29"</f>
        <v>DANA AVE WEST HIGH SCHOOL LOT 29</v>
      </c>
      <c r="D4276" s="1">
        <v>353.09</v>
      </c>
    </row>
    <row r="4277" spans="1:4" x14ac:dyDescent="0.3">
      <c r="A4277" s="1" t="str">
        <f>"01000349600"</f>
        <v>01000349600</v>
      </c>
      <c r="B4277" s="1" t="str">
        <f>"FIGUEROA PERAZA EMELINA"</f>
        <v>FIGUEROA PERAZA EMELINA</v>
      </c>
      <c r="C4277" s="1" t="str">
        <f>"109DANA AVE WEST HIGH SCHOOL LOT 30"</f>
        <v>109DANA AVE WEST HIGH SCHOOL LOT 30</v>
      </c>
      <c r="D4277" s="1">
        <v>3255.99</v>
      </c>
    </row>
    <row r="4278" spans="1:4" x14ac:dyDescent="0.3">
      <c r="A4278" s="1" t="str">
        <f>"01019819200"</f>
        <v>01019819200</v>
      </c>
      <c r="B4278" s="1" t="str">
        <f>"FIGURAY MARY ELLEN"</f>
        <v>FIGURAY MARY ELLEN</v>
      </c>
      <c r="C4278" s="1" t="str">
        <f>"DIERKER RD PARK PLACE CONDO BLD 8 UNIT 2067-D"</f>
        <v>DIERKER RD PARK PLACE CONDO BLD 8 UNIT 2067-D</v>
      </c>
      <c r="D4278" s="1">
        <v>2211.41</v>
      </c>
    </row>
    <row r="4279" spans="1:4" x14ac:dyDescent="0.3">
      <c r="A4279" s="1" t="str">
        <f>"01011863600"</f>
        <v>01011863600</v>
      </c>
      <c r="B4279" s="1" t="str">
        <f>"FIGURES JANET S"</f>
        <v>FIGURES JANET S</v>
      </c>
      <c r="C4279" s="1" t="str">
        <f>"BEXLEY VIEW ACRES LOT 43 "</f>
        <v xml:space="preserve">BEXLEY VIEW ACRES LOT 43 </v>
      </c>
      <c r="D4279" s="1">
        <v>4058.03</v>
      </c>
    </row>
    <row r="4280" spans="1:4" x14ac:dyDescent="0.3">
      <c r="A4280" s="1" t="str">
        <f>"01000331300"</f>
        <v>01000331300</v>
      </c>
      <c r="B4280" s="1" t="str">
        <f>"FIGURES JANET S"</f>
        <v>FIGURES JANET S</v>
      </c>
      <c r="C4280" s="1" t="str">
        <f>"1030 OLMSTEAD AVE THEO WEYANT SUB 100"</f>
        <v>1030 OLMSTEAD AVE THEO WEYANT SUB 100</v>
      </c>
      <c r="D4280" s="1">
        <v>2686.26</v>
      </c>
    </row>
    <row r="4281" spans="1:4" x14ac:dyDescent="0.3">
      <c r="A4281" s="1" t="str">
        <f>"01011191700"</f>
        <v>01011191700</v>
      </c>
      <c r="B4281" s="1" t="str">
        <f>"FILHA ENTERPRISES LLC"</f>
        <v>FILHA ENTERPRISES LLC</v>
      </c>
      <c r="C4281" s="1" t="str">
        <f>"MOLER RD 1. ACRES R22T5S26 1/2 S39 LOT 8"</f>
        <v>MOLER RD 1. ACRES R22T5S26 1/2 S39 LOT 8</v>
      </c>
      <c r="D4281" s="1">
        <v>863.07</v>
      </c>
    </row>
    <row r="4282" spans="1:4" x14ac:dyDescent="0.3">
      <c r="A4282" s="1" t="str">
        <f>"01003941200"</f>
        <v>01003941200</v>
      </c>
      <c r="B4282" s="1" t="str">
        <f>"FILLINGER JESS D"</f>
        <v>FILLINGER JESS D</v>
      </c>
      <c r="C4282" s="1" t="str">
        <f>"259 MARTIN AVE MARTINS WESTERN LOT 150"</f>
        <v>259 MARTIN AVE MARTINS WESTERN LOT 150</v>
      </c>
      <c r="D4282" s="1">
        <v>3047.01</v>
      </c>
    </row>
    <row r="4283" spans="1:4" x14ac:dyDescent="0.3">
      <c r="A4283" s="1" t="str">
        <f>"01012373600"</f>
        <v>01012373600</v>
      </c>
      <c r="B4283" s="1" t="str">
        <f>"FILLMORE SUSAN E"</f>
        <v>FILLMORE SUSAN E</v>
      </c>
      <c r="C4283" s="1" t="str">
        <f>"LAMBETH DR BRENTWOOD PK LOT 90"</f>
        <v>LAMBETH DR BRENTWOOD PK LOT 90</v>
      </c>
      <c r="D4283" s="1">
        <v>5778.38</v>
      </c>
    </row>
    <row r="4284" spans="1:4" x14ac:dyDescent="0.3">
      <c r="A4284" s="1" t="str">
        <f>"10000300000"</f>
        <v>10000300000</v>
      </c>
      <c r="B4284" s="1" t="str">
        <f>"FINANCING VI HEALTHCARE PROPERTY LLC"</f>
        <v>FINANCING VI HEALTHCARE PROPERTY LLC</v>
      </c>
      <c r="C4284" s="1" t="str">
        <f>"1030 N HIGH ST 1.96 ACRES NORTH HIGH STREET"</f>
        <v>1030 N HIGH ST 1.96 ACRES NORTH HIGH STREET</v>
      </c>
      <c r="D4284" s="1">
        <v>101000.08</v>
      </c>
    </row>
    <row r="4285" spans="1:4" x14ac:dyDescent="0.3">
      <c r="A4285" s="1" t="str">
        <f>"10000407000"</f>
        <v>10000407000</v>
      </c>
      <c r="B4285" s="1" t="str">
        <f>"FINANCING VI HEALTHCARE PROPERTY LLC"</f>
        <v>FINANCING VI HEALTHCARE PROPERTY LLC</v>
      </c>
      <c r="C4285" s="1" t="str">
        <f>"6830 N HIGH ST 4.611 ACRES N HIGH ST"</f>
        <v>6830 N HIGH ST 4.611 ACRES N HIGH ST</v>
      </c>
      <c r="D4285" s="1">
        <v>160898.34</v>
      </c>
    </row>
    <row r="4286" spans="1:4" x14ac:dyDescent="0.3">
      <c r="A4286" s="1" t="str">
        <f>"01001543300"</f>
        <v>01001543300</v>
      </c>
      <c r="B4286" s="1" t="str">
        <f>"FINAO LIMITED"</f>
        <v>FINAO LIMITED</v>
      </c>
      <c r="C4286" s="1" t="str">
        <f>"491 E WELCH AVE BLACKBURN LOT 51-52"</f>
        <v>491 E WELCH AVE BLACKBURN LOT 51-52</v>
      </c>
      <c r="D4286" s="1">
        <v>3090.76</v>
      </c>
    </row>
    <row r="4287" spans="1:4" x14ac:dyDescent="0.3">
      <c r="A4287" s="1" t="str">
        <f>"01016378700"</f>
        <v>01016378700</v>
      </c>
      <c r="B4287" s="1" t="str">
        <f>"FINCH DARRELL"</f>
        <v>FINCH DARRELL</v>
      </c>
      <c r="C4287" s="1" t="str">
        <f>"KIMBERLY VILLAS CONDO PHASE V BLDG 61 UNIT B"</f>
        <v>KIMBERLY VILLAS CONDO PHASE V BLDG 61 UNIT B</v>
      </c>
      <c r="D4287" s="1">
        <v>837.12</v>
      </c>
    </row>
    <row r="4288" spans="1:4" x14ac:dyDescent="0.3">
      <c r="A4288" s="1" t="str">
        <f>"01004218800"</f>
        <v>01004218800</v>
      </c>
      <c r="B4288" s="1" t="str">
        <f>"FINCHER WESLEY S"</f>
        <v>FINCHER WESLEY S</v>
      </c>
      <c r="C4288" s="1" t="str">
        <f>"BRENTNELL AVE MEADOW-DALE LOT 107"</f>
        <v>BRENTNELL AVE MEADOW-DALE LOT 107</v>
      </c>
      <c r="D4288" s="1">
        <v>2767.73</v>
      </c>
    </row>
    <row r="4289" spans="1:4" x14ac:dyDescent="0.3">
      <c r="A4289" s="1" t="str">
        <f>"10000092600"</f>
        <v>10000092600</v>
      </c>
      <c r="B4289" s="1" t="str">
        <f>"FINEFROCK LORI A"</f>
        <v>FINEFROCK LORI A</v>
      </c>
      <c r="C4289" s="1" t="str">
        <f>"22 SOUTHINGTON AVE LOT 48 PT ALLEY VAC ADJ COLONIAL HILLS"</f>
        <v>22 SOUTHINGTON AVE LOT 48 PT ALLEY VAC ADJ COLONIAL HILLS</v>
      </c>
      <c r="D4289" s="1">
        <v>4716.26</v>
      </c>
    </row>
    <row r="4290" spans="1:4" x14ac:dyDescent="0.3">
      <c r="A4290" s="1" t="str">
        <f>"01018751400"</f>
        <v>01018751400</v>
      </c>
      <c r="B4290" s="1" t="str">
        <f>"FINEFROCK NEERA S, SINGH TAPINDER"</f>
        <v>FINEFROCK NEERA S, SINGH TAPINDER</v>
      </c>
      <c r="C4290" s="1" t="str">
        <f>"PINE TREE W TAMARACK CONDOMINIUM UNIT 5756-E BLDG 10"</f>
        <v>PINE TREE W TAMARACK CONDOMINIUM UNIT 5756-E BLDG 10</v>
      </c>
      <c r="D4290" s="1">
        <v>951.41</v>
      </c>
    </row>
    <row r="4291" spans="1:4" x14ac:dyDescent="0.3">
      <c r="A4291" s="1" t="str">
        <f>"01028252600"</f>
        <v>01028252600</v>
      </c>
      <c r="B4291" s="1" t="str">
        <f>"FINK RUTH E"</f>
        <v>FINK RUTH E</v>
      </c>
      <c r="C4291" s="1" t="str">
        <f>"RAVINES OF MCNAUGHTEN CONDOMINIUM 8TH AMD UNIT 6019"</f>
        <v>RAVINES OF MCNAUGHTEN CONDOMINIUM 8TH AMD UNIT 6019</v>
      </c>
      <c r="D4291" s="1">
        <v>152.30000000000001</v>
      </c>
    </row>
    <row r="4292" spans="1:4" x14ac:dyDescent="0.3">
      <c r="A4292" s="1" t="str">
        <f>"08000241700"</f>
        <v>08000241700</v>
      </c>
      <c r="B4292" s="1" t="str">
        <f>"FINK TANNER ESEK"</f>
        <v>FINK TANNER ESEK</v>
      </c>
      <c r="C4292" s="1" t="str">
        <f>"SEMINOLE AVE HANBY HTS 155 "</f>
        <v xml:space="preserve">SEMINOLE AVE HANBY HTS 155 </v>
      </c>
      <c r="D4292" s="1">
        <v>2937.98</v>
      </c>
    </row>
    <row r="4293" spans="1:4" x14ac:dyDescent="0.3">
      <c r="A4293" s="1" t="str">
        <f>"57024713700"</f>
        <v>57024713700</v>
      </c>
      <c r="B4293" s="1" t="str">
        <f>"FINNERAN BARBARA"</f>
        <v>FINNERAN BARBARA</v>
      </c>
      <c r="C4293" s="1" t="str">
        <f>"ALKIRE PARK CONDOMINIUM 4TH AMD UNIT 32C"</f>
        <v>ALKIRE PARK CONDOMINIUM 4TH AMD UNIT 32C</v>
      </c>
      <c r="D4293" s="1">
        <v>1939.89</v>
      </c>
    </row>
    <row r="4294" spans="1:4" x14ac:dyDescent="0.3">
      <c r="A4294" s="1" t="str">
        <f>"27300099800"</f>
        <v>27300099800</v>
      </c>
      <c r="B4294" s="1" t="str">
        <f>"FINNERAN MICHAEL G, FINNERAN SIDNEY W"</f>
        <v>FINNERAN MICHAEL G, FINNERAN SIDNEY W</v>
      </c>
      <c r="C4294" s="1" t="str">
        <f>"MONSARRAT DR WATERFORD VILL PH 4 LOT 3"</f>
        <v>MONSARRAT DR WATERFORD VILL PH 4 LOT 3</v>
      </c>
      <c r="D4294" s="1">
        <v>525.94000000000005</v>
      </c>
    </row>
    <row r="4295" spans="1:4" x14ac:dyDescent="0.3">
      <c r="A4295" s="1" t="str">
        <f>"27200029500"</f>
        <v>27200029500</v>
      </c>
      <c r="B4295" s="1" t="str">
        <f>"FINNEY JOSEPH, FINNEY KIMBERLY"</f>
        <v>FINNEY JOSEPH, FINNEY KIMBERLY</v>
      </c>
      <c r="C4295" s="1" t="str">
        <f>"5355 COSGRAY RD 5 AC "</f>
        <v xml:space="preserve">5355 COSGRAY RD 5 AC </v>
      </c>
      <c r="D4295" s="1">
        <v>5267.98</v>
      </c>
    </row>
    <row r="4296" spans="1:4" x14ac:dyDescent="0.3">
      <c r="A4296" s="1" t="str">
        <f>"01028430600"</f>
        <v>01028430600</v>
      </c>
      <c r="B4296" s="1" t="str">
        <f>"FINNEY MICHELE S, FINNEY BRAD K"</f>
        <v>FINNEY MICHELE S, FINNEY BRAD K</v>
      </c>
      <c r="C4296" s="1" t="str">
        <f>"5562 SPRING RIVER AVENUE  HAYDENS CROSSING          SECTION 6 PART 1 LOT 343 "</f>
        <v xml:space="preserve">5562 SPRING RIVER AVENUE  HAYDENS CROSSING          SECTION 6 PART 1 LOT 343 </v>
      </c>
      <c r="D4296" s="1">
        <v>5393.39</v>
      </c>
    </row>
    <row r="4297" spans="1:4" x14ac:dyDescent="0.3">
      <c r="A4297" s="1" t="str">
        <f>"01007738300"</f>
        <v>01007738300</v>
      </c>
      <c r="B4297" s="1" t="str">
        <f>"FINNEY RONALD J"</f>
        <v>FINNEY RONALD J</v>
      </c>
      <c r="C4297" s="1" t="str">
        <f>"SUNBURY RD  N1/2 LOT 5&amp;ALL 6 ST MARYS PK LOT 5-6"</f>
        <v>SUNBURY RD  N1/2 LOT 5&amp;ALL 6 ST MARYS PK LOT 5-6</v>
      </c>
      <c r="D4297" s="1">
        <v>249.52</v>
      </c>
    </row>
    <row r="4298" spans="1:4" x14ac:dyDescent="0.3">
      <c r="A4298" s="1" t="str">
        <f>"17000406800"</f>
        <v>17000406800</v>
      </c>
      <c r="B4298" s="1" t="str">
        <f>"FINNICAL ALLAN C, FINNICAL DEBORAH B"</f>
        <v>FINNICAL ALLAN C, FINNICAL DEBORAH B</v>
      </c>
      <c r="C4298" s="1" t="str">
        <f>"PARKWOOD PHASE 2 LOT 44"</f>
        <v>PARKWOOD PHASE 2 LOT 44</v>
      </c>
      <c r="D4298" s="1">
        <v>8687.83</v>
      </c>
    </row>
    <row r="4299" spans="1:4" x14ac:dyDescent="0.3">
      <c r="A4299" s="1" t="str">
        <f>"56020109500"</f>
        <v>56020109500</v>
      </c>
      <c r="B4299" s="1" t="str">
        <f>"FIORINI MICHAELYNN T"</f>
        <v>FIORINI MICHAELYNN T</v>
      </c>
      <c r="C4299" s="1" t="str">
        <f>"DEXTER FALLS RD SHANNONBROOK SEC 2 LOT 112"</f>
        <v>DEXTER FALLS RD SHANNONBROOK SEC 2 LOT 112</v>
      </c>
      <c r="D4299" s="1">
        <v>319.86</v>
      </c>
    </row>
    <row r="4300" spans="1:4" x14ac:dyDescent="0.3">
      <c r="A4300" s="1" t="str">
        <f>"01000758300"</f>
        <v>01000758300</v>
      </c>
      <c r="B4300" s="1" t="str">
        <f>"FIRDMAN ROBERT D"</f>
        <v>FIRDMAN ROBERT D</v>
      </c>
      <c r="C4300" s="1" t="str">
        <f>"582 MELROSE AVE INDIANOLA HIGHLAND LOT 40"</f>
        <v>582 MELROSE AVE INDIANOLA HIGHLAND LOT 40</v>
      </c>
      <c r="D4300" s="1">
        <v>273.67</v>
      </c>
    </row>
    <row r="4301" spans="1:4" x14ac:dyDescent="0.3">
      <c r="A4301" s="1" t="str">
        <f>"01028978100"</f>
        <v>01028978100</v>
      </c>
      <c r="B4301" s="1" t="str">
        <f>"FIRM DONNA M"</f>
        <v>FIRM DONNA M</v>
      </c>
      <c r="C4301" s="1" t="str">
        <f>"COBBLESTONE AT THE PRESERVE CONDOMINIUM 16TH AMD UNIT 11-4187"</f>
        <v>COBBLESTONE AT THE PRESERVE CONDOMINIUM 16TH AMD UNIT 11-4187</v>
      </c>
      <c r="D4301" s="1">
        <v>2912.79</v>
      </c>
    </row>
    <row r="4302" spans="1:4" x14ac:dyDescent="0.3">
      <c r="A4302" s="1" t="str">
        <f>"15200054700"</f>
        <v>15200054700</v>
      </c>
      <c r="B4302" s="1" t="str">
        <f>"FIRST DRIVE LOGISTICS INC"</f>
        <v>FIRST DRIVE LOGISTICS INC</v>
      </c>
      <c r="C4302" s="1" t="str">
        <f>"GROVEPORT PK ACRE .602 R22 T4 S14 "</f>
        <v xml:space="preserve">GROVEPORT PK ACRE .602 R22 T4 S14 </v>
      </c>
      <c r="D4302" s="1">
        <v>194.55</v>
      </c>
    </row>
    <row r="4303" spans="1:4" x14ac:dyDescent="0.3">
      <c r="A4303" s="1" t="str">
        <f>"15200083700"</f>
        <v>15200083700</v>
      </c>
      <c r="B4303" s="1" t="str">
        <f>"FIRST DRIVE LOGISTICS INC"</f>
        <v>FIRST DRIVE LOGISTICS INC</v>
      </c>
      <c r="C4303" s="1" t="str">
        <f>"4110 GROVEPORT PK R22 T4 S14 1.039 ACRES"</f>
        <v>4110 GROVEPORT PK R22 T4 S14 1.039 ACRES</v>
      </c>
      <c r="D4303" s="1">
        <v>4528.6499999999996</v>
      </c>
    </row>
    <row r="4304" spans="1:4" x14ac:dyDescent="0.3">
      <c r="A4304" s="1" t="str">
        <f>"15200176500"</f>
        <v>15200176500</v>
      </c>
      <c r="B4304" s="1" t="str">
        <f>"FIRST DRIVE LOGISTICS INC"</f>
        <v>FIRST DRIVE LOGISTICS INC</v>
      </c>
      <c r="C4304" s="1" t="str">
        <f>"GROVEPORT RD R22 T4 S14 0.801 ACRE"</f>
        <v>GROVEPORT RD R22 T4 S14 0.801 ACRE</v>
      </c>
      <c r="D4304" s="1">
        <v>292.93</v>
      </c>
    </row>
    <row r="4305" spans="1:4" x14ac:dyDescent="0.3">
      <c r="A4305" s="1" t="str">
        <f>"01019712100"</f>
        <v>01019712100</v>
      </c>
      <c r="B4305" s="1" t="str">
        <f>"FIRST EPIC HOLDINGS LLC"</f>
        <v>FIRST EPIC HOLDINGS LLC</v>
      </c>
      <c r="C4305" s="1" t="str">
        <f>"KING AVE                  NEIL HRS PART             PT LOTS 14-15            "</f>
        <v xml:space="preserve">KING AVE                  NEIL HRS PART             PT LOTS 14-15            </v>
      </c>
      <c r="D4305" s="1">
        <v>3803.55</v>
      </c>
    </row>
    <row r="4306" spans="1:4" x14ac:dyDescent="0.3">
      <c r="A4306" s="1" t="str">
        <f>"01000489700"</f>
        <v>01000489700</v>
      </c>
      <c r="B4306" s="1" t="str">
        <f>"FIRST SPACE LLC"</f>
        <v>FIRST SPACE LLC</v>
      </c>
      <c r="C4306" s="1" t="str">
        <f>"264 CARPENTER ST MICHEAL ET AL SUB 7"</f>
        <v>264 CARPENTER ST MICHEAL ET AL SUB 7</v>
      </c>
      <c r="D4306" s="1">
        <v>665.28</v>
      </c>
    </row>
    <row r="4307" spans="1:4" x14ac:dyDescent="0.3">
      <c r="A4307" s="1" t="str">
        <f>"01000181300"</f>
        <v>01000181300</v>
      </c>
      <c r="B4307" s="1" t="str">
        <f>"FIRST SPACE LLC"</f>
        <v>FIRST SPACE LLC</v>
      </c>
      <c r="C4307" s="1" t="str">
        <f>"571 LINWOOD AVE OAKWOODS EAST LOT 300"</f>
        <v>571 LINWOOD AVE OAKWOODS EAST LOT 300</v>
      </c>
      <c r="D4307" s="1">
        <v>9256.7999999999993</v>
      </c>
    </row>
    <row r="4308" spans="1:4" x14ac:dyDescent="0.3">
      <c r="A4308" s="1" t="str">
        <f>"07000127200"</f>
        <v>07000127200</v>
      </c>
      <c r="B4308" s="1" t="str">
        <f>"FISCHER AMY L"</f>
        <v>FISCHER AMY L</v>
      </c>
      <c r="C4308" s="1" t="str">
        <f>"COVENTRY RD GUILFORD PLACE LOT 141"</f>
        <v>COVENTRY RD GUILFORD PLACE LOT 141</v>
      </c>
      <c r="D4308" s="1">
        <v>736.96</v>
      </c>
    </row>
    <row r="4309" spans="1:4" x14ac:dyDescent="0.3">
      <c r="A4309" s="1" t="str">
        <f>"08001168500"</f>
        <v>08001168500</v>
      </c>
      <c r="B4309" s="1" t="str">
        <f>"FISCHER GEORGE M TR, FISCHER ELLEN K TR"</f>
        <v>FISCHER GEORGE M TR, FISCHER ELLEN K TR</v>
      </c>
      <c r="C4309" s="1" t="str">
        <f>"BIGHAM RIDGE PHASE 1 LOT 49"</f>
        <v>BIGHAM RIDGE PHASE 1 LOT 49</v>
      </c>
      <c r="D4309" s="1">
        <v>6157.48</v>
      </c>
    </row>
    <row r="4310" spans="1:4" x14ac:dyDescent="0.3">
      <c r="A4310" s="1" t="str">
        <f>"04001705700"</f>
        <v>04001705700</v>
      </c>
      <c r="B4310" s="1" t="str">
        <f>"FISCHER HOMES COLUMBUS II LLC"</f>
        <v>FISCHER HOMES COLUMBUS II LLC</v>
      </c>
      <c r="C4310" s="1" t="str">
        <f>"FARMSTEAD PHASE 4 LOT 207"</f>
        <v>FARMSTEAD PHASE 4 LOT 207</v>
      </c>
      <c r="D4310" s="1">
        <v>65.260000000000005</v>
      </c>
    </row>
    <row r="4311" spans="1:4" x14ac:dyDescent="0.3">
      <c r="A4311" s="1" t="str">
        <f>"04001788200"</f>
        <v>04001788200</v>
      </c>
      <c r="B4311" s="1" t="str">
        <f>"FISCHER HOMES COLUMBUS II LLC"</f>
        <v>FISCHER HOMES COLUMBUS II LLC</v>
      </c>
      <c r="C4311" s="1" t="str">
        <f>"FARMSTEAD PHASE 5A LOT 223 "</f>
        <v xml:space="preserve">FARMSTEAD PHASE 5A LOT 223 </v>
      </c>
      <c r="D4311" s="1">
        <v>1691.78</v>
      </c>
    </row>
    <row r="4312" spans="1:4" x14ac:dyDescent="0.3">
      <c r="A4312" s="1" t="str">
        <f>"04001790200"</f>
        <v>04001790200</v>
      </c>
      <c r="B4312" s="1" t="str">
        <f>"FISCHER HOMES COLUMBUS II LLC"</f>
        <v>FISCHER HOMES COLUMBUS II LLC</v>
      </c>
      <c r="C4312" s="1" t="str">
        <f>"FARMSTEAD PHASE 11 LOT 360"</f>
        <v>FARMSTEAD PHASE 11 LOT 360</v>
      </c>
      <c r="D4312" s="1">
        <v>1691.78</v>
      </c>
    </row>
    <row r="4313" spans="1:4" x14ac:dyDescent="0.3">
      <c r="A4313" s="1" t="str">
        <f>"53022641800"</f>
        <v>53022641800</v>
      </c>
      <c r="B4313" s="1" t="str">
        <f>"FISCHER MICHAEL, FISCHER DIANE"</f>
        <v>FISCHER MICHAEL, FISCHER DIANE</v>
      </c>
      <c r="C4313" s="1" t="str">
        <f>"WATERFORD HARBOUR CONDOMINIUM 1ST AMD BLDG 2 UNIT 3787"</f>
        <v>WATERFORD HARBOUR CONDOMINIUM 1ST AMD BLDG 2 UNIT 3787</v>
      </c>
      <c r="D4313" s="1">
        <v>924.54</v>
      </c>
    </row>
    <row r="4314" spans="1:4" x14ac:dyDescent="0.3">
      <c r="A4314" s="1" t="str">
        <f>"09000349900"</f>
        <v>09000349900</v>
      </c>
      <c r="B4314" s="1" t="str">
        <f>"FISCHER SHARON L"</f>
        <v>FISCHER SHARON L</v>
      </c>
      <c r="C4314" s="1" t="str">
        <f>"967 E DIMSON DR TRURO ESTATES 269"</f>
        <v>967 E DIMSON DR TRURO ESTATES 269</v>
      </c>
      <c r="D4314" s="1">
        <v>2304.73</v>
      </c>
    </row>
    <row r="4315" spans="1:4" x14ac:dyDescent="0.3">
      <c r="A4315" s="1" t="str">
        <f>"01009387800"</f>
        <v>01009387800</v>
      </c>
      <c r="B4315" s="1" t="str">
        <f>"FISCUS LAUREN D"</f>
        <v>FISCUS LAUREN D</v>
      </c>
      <c r="C4315" s="1" t="str">
        <f>"EISENHOWER RD. OAKLANDPK.2AMD. LOT 26"</f>
        <v>EISENHOWER RD. OAKLANDPK.2AMD. LOT 26</v>
      </c>
      <c r="D4315" s="1">
        <v>130.71</v>
      </c>
    </row>
    <row r="4316" spans="1:4" x14ac:dyDescent="0.3">
      <c r="A4316" s="1" t="str">
        <f>"02500215800"</f>
        <v>02500215800</v>
      </c>
      <c r="B4316" s="1" t="str">
        <f>"FISHER ANDREW D, FISHER BETH H"</f>
        <v>FISHER ANDREW D, FISHER BETH H</v>
      </c>
      <c r="C4316" s="1" t="str">
        <f>"262 BROOKHAVEN DR E HERITAGE 135 "</f>
        <v xml:space="preserve">262 BROOKHAVEN DR E HERITAGE 135 </v>
      </c>
      <c r="D4316" s="1">
        <v>8092.02</v>
      </c>
    </row>
    <row r="4317" spans="1:4" x14ac:dyDescent="0.3">
      <c r="A4317" s="1" t="str">
        <f>"02500110300"</f>
        <v>02500110300</v>
      </c>
      <c r="B4317" s="1" t="str">
        <f>"FISHER ANDREW D, FISHER BETH H"</f>
        <v>FISHER ANDREW D, FISHER BETH H</v>
      </c>
      <c r="C4317" s="1" t="str">
        <f>"RR JAMES RD AC .214 R17 T1 SEC 1-4T4 "</f>
        <v xml:space="preserve">RR JAMES RD AC .214 R17 T1 SEC 1-4T4 </v>
      </c>
      <c r="D4317" s="1">
        <v>40.72</v>
      </c>
    </row>
    <row r="4318" spans="1:4" x14ac:dyDescent="0.3">
      <c r="A4318" s="1" t="str">
        <f>"04000335300"</f>
        <v>04000335300</v>
      </c>
      <c r="B4318" s="1" t="str">
        <f>"FISHER DANNY J"</f>
        <v>FISHER DANNY J</v>
      </c>
      <c r="C4318" s="1" t="str">
        <f>"2719 DENNIS LANE MONTEREY PARK 2 LOT 51"</f>
        <v>2719 DENNIS LANE MONTEREY PARK 2 LOT 51</v>
      </c>
      <c r="D4318" s="1">
        <v>4965.93</v>
      </c>
    </row>
    <row r="4319" spans="1:4" x14ac:dyDescent="0.3">
      <c r="A4319" s="1" t="str">
        <f>"01008175300"</f>
        <v>01008175300</v>
      </c>
      <c r="B4319" s="1" t="str">
        <f>"FISHER JEFFREY M, FISHER TAMMY M"</f>
        <v>FISHER JEFFREY M, FISHER TAMMY M</v>
      </c>
      <c r="C4319" s="1" t="str">
        <f>"389 HINMAN AVE SOUTH SIDE TERRACE LOT 76"</f>
        <v>389 HINMAN AVE SOUTH SIDE TERRACE LOT 76</v>
      </c>
      <c r="D4319" s="1">
        <v>482.41</v>
      </c>
    </row>
    <row r="4320" spans="1:4" x14ac:dyDescent="0.3">
      <c r="A4320" s="1" t="str">
        <f>"01014168800"</f>
        <v>01014168800</v>
      </c>
      <c r="B4320" s="1" t="str">
        <f>"FISHER LYNDA E"</f>
        <v>FISHER LYNDA E</v>
      </c>
      <c r="C4320" s="1" t="str">
        <f>"3218 CHELFORD DR SOMERSET 1 LOT 220"</f>
        <v>3218 CHELFORD DR SOMERSET 1 LOT 220</v>
      </c>
      <c r="D4320" s="1">
        <v>1418.97</v>
      </c>
    </row>
    <row r="4321" spans="1:4" x14ac:dyDescent="0.3">
      <c r="A4321" s="1" t="str">
        <f>"01014162400"</f>
        <v>01014162400</v>
      </c>
      <c r="B4321" s="1" t="str">
        <f>"FISHER MICHAEL R TR, FISHER OTHA J TR"</f>
        <v>FISHER MICHAEL R TR, FISHER OTHA J TR</v>
      </c>
      <c r="C4321" s="1" t="str">
        <f>"CHELFORD DR SOMERSET 1 LOT 156"</f>
        <v>CHELFORD DR SOMERSET 1 LOT 156</v>
      </c>
      <c r="D4321" s="1">
        <v>2219.4699999999998</v>
      </c>
    </row>
    <row r="4322" spans="1:4" x14ac:dyDescent="0.3">
      <c r="A4322" s="1" t="str">
        <f>"01026382300"</f>
        <v>01026382300</v>
      </c>
      <c r="B4322" s="1" t="str">
        <f>"FISHER NANETTE L TR, GASPER CHRISTOPHER TR"</f>
        <v>FISHER NANETTE L TR, GASPER CHRISTOPHER TR</v>
      </c>
      <c r="C4322" s="1" t="str">
        <f>"MICHAELA COURT HALEY HOLLOW LOT 10"</f>
        <v>MICHAELA COURT HALEY HOLLOW LOT 10</v>
      </c>
      <c r="D4322" s="1">
        <v>14739.46</v>
      </c>
    </row>
    <row r="4323" spans="1:4" x14ac:dyDescent="0.3">
      <c r="A4323" s="1" t="str">
        <f>"14629157000"</f>
        <v>14629157000</v>
      </c>
      <c r="B4323" s="1" t="str">
        <f>"FISHER ROAD HOLDINGS LLC"</f>
        <v>FISHER ROAD HOLDINGS LLC</v>
      </c>
      <c r="C4323" s="1" t="str">
        <f>"3879 FISHER RD ENTRY 1482 6.9267 ACRES"</f>
        <v>3879 FISHER RD ENTRY 1482 6.9267 ACRES</v>
      </c>
      <c r="D4323" s="1">
        <v>1271.55</v>
      </c>
    </row>
    <row r="4324" spans="1:4" x14ac:dyDescent="0.3">
      <c r="A4324" s="1" t="str">
        <f>"06000061100"</f>
        <v>06000061100</v>
      </c>
      <c r="B4324" s="1" t="str">
        <f>"FISHER RONALD L, FISHER CAROLE"</f>
        <v>FISHER RONALD L, FISHER CAROLE</v>
      </c>
      <c r="C4324" s="1" t="str">
        <f>"PLEASANT DR BROOKSIDE PARK 2 LOT 187"</f>
        <v>PLEASANT DR BROOKSIDE PARK 2 LOT 187</v>
      </c>
      <c r="D4324" s="1">
        <v>1606.69</v>
      </c>
    </row>
    <row r="4325" spans="1:4" x14ac:dyDescent="0.3">
      <c r="A4325" s="1" t="str">
        <f>"18400060000"</f>
        <v>18400060000</v>
      </c>
      <c r="B4325" s="1" t="str">
        <f>"FISHER TRICIA"</f>
        <v>FISHER TRICIA</v>
      </c>
      <c r="C4325" s="1" t="str">
        <f>"84 KRAMER ST KATHRYN MILLERS LOT 10-11"</f>
        <v>84 KRAMER ST KATHRYN MILLERS LOT 10-11</v>
      </c>
      <c r="D4325" s="1">
        <v>2292.16</v>
      </c>
    </row>
    <row r="4326" spans="1:4" x14ac:dyDescent="0.3">
      <c r="A4326" s="1" t="str">
        <f>"07000748300"</f>
        <v>07000748300</v>
      </c>
      <c r="B4326" s="1" t="str">
        <f>"FISHINGER BLUEBELLS LLC"</f>
        <v>FISHINGER BLUEBELLS LLC</v>
      </c>
      <c r="C4326" s="1" t="str">
        <f>"2354 FISHINGER RD R19 T1 1/4 T1 1.008 ACRE"</f>
        <v>2354 FISHINGER RD R19 T1 1/4 T1 1.008 ACRE</v>
      </c>
      <c r="D4326" s="1">
        <v>300.83</v>
      </c>
    </row>
    <row r="4327" spans="1:4" x14ac:dyDescent="0.3">
      <c r="A4327" s="1" t="str">
        <f>"01002818700"</f>
        <v>01002818700</v>
      </c>
      <c r="B4327" s="1" t="str">
        <f>"FISK PROPERTIES LLC"</f>
        <v>FISK PROPERTIES LLC</v>
      </c>
      <c r="C4327" s="1" t="str">
        <f>"362 WOODLAND AVE NELSON PT LOT 6 &amp; ALL 4-5-7"</f>
        <v>362 WOODLAND AVE NELSON PT LOT 6 &amp; ALL 4-5-7</v>
      </c>
      <c r="D4327" s="1">
        <v>3173.18</v>
      </c>
    </row>
    <row r="4328" spans="1:4" x14ac:dyDescent="0.3">
      <c r="A4328" s="1" t="str">
        <f>"01028484100"</f>
        <v>01028484100</v>
      </c>
      <c r="B4328" s="1" t="str">
        <f>"FITCH CHAD"</f>
        <v>FITCH CHAD</v>
      </c>
      <c r="C4328" s="1" t="str">
        <f>"ATRIUM LOFTS CONDOMINIUM FKA THE LOFTS AT 106 CONDOMINIUM UNIT 303"</f>
        <v>ATRIUM LOFTS CONDOMINIUM FKA THE LOFTS AT 106 CONDOMINIUM UNIT 303</v>
      </c>
      <c r="D4328" s="1">
        <v>1472.52</v>
      </c>
    </row>
    <row r="4329" spans="1:4" x14ac:dyDescent="0.3">
      <c r="A4329" s="1" t="str">
        <f>"01020493400"</f>
        <v>01020493400</v>
      </c>
      <c r="B4329" s="1" t="str">
        <f>"FITCH GORDON ARLENA, GORDON NATHANIEL"</f>
        <v>FITCH GORDON ARLENA, GORDON NATHANIEL</v>
      </c>
      <c r="C4329" s="1" t="str">
        <f>"PALADIM ROAD WALNUT BLUFF 7 LOT 1394"</f>
        <v>PALADIM ROAD WALNUT BLUFF 7 LOT 1394</v>
      </c>
      <c r="D4329" s="1">
        <v>545.51</v>
      </c>
    </row>
    <row r="4330" spans="1:4" x14ac:dyDescent="0.3">
      <c r="A4330" s="1" t="str">
        <f>"01027924300"</f>
        <v>01027924300</v>
      </c>
      <c r="B4330" s="1" t="str">
        <f>"FITCH JIMMY L, FITCH CAROLYN L"</f>
        <v>FITCH JIMMY L, FITCH CAROLYN L</v>
      </c>
      <c r="C4330" s="1" t="str">
        <f>"COBBLESTONE AT THE PRESERVE CONDOMINIUM 3RD AMD UNIT 6-4156"</f>
        <v>COBBLESTONE AT THE PRESERVE CONDOMINIUM 3RD AMD UNIT 6-4156</v>
      </c>
      <c r="D4330" s="1">
        <v>250.5</v>
      </c>
    </row>
    <row r="4331" spans="1:4" x14ac:dyDescent="0.3">
      <c r="A4331" s="1" t="str">
        <f>"01000901200"</f>
        <v>01000901200</v>
      </c>
      <c r="B4331" s="1" t="str">
        <f>"FITZGERALD ARIKA"</f>
        <v>FITZGERALD ARIKA</v>
      </c>
      <c r="C4331" s="1" t="str">
        <f>"597 CARPENTER ST ANDREW PK LOT 169"</f>
        <v>597 CARPENTER ST ANDREW PK LOT 169</v>
      </c>
      <c r="D4331" s="1">
        <v>1500</v>
      </c>
    </row>
    <row r="4332" spans="1:4" x14ac:dyDescent="0.3">
      <c r="A4332" s="1" t="str">
        <f>"01006363900"</f>
        <v>01006363900</v>
      </c>
      <c r="B4332" s="1" t="str">
        <f>"FITZGERALD DEANNA, FITZGERALD CATHY M"</f>
        <v>FITZGERALD DEANNA, FITZGERALD CATHY M</v>
      </c>
      <c r="C4332" s="1" t="str">
        <f>"397 HIGHLAND AVE ARLINGTON LOT 229"</f>
        <v>397 HIGHLAND AVE ARLINGTON LOT 229</v>
      </c>
      <c r="D4332" s="1">
        <v>1061.3699999999999</v>
      </c>
    </row>
    <row r="4333" spans="1:4" x14ac:dyDescent="0.3">
      <c r="A4333" s="1" t="str">
        <f>"01013343000"</f>
        <v>01013343000</v>
      </c>
      <c r="B4333" s="1" t="str">
        <f>"FITZGERALD WILLIE W"</f>
        <v>FITZGERALD WILLIE W</v>
      </c>
      <c r="C4333" s="1" t="str">
        <f>"FELIX DR SOUTHFIELD 3 LOT 329"</f>
        <v>FELIX DR SOUTHFIELD 3 LOT 329</v>
      </c>
      <c r="D4333" s="1">
        <v>113.5</v>
      </c>
    </row>
    <row r="4334" spans="1:4" x14ac:dyDescent="0.3">
      <c r="A4334" s="1" t="str">
        <f>"01019040400"</f>
        <v>01019040400</v>
      </c>
      <c r="B4334" s="1" t="str">
        <f>"FITZPATRICK BARTHOLOMEW"</f>
        <v>FITZPATRICK BARTHOLOMEW</v>
      </c>
      <c r="C4334" s="1" t="str">
        <f>"S 4TH ST WISHON-LEHNER CONDO UNIT 1438"</f>
        <v>S 4TH ST WISHON-LEHNER CONDO UNIT 1438</v>
      </c>
      <c r="D4334" s="1">
        <v>97.76</v>
      </c>
    </row>
    <row r="4335" spans="1:4" x14ac:dyDescent="0.3">
      <c r="A4335" s="1" t="str">
        <f>"01019040300"</f>
        <v>01019040300</v>
      </c>
      <c r="B4335" s="1" t="str">
        <f>"FITZPATRICK BARTHOLOMEW"</f>
        <v>FITZPATRICK BARTHOLOMEW</v>
      </c>
      <c r="C4335" s="1" t="str">
        <f>"S 4TH ST WISHON-LEHNER CONDO UNIT 1436"</f>
        <v>S 4TH ST WISHON-LEHNER CONDO UNIT 1436</v>
      </c>
      <c r="D4335" s="1">
        <v>99.2</v>
      </c>
    </row>
    <row r="4336" spans="1:4" x14ac:dyDescent="0.3">
      <c r="A4336" s="1" t="str">
        <f>"01002646700"</f>
        <v>01002646700</v>
      </c>
      <c r="B4336" s="1" t="str">
        <f>"FITZPATRICK BARTOLOMEW"</f>
        <v>FITZPATRICK BARTOLOMEW</v>
      </c>
      <c r="C4336" s="1" t="str">
        <f>"379-81 WELCH AVE KAUTS &amp; JONES LOT 6"</f>
        <v>379-81 WELCH AVE KAUTS &amp; JONES LOT 6</v>
      </c>
      <c r="D4336" s="1">
        <v>585.20000000000005</v>
      </c>
    </row>
    <row r="4337" spans="1:4" x14ac:dyDescent="0.3">
      <c r="A4337" s="1" t="str">
        <f>"61020540200"</f>
        <v>61020540200</v>
      </c>
      <c r="B4337" s="1" t="str">
        <f>"FITZPATRICK JANIS M"</f>
        <v>FITZPATRICK JANIS M</v>
      </c>
      <c r="C4337" s="1" t="str">
        <f>"LAKE BLUFF COURT THE SANCTUARY SEC 3 LOT 75"</f>
        <v>LAKE BLUFF COURT THE SANCTUARY SEC 3 LOT 75</v>
      </c>
      <c r="D4337" s="1">
        <v>338.24</v>
      </c>
    </row>
    <row r="4338" spans="1:4" x14ac:dyDescent="0.3">
      <c r="A4338" s="1" t="str">
        <f>"08000967200"</f>
        <v>08000967200</v>
      </c>
      <c r="B4338" s="1" t="str">
        <f>"FITZPATRICK TIMOTHY F"</f>
        <v>FITZPATRICK TIMOTHY F</v>
      </c>
      <c r="C4338" s="1" t="str">
        <f>"LUKE COURT THE PINES LOT 10"</f>
        <v>LUKE COURT THE PINES LOT 10</v>
      </c>
      <c r="D4338" s="1">
        <v>791.22</v>
      </c>
    </row>
    <row r="4339" spans="1:4" x14ac:dyDescent="0.3">
      <c r="A4339" s="1" t="str">
        <f>"01000816900"</f>
        <v>01000816900</v>
      </c>
      <c r="B4339" s="1" t="str">
        <f>"FIVE THIRTEEN EAST RICH STREET LLC"</f>
        <v>FIVE THIRTEEN EAST RICH STREET LLC</v>
      </c>
      <c r="C4339" s="1" t="str">
        <f>"513-517 E RICH ST         SNOWDEN LUB LOTS          1-4 EX NE TRI COR        "</f>
        <v xml:space="preserve">513-517 E RICH ST         SNOWDEN LUB LOTS          1-4 EX NE TRI COR        </v>
      </c>
      <c r="D4339" s="1">
        <v>1038.3800000000001</v>
      </c>
    </row>
    <row r="4340" spans="1:4" x14ac:dyDescent="0.3">
      <c r="A4340" s="1" t="str">
        <f>"49524262200"</f>
        <v>49524262200</v>
      </c>
      <c r="B4340" s="1" t="str">
        <f>"FIVF-III-OH-GS LP"</f>
        <v>FIVF-III-OH-GS LP</v>
      </c>
      <c r="C4340" s="1" t="str">
        <f>"6951 SCHWARTZWALDER LOCKBOURNE AIR BASE 5.036 ACRES"</f>
        <v>6951 SCHWARTZWALDER LOCKBOURNE AIR BASE 5.036 ACRES</v>
      </c>
      <c r="D4340" s="1">
        <v>42384.19</v>
      </c>
    </row>
    <row r="4341" spans="1:4" x14ac:dyDescent="0.3">
      <c r="A4341" s="1" t="str">
        <f>"22200082100"</f>
        <v>22200082100</v>
      </c>
      <c r="B4341" s="1" t="str">
        <f>"FIXARI MARK P, FIXARI SHAYNE F"</f>
        <v>FIXARI MARK P, FIXARI SHAYNE F</v>
      </c>
      <c r="C4341" s="1" t="str">
        <f>"GAHANNA-NEWALBANY RD .895 ACRE LOT 7"</f>
        <v>GAHANNA-NEWALBANY RD .895 ACRE LOT 7</v>
      </c>
      <c r="D4341" s="1">
        <v>93.98</v>
      </c>
    </row>
    <row r="4342" spans="1:4" x14ac:dyDescent="0.3">
      <c r="A4342" s="1" t="str">
        <f>"22200064500"</f>
        <v>22200064500</v>
      </c>
      <c r="B4342" s="1" t="str">
        <f>"FIXARI MARK P, FIXARI SHAYNE F"</f>
        <v>FIXARI MARK P, FIXARI SHAYNE F</v>
      </c>
      <c r="C4342" s="1" t="str">
        <f>"GAHANNA NEWALBANY PK 2 ARS LOT 7"</f>
        <v>GAHANNA NEWALBANY PK 2 ARS LOT 7</v>
      </c>
      <c r="D4342" s="1">
        <v>690.69</v>
      </c>
    </row>
    <row r="4343" spans="1:4" x14ac:dyDescent="0.3">
      <c r="A4343" s="1" t="str">
        <f>"22200064800"</f>
        <v>22200064800</v>
      </c>
      <c r="B4343" s="1" t="str">
        <f>"FIXARI MARK P, FIXARI SHAYNE F"</f>
        <v>FIXARI MARK P, FIXARI SHAYNE F</v>
      </c>
      <c r="C4343" s="1" t="str">
        <f>"GAHANNA-NEW ALBNY RD 2.456 ACRES LOT 7"</f>
        <v>GAHANNA-NEW ALBNY RD 2.456 ACRES LOT 7</v>
      </c>
      <c r="D4343" s="1">
        <v>640.96</v>
      </c>
    </row>
    <row r="4344" spans="1:4" x14ac:dyDescent="0.3">
      <c r="A4344" s="1" t="str">
        <f>"22000173700"</f>
        <v>22000173700</v>
      </c>
      <c r="B4344" s="1" t="str">
        <f>"FIXARI MARK P, FIXARI SHAYNE F"</f>
        <v>FIXARI MARK P, FIXARI SHAYNE F</v>
      </c>
      <c r="C4344" s="1" t="str">
        <f>"GAHANNA-NEW ALBANY 1.416 ACRES LOT 7"</f>
        <v>GAHANNA-NEW ALBANY 1.416 ACRES LOT 7</v>
      </c>
      <c r="D4344" s="1">
        <v>126.28</v>
      </c>
    </row>
    <row r="4345" spans="1:4" x14ac:dyDescent="0.3">
      <c r="A4345" s="1" t="str">
        <f>"22000086100"</f>
        <v>22000086100</v>
      </c>
      <c r="B4345" s="1" t="str">
        <f>"FIXARI MARK P, FIXARI SHAYNE F"</f>
        <v>FIXARI MARK P, FIXARI SHAYNE F</v>
      </c>
      <c r="C4345" s="1" t="str">
        <f>"GAHANNA &amp; NEW ALBANY RDS R16 T2 1/4T3 LOTS 7-8"</f>
        <v>GAHANNA &amp; NEW ALBANY RDS R16 T2 1/4T3 LOTS 7-8</v>
      </c>
      <c r="D4345" s="1">
        <v>539.42999999999995</v>
      </c>
    </row>
    <row r="4346" spans="1:4" x14ac:dyDescent="0.3">
      <c r="A4346" s="1" t="str">
        <f>"22200290600"</f>
        <v>22200290600</v>
      </c>
      <c r="B4346" s="1" t="str">
        <f>"FIXARI MARK P, FIXARI SHAYNE F"</f>
        <v>FIXARI MARK P, FIXARI SHAYNE F</v>
      </c>
      <c r="C4346" s="1" t="str">
        <f>"5765 THOMPSON RD R16 T2 1/4T3 2.551 ACRES"</f>
        <v>5765 THOMPSON RD R16 T2 1/4T3 2.551 ACRES</v>
      </c>
      <c r="D4346" s="1">
        <v>1160.03</v>
      </c>
    </row>
    <row r="4347" spans="1:4" x14ac:dyDescent="0.3">
      <c r="A4347" s="1" t="str">
        <f>"22200326700"</f>
        <v>22200326700</v>
      </c>
      <c r="B4347" s="1" t="str">
        <f>"FIXARI SHAYNE F"</f>
        <v>FIXARI SHAYNE F</v>
      </c>
      <c r="C4347" s="1" t="str">
        <f>"THOMPSON RD R16 T2 S3 0.697 ACRE"</f>
        <v>THOMPSON RD R16 T2 S3 0.697 ACRE</v>
      </c>
      <c r="D4347" s="1">
        <v>605.61</v>
      </c>
    </row>
    <row r="4348" spans="1:4" x14ac:dyDescent="0.3">
      <c r="A4348" s="1" t="str">
        <f>"14800083700"</f>
        <v>14800083700</v>
      </c>
      <c r="B4348" s="1" t="str">
        <f>"FLAHERTY JERRY D"</f>
        <v>FLAHERTY JERRY D</v>
      </c>
      <c r="C4348" s="1" t="str">
        <f>"344 N HAGUE AVE VALLEYVIEW PTS RES A LOTS 254 255"</f>
        <v>344 N HAGUE AVE VALLEYVIEW PTS RES A LOTS 254 255</v>
      </c>
      <c r="D4348" s="1">
        <v>4103.17</v>
      </c>
    </row>
    <row r="4349" spans="1:4" x14ac:dyDescent="0.3">
      <c r="A4349" s="1" t="str">
        <f>"23000104900"</f>
        <v>23000104900</v>
      </c>
      <c r="B4349" s="1" t="str">
        <f>"FLAIM ALBERT P TR"</f>
        <v>FLAIM ALBERT P TR</v>
      </c>
      <c r="C4349" s="1" t="str">
        <f>"GROVE CITY RD ENTRY 1448 5.002 ACRES"</f>
        <v>GROVE CITY RD ENTRY 1448 5.002 ACRES</v>
      </c>
      <c r="D4349" s="1">
        <v>3607.41</v>
      </c>
    </row>
    <row r="4350" spans="1:4" x14ac:dyDescent="0.3">
      <c r="A4350" s="1" t="str">
        <f>"61020910300"</f>
        <v>61020910300</v>
      </c>
      <c r="B4350" s="1" t="str">
        <f>"FLANAGAN DEANA MACY, HALVERSON RYAN SPENCER"</f>
        <v>FLANAGAN DEANA MACY, HALVERSON RYAN SPENCER</v>
      </c>
      <c r="C4350" s="1" t="str">
        <f>"GARDENSTONE DR WORTHINGTON GREEN SEC 3  LOT 169"</f>
        <v>GARDENSTONE DR WORTHINGTON GREEN SEC 3  LOT 169</v>
      </c>
      <c r="D4350" s="1">
        <v>291.64</v>
      </c>
    </row>
    <row r="4351" spans="1:4" x14ac:dyDescent="0.3">
      <c r="A4351" s="1" t="str">
        <f>"17000006000"</f>
        <v>17000006000</v>
      </c>
      <c r="B4351" s="1" t="str">
        <f>"FLANAGAN MATHEW S"</f>
        <v>FLANAGAN MATHEW S</v>
      </c>
      <c r="C4351" s="1" t="str">
        <f>"7019 CLARK STATE RD R16 T1 1/4T1 4.167 ACRES"</f>
        <v>7019 CLARK STATE RD R16 T1 1/4T1 4.167 ACRES</v>
      </c>
      <c r="D4351" s="1">
        <v>464.93</v>
      </c>
    </row>
    <row r="4352" spans="1:4" x14ac:dyDescent="0.3">
      <c r="A4352" s="1" t="str">
        <f>"61018376200"</f>
        <v>61018376200</v>
      </c>
      <c r="B4352" s="1" t="str">
        <f>"FLANIGAN JAMES R, FLANIGAN JOYCE A"</f>
        <v>FLANIGAN JAMES R, FLANIGAN JOYCE A</v>
      </c>
      <c r="C4352" s="1" t="str">
        <f>"MCCALL CT OLENHURST LOT 14"</f>
        <v>MCCALL CT OLENHURST LOT 14</v>
      </c>
      <c r="D4352" s="1">
        <v>5580.29</v>
      </c>
    </row>
    <row r="4353" spans="1:4" x14ac:dyDescent="0.3">
      <c r="A4353" s="1" t="str">
        <f>"56021345800"</f>
        <v>56021345800</v>
      </c>
      <c r="B4353" s="1" t="str">
        <f>"FLANIGAN WILLIAM F, FLANIGAN ANN M"</f>
        <v>FLANIGAN WILLIAM F, FLANIGAN ANN M</v>
      </c>
      <c r="C4353" s="1" t="str">
        <f>"SWEETWATER ESTATES SECTION 3 LOT 270"</f>
        <v>SWEETWATER ESTATES SECTION 3 LOT 270</v>
      </c>
      <c r="D4353" s="1">
        <v>2742.78</v>
      </c>
    </row>
    <row r="4354" spans="1:4" x14ac:dyDescent="0.3">
      <c r="A4354" s="1" t="str">
        <f>"01009474700"</f>
        <v>01009474700</v>
      </c>
      <c r="B4354" s="1" t="str">
        <f>"FLANNERY BILLY J"</f>
        <v>FLANNERY BILLY J</v>
      </c>
      <c r="C4354" s="1" t="str">
        <f>"BEULAH RD BEULAH PARK LOT 10"</f>
        <v>BEULAH RD BEULAH PARK LOT 10</v>
      </c>
      <c r="D4354" s="1">
        <v>2652.11</v>
      </c>
    </row>
    <row r="4355" spans="1:4" x14ac:dyDescent="0.3">
      <c r="A4355" s="1" t="str">
        <f>"01003259300"</f>
        <v>01003259300</v>
      </c>
      <c r="B4355" s="1" t="str">
        <f>"FLANNERY BILLY J"</f>
        <v>FLANNERY BILLY J</v>
      </c>
      <c r="C4355" s="1" t="str">
        <f>"1108 THURMAN LOCKBOURNE PL AMD LOT 27"</f>
        <v>1108 THURMAN LOCKBOURNE PL AMD LOT 27</v>
      </c>
      <c r="D4355" s="1">
        <v>1129.92</v>
      </c>
    </row>
    <row r="4356" spans="1:4" x14ac:dyDescent="0.3">
      <c r="A4356" s="1" t="str">
        <f>"18500006600"</f>
        <v>18500006600</v>
      </c>
      <c r="B4356" s="1" t="str">
        <f>"FLECK MATTHEW TR"</f>
        <v>FLECK MATTHEW TR</v>
      </c>
      <c r="C4356" s="1" t="str">
        <f>"205 WALNUT ST PT OUT LOT 43 "</f>
        <v xml:space="preserve">205 WALNUT ST PT OUT LOT 43 </v>
      </c>
      <c r="D4356" s="1">
        <v>1384.81</v>
      </c>
    </row>
    <row r="4357" spans="1:4" x14ac:dyDescent="0.3">
      <c r="A4357" s="1" t="str">
        <f>"61019088300"</f>
        <v>61019088300</v>
      </c>
      <c r="B4357" s="1" t="str">
        <f>"FLECKENSTEIN STEVEN TR"</f>
        <v>FLECKENSTEIN STEVEN TR</v>
      </c>
      <c r="C4357" s="1" t="str">
        <f>"SHEAR DR RESUB PT SMOKY RIDGE EST 6 LOT 730"</f>
        <v>SHEAR DR RESUB PT SMOKY RIDGE EST 6 LOT 730</v>
      </c>
      <c r="D4357" s="1">
        <v>639.73</v>
      </c>
    </row>
    <row r="4358" spans="1:4" x14ac:dyDescent="0.3">
      <c r="A4358" s="1" t="str">
        <f>"16100024300"</f>
        <v>16100024300</v>
      </c>
      <c r="B4358" s="1" t="str">
        <f>"FLEMING CHARLOTTE, LEVERNE THURMAN, THURMAN ALBERT L SR, SMITH REGINA"</f>
        <v>FLEMING CHARLOTTE, LEVERNE THURMAN, THURMAN ALBERT L SR, SMITH REGINA</v>
      </c>
      <c r="C4358" s="1" t="str">
        <f>"FOURTH AVE URBANCREST 34-35 BLK 5"</f>
        <v>FOURTH AVE URBANCREST 34-35 BLK 5</v>
      </c>
      <c r="D4358" s="1">
        <v>78.06</v>
      </c>
    </row>
    <row r="4359" spans="1:4" x14ac:dyDescent="0.3">
      <c r="A4359" s="1" t="str">
        <f>"16100024000"</f>
        <v>16100024000</v>
      </c>
      <c r="B4359" s="1" t="str">
        <f>"FLEMING CHARLOTTE, LEVERNE THURMAN, THURMAN ALBERT L SR, SMITH REGINA"</f>
        <v>FLEMING CHARLOTTE, LEVERNE THURMAN, THURMAN ALBERT L SR, SMITH REGINA</v>
      </c>
      <c r="C4359" s="1" t="str">
        <f>"3590 W 4TH AVE URBANCREST 36 BLK 5"</f>
        <v>3590 W 4TH AVE URBANCREST 36 BLK 5</v>
      </c>
      <c r="D4359" s="1">
        <v>1664.38</v>
      </c>
    </row>
    <row r="4360" spans="1:4" x14ac:dyDescent="0.3">
      <c r="A4360" s="1" t="str">
        <f>"16100076800"</f>
        <v>16100076800</v>
      </c>
      <c r="B4360" s="1" t="str">
        <f>"FLEMING CHARLOTTE, LEVERNE THURMAN, THURMAN ALBERT L SR, SMITH REGINA"</f>
        <v>FLEMING CHARLOTTE, LEVERNE THURMAN, THURMAN ALBERT L SR, SMITH REGINA</v>
      </c>
      <c r="C4360" s="1" t="str">
        <f>"4TH AVE URBANCREST 33 BLK 5"</f>
        <v>4TH AVE URBANCREST 33 BLK 5</v>
      </c>
      <c r="D4360" s="1">
        <v>62.35</v>
      </c>
    </row>
    <row r="4361" spans="1:4" x14ac:dyDescent="0.3">
      <c r="A4361" s="1" t="str">
        <f>"01028439200"</f>
        <v>01028439200</v>
      </c>
      <c r="B4361" s="1" t="str">
        <f>"FLEMING JAMES JR"</f>
        <v>FLEMING JAMES JR</v>
      </c>
      <c r="C4361" s="1" t="str">
        <f>"THE CONDOMINIUMS AT       NORTH BANK PARK           UNIT 300-204             "</f>
        <v xml:space="preserve">THE CONDOMINIUMS AT       NORTH BANK PARK           UNIT 300-204             </v>
      </c>
      <c r="D4361" s="1">
        <v>4943.82</v>
      </c>
    </row>
    <row r="4362" spans="1:4" x14ac:dyDescent="0.3">
      <c r="A4362" s="1" t="str">
        <f>"14000279300"</f>
        <v>14000279300</v>
      </c>
      <c r="B4362" s="1" t="str">
        <f>"FLEMING JEREMY S"</f>
        <v>FLEMING JEREMY S</v>
      </c>
      <c r="C4362" s="1" t="str">
        <f>"71 FLORENCE AVE BROADLAWN LOT 82 "</f>
        <v xml:space="preserve">71 FLORENCE AVE BROADLAWN LOT 82 </v>
      </c>
      <c r="D4362" s="1">
        <v>1962.15</v>
      </c>
    </row>
    <row r="4363" spans="1:4" x14ac:dyDescent="0.3">
      <c r="A4363" s="1" t="str">
        <f>"01025954000"</f>
        <v>01025954000</v>
      </c>
      <c r="B4363" s="1" t="str">
        <f>"FLEMING LINDA G"</f>
        <v>FLEMING LINDA G</v>
      </c>
      <c r="C4363" s="1" t="str">
        <f>"BLENDON CHASE CONDOMINIUM 9TH AMD UNIT 29-5737"</f>
        <v>BLENDON CHASE CONDOMINIUM 9TH AMD UNIT 29-5737</v>
      </c>
      <c r="D4363" s="1">
        <v>179.47</v>
      </c>
    </row>
    <row r="4364" spans="1:4" x14ac:dyDescent="0.3">
      <c r="A4364" s="1" t="str">
        <f>"04001376900"</f>
        <v>04001376900</v>
      </c>
      <c r="B4364" s="1" t="str">
        <f>"FLEMING NICOLE, FLEMING THOMAS"</f>
        <v>FLEMING NICOLE, FLEMING THOMAS</v>
      </c>
      <c r="C4364" s="1" t="str">
        <f>"PINNACLE CLUB DRIVE       PINNACLE CLUB SECTION 4   LOT 451                  "</f>
        <v xml:space="preserve">PINNACLE CLUB DRIVE       PINNACLE CLUB SECTION 4   LOT 451                  </v>
      </c>
      <c r="D4364" s="1">
        <v>2020.01</v>
      </c>
    </row>
    <row r="4365" spans="1:4" x14ac:dyDescent="0.3">
      <c r="A4365" s="1" t="str">
        <f>"04001172800"</f>
        <v>04001172800</v>
      </c>
      <c r="B4365" s="1" t="str">
        <f>"FLEMING PATRICIA A"</f>
        <v>FLEMING PATRICIA A</v>
      </c>
      <c r="C4365" s="1" t="str">
        <f>"THE LANDINGS AT QUAIL CREEK CONDOMINIUM 4TH AMD UNIT 11-2612"</f>
        <v>THE LANDINGS AT QUAIL CREEK CONDOMINIUM 4TH AMD UNIT 11-2612</v>
      </c>
      <c r="D4365" s="1">
        <v>116.13</v>
      </c>
    </row>
    <row r="4366" spans="1:4" x14ac:dyDescent="0.3">
      <c r="A4366" s="1" t="str">
        <f>"04000471200"</f>
        <v>04000471200</v>
      </c>
      <c r="B4366" s="1" t="str">
        <f>"FLEMING STEVEN M, FLEMING JANET R"</f>
        <v>FLEMING STEVEN M, FLEMING JANET R</v>
      </c>
      <c r="C4366" s="1" t="str">
        <f>"3291 BLODWEN CIRCLE PARK RIDGE NO 3 LOT 149"</f>
        <v>3291 BLODWEN CIRCLE PARK RIDGE NO 3 LOT 149</v>
      </c>
      <c r="D4366" s="1">
        <v>2419.69</v>
      </c>
    </row>
    <row r="4367" spans="1:4" x14ac:dyDescent="0.3">
      <c r="A4367" s="1" t="str">
        <f>"01016207500"</f>
        <v>01016207500</v>
      </c>
      <c r="B4367" s="1" t="str">
        <f>"FLEMISTER DESHAUN L"</f>
        <v>FLEMISTER DESHAUN L</v>
      </c>
      <c r="C4367" s="1" t="str">
        <f>"NIANTIC DRIVE FRAMINGHAM LOT 249"</f>
        <v>NIANTIC DRIVE FRAMINGHAM LOT 249</v>
      </c>
      <c r="D4367" s="1">
        <v>3544.28</v>
      </c>
    </row>
    <row r="4368" spans="1:4" x14ac:dyDescent="0.3">
      <c r="A4368" s="1" t="str">
        <f>"01007077600"</f>
        <v>01007077600</v>
      </c>
      <c r="B4368" s="1" t="str">
        <f>"FLEMMINGS WALTER J III"</f>
        <v>FLEMMINGS WALTER J III</v>
      </c>
      <c r="C4368" s="1" t="str">
        <f>"HUDSON ST MUL-BUR HTS AMD LOT 8"</f>
        <v>HUDSON ST MUL-BUR HTS AMD LOT 8</v>
      </c>
      <c r="D4368" s="1">
        <v>361.56</v>
      </c>
    </row>
    <row r="4369" spans="1:4" x14ac:dyDescent="0.3">
      <c r="A4369" s="1" t="str">
        <f>"18600010800"</f>
        <v>18600010800</v>
      </c>
      <c r="B4369" s="1" t="str">
        <f>"FLESHMAN VALERIE J"</f>
        <v>FLESHMAN VALERIE J</v>
      </c>
      <c r="C4369" s="1" t="str">
        <f>"KNIGHT STREET FAIRCHILD ESTATES SECTION 2 LOT 72"</f>
        <v>KNIGHT STREET FAIRCHILD ESTATES SECTION 2 LOT 72</v>
      </c>
      <c r="D4369" s="1">
        <v>518.45000000000005</v>
      </c>
    </row>
    <row r="4370" spans="1:4" x14ac:dyDescent="0.3">
      <c r="A4370" s="1" t="str">
        <f>"01000826800"</f>
        <v>01000826800</v>
      </c>
      <c r="B4370" s="1" t="str">
        <f>"FLETCHER H EUGENE"</f>
        <v>FLETCHER H EUGENE</v>
      </c>
      <c r="C4370" s="1" t="str">
        <f>"238 WILSON AVE WILSON &amp; SHARP LOT 22-23"</f>
        <v>238 WILSON AVE WILSON &amp; SHARP LOT 22-23</v>
      </c>
      <c r="D4370" s="1">
        <v>541.9</v>
      </c>
    </row>
    <row r="4371" spans="1:4" x14ac:dyDescent="0.3">
      <c r="A4371" s="1" t="str">
        <f>"01008163800"</f>
        <v>01008163800</v>
      </c>
      <c r="B4371" s="1" t="str">
        <f>"FLEX GROUP LLC"</f>
        <v>FLEX GROUP LLC</v>
      </c>
      <c r="C4371" s="1" t="str">
        <f>"MOUND ST HIGH RIDGE EXT LOT 20 BLK 11"</f>
        <v>MOUND ST HIGH RIDGE EXT LOT 20 BLK 11</v>
      </c>
      <c r="D4371" s="1">
        <v>2367.52</v>
      </c>
    </row>
    <row r="4372" spans="1:4" x14ac:dyDescent="0.3">
      <c r="A4372" s="1" t="str">
        <f>"01002172900"</f>
        <v>01002172900</v>
      </c>
      <c r="B4372" s="1" t="str">
        <f>"FLEX GROUP LLC"</f>
        <v>FLEX GROUP LLC</v>
      </c>
      <c r="C4372" s="1" t="str">
        <f>"OAKLEY AVE ARLINGTON LOT 21"</f>
        <v>OAKLEY AVE ARLINGTON LOT 21</v>
      </c>
      <c r="D4372" s="1">
        <v>271.32</v>
      </c>
    </row>
    <row r="4373" spans="1:4" x14ac:dyDescent="0.3">
      <c r="A4373" s="1" t="str">
        <f>"01002863400"</f>
        <v>01002863400</v>
      </c>
      <c r="B4373" s="1" t="str">
        <f>"FLEX GROUP LLC"</f>
        <v>FLEX GROUP LLC</v>
      </c>
      <c r="C4373" s="1" t="str">
        <f>"676 E THIRD AVE WOOLEYS LOT 85"</f>
        <v>676 E THIRD AVE WOOLEYS LOT 85</v>
      </c>
      <c r="D4373" s="1">
        <v>2509.29</v>
      </c>
    </row>
    <row r="4374" spans="1:4" x14ac:dyDescent="0.3">
      <c r="A4374" s="1" t="str">
        <f>"01004662800"</f>
        <v>01004662800</v>
      </c>
      <c r="B4374" s="1" t="str">
        <f>"FLEX GROUP LLC"</f>
        <v>FLEX GROUP LLC</v>
      </c>
      <c r="C4374" s="1" t="str">
        <f>"779 E STARR AVE BIDLEMAN LOT 288"</f>
        <v>779 E STARR AVE BIDLEMAN LOT 288</v>
      </c>
      <c r="D4374" s="1">
        <v>2011.25</v>
      </c>
    </row>
    <row r="4375" spans="1:4" x14ac:dyDescent="0.3">
      <c r="A4375" s="1" t="str">
        <f>"01003138500"</f>
        <v>01003138500</v>
      </c>
      <c r="B4375" s="1" t="str">
        <f>"FLEX GROUP LLC"</f>
        <v>FLEX GROUP LLC</v>
      </c>
      <c r="C4375" s="1" t="str">
        <f>"1303 SULLIVANT AVE MONETTS CENTRAL AV LOT 140"</f>
        <v>1303 SULLIVANT AVE MONETTS CENTRAL AV LOT 140</v>
      </c>
      <c r="D4375" s="1">
        <v>338.21</v>
      </c>
    </row>
    <row r="4376" spans="1:4" x14ac:dyDescent="0.3">
      <c r="A4376" s="1" t="str">
        <f>"61029404500"</f>
        <v>61029404500</v>
      </c>
      <c r="B4376" s="1" t="str">
        <f>"FLINT ROAD LLC"</f>
        <v>FLINT ROAD LLC</v>
      </c>
      <c r="C4376" s="1" t="str">
        <f>"NEW HAVEN RD R18 T2 1/4T2 IRR PT LOT 44=0.778 ACRE"</f>
        <v>NEW HAVEN RD R18 T2 1/4T2 IRR PT LOT 44=0.778 ACRE</v>
      </c>
      <c r="D4376" s="1">
        <v>1932.63</v>
      </c>
    </row>
    <row r="4377" spans="1:4" x14ac:dyDescent="0.3">
      <c r="A4377" s="1" t="str">
        <f>"01004019200"</f>
        <v>01004019200</v>
      </c>
      <c r="B4377" s="1" t="str">
        <f>"FLORENTINO FERNANDO"</f>
        <v>FLORENTINO FERNANDO</v>
      </c>
      <c r="C4377" s="1" t="str">
        <f>"410 N GARFIELD AVE JONES ADDITION LOT 103"</f>
        <v>410 N GARFIELD AVE JONES ADDITION LOT 103</v>
      </c>
      <c r="D4377" s="1">
        <v>3741.65</v>
      </c>
    </row>
    <row r="4378" spans="1:4" x14ac:dyDescent="0.3">
      <c r="A4378" s="1" t="str">
        <f>"01000925100"</f>
        <v>01000925100</v>
      </c>
      <c r="B4378" s="1" t="str">
        <f>"FLORIDA CAROLYN R"</f>
        <v>FLORIDA CAROLYN R</v>
      </c>
      <c r="C4378" s="1" t="str">
        <f>"1670 E WHITTIER ST LIVINGSTON WHITTIER GRDNS PT LTS 212-214"</f>
        <v>1670 E WHITTIER ST LIVINGSTON WHITTIER GRDNS PT LTS 212-214</v>
      </c>
      <c r="D4378" s="1">
        <v>1339.44</v>
      </c>
    </row>
    <row r="4379" spans="1:4" x14ac:dyDescent="0.3">
      <c r="A4379" s="1" t="str">
        <f>"14000510300"</f>
        <v>14000510300</v>
      </c>
      <c r="B4379" s="1" t="str">
        <f>"FLOWERS ROBERT C, FLOWERS ALICE M"</f>
        <v>FLOWERS ROBERT C, FLOWERS ALICE M</v>
      </c>
      <c r="C4379" s="1" t="str">
        <f>"1810 RANSBURG AVE SUSAN LOVINGS 33 "</f>
        <v xml:space="preserve">1810 RANSBURG AVE SUSAN LOVINGS 33 </v>
      </c>
      <c r="D4379" s="1">
        <v>285.43</v>
      </c>
    </row>
    <row r="4380" spans="1:4" x14ac:dyDescent="0.3">
      <c r="A4380" s="1" t="str">
        <f>"53016421000"</f>
        <v>53016421000</v>
      </c>
      <c r="B4380" s="1" t="str">
        <f>"FLOYD EVELYN"</f>
        <v>FLOYD EVELYN</v>
      </c>
      <c r="C4380" s="1" t="str">
        <f>"YUKON AVENUE THREE RIVERS LOT 305"</f>
        <v>YUKON AVENUE THREE RIVERS LOT 305</v>
      </c>
      <c r="D4380" s="1">
        <v>1967.02</v>
      </c>
    </row>
    <row r="4381" spans="1:4" x14ac:dyDescent="0.3">
      <c r="A4381" s="1" t="str">
        <f>"61019588200"</f>
        <v>61019588200</v>
      </c>
      <c r="B4381" s="1" t="str">
        <f>"FLOYD ROBERT G, FLOYD MARILYN W"</f>
        <v>FLOYD ROBERT G, FLOYD MARILYN W</v>
      </c>
      <c r="C4381" s="1" t="str">
        <f>"8120 SADDLE RUN WESTERN HILLS SEC 3 LOT 219"</f>
        <v>8120 SADDLE RUN WESTERN HILLS SEC 3 LOT 219</v>
      </c>
      <c r="D4381" s="1">
        <v>343.4</v>
      </c>
    </row>
    <row r="4382" spans="1:4" x14ac:dyDescent="0.3">
      <c r="A4382" s="1" t="str">
        <f>"01007603900"</f>
        <v>01007603900</v>
      </c>
      <c r="B4382" s="1" t="str">
        <f>"FLYING OTOOLE SISTERS LLC"</f>
        <v>FLYING OTOOLE SISTERS LLC</v>
      </c>
      <c r="C4382" s="1" t="str">
        <f>"2689 MCGUFFY RD N GRASMERE LOT 283-284"</f>
        <v>2689 MCGUFFY RD N GRASMERE LOT 283-284</v>
      </c>
      <c r="D4382" s="1">
        <v>1980.99</v>
      </c>
    </row>
    <row r="4383" spans="1:4" x14ac:dyDescent="0.3">
      <c r="A4383" s="1" t="str">
        <f>"04000196200"</f>
        <v>04000196200</v>
      </c>
      <c r="B4383" s="1" t="str">
        <f>"FLYNN CHARLOTTE A TR"</f>
        <v>FLYNN CHARLOTTE A TR</v>
      </c>
      <c r="C4383" s="1" t="str">
        <f>"3050 DENNIS LN JACKSON HOMES LOT 210 &amp; .0783 ACRE"</f>
        <v>3050 DENNIS LN JACKSON HOMES LOT 210 &amp; .0783 ACRE</v>
      </c>
      <c r="D4383" s="1">
        <v>1925.51</v>
      </c>
    </row>
    <row r="4384" spans="1:4" x14ac:dyDescent="0.3">
      <c r="A4384" s="1" t="str">
        <f>"27300681900"</f>
        <v>27300681900</v>
      </c>
      <c r="B4384" s="1" t="str">
        <f>"FLYNN DENNIS M, FLYNN ELIZABETH A"</f>
        <v>FLYNN DENNIS M, FLYNN ELIZABETH A</v>
      </c>
      <c r="C4384" s="1" t="str">
        <f>"FAWNBROOK LANE BRISTOL COMMONS SEC2 LOT 79"</f>
        <v>FAWNBROOK LANE BRISTOL COMMONS SEC2 LOT 79</v>
      </c>
      <c r="D4384" s="1">
        <v>9.9</v>
      </c>
    </row>
    <row r="4385" spans="1:4" x14ac:dyDescent="0.3">
      <c r="A4385" s="1" t="str">
        <f>"01016473700"</f>
        <v>01016473700</v>
      </c>
      <c r="B4385" s="1" t="str">
        <f>"FLYNN JAMES W"</f>
        <v>FLYNN JAMES W</v>
      </c>
      <c r="C4385" s="1" t="str">
        <f>"COLONY HILL CONDOMINIUM SEC TWO BLDG 13 UNIT 54"</f>
        <v>COLONY HILL CONDOMINIUM SEC TWO BLDG 13 UNIT 54</v>
      </c>
      <c r="D4385" s="1">
        <v>1216.19</v>
      </c>
    </row>
    <row r="4386" spans="1:4" x14ac:dyDescent="0.3">
      <c r="A4386" s="1" t="str">
        <f>"01007211100"</f>
        <v>01007211100</v>
      </c>
      <c r="B4386" s="1" t="str">
        <f>"FLYNN MAUREEN L"</f>
        <v>FLYNN MAUREEN L</v>
      </c>
      <c r="C4386" s="1" t="str">
        <f>"BLENHEIM RD NORTHRIDGE AMD LOT 92"</f>
        <v>BLENHEIM RD NORTHRIDGE AMD LOT 92</v>
      </c>
      <c r="D4386" s="1">
        <v>311.58999999999997</v>
      </c>
    </row>
    <row r="4387" spans="1:4" x14ac:dyDescent="0.3">
      <c r="A4387" s="1" t="str">
        <f>"01014089200"</f>
        <v>01014089200</v>
      </c>
      <c r="B4387" s="1" t="str">
        <f>"FLYNN PATRICIA L"</f>
        <v>FLYNN PATRICIA L</v>
      </c>
      <c r="C4387" s="1" t="str">
        <f>"EDENDALE RD SOUTHERN PINES SEC4 LOT 358"</f>
        <v>EDENDALE RD SOUTHERN PINES SEC4 LOT 358</v>
      </c>
      <c r="D4387" s="1">
        <v>1385.1</v>
      </c>
    </row>
    <row r="4388" spans="1:4" x14ac:dyDescent="0.3">
      <c r="A4388" s="1" t="str">
        <f>"01009527000"</f>
        <v>01009527000</v>
      </c>
      <c r="B4388" s="1" t="str">
        <f>"FM SIDING LLC"</f>
        <v>FM SIDING LLC</v>
      </c>
      <c r="C4388" s="1" t="str">
        <f>"WEYANT AVE FRANK W BENTLEYS SUB 1 LOT 7"</f>
        <v>WEYANT AVE FRANK W BENTLEYS SUB 1 LOT 7</v>
      </c>
      <c r="D4388" s="1">
        <v>95.69</v>
      </c>
    </row>
    <row r="4389" spans="1:4" x14ac:dyDescent="0.3">
      <c r="A4389" s="1" t="str">
        <f>"01001832200"</f>
        <v>01001832200</v>
      </c>
      <c r="B4389" s="1" t="str">
        <f>"FM SIDING LLC"</f>
        <v>FM SIDING LLC</v>
      </c>
      <c r="C4389" s="1" t="str">
        <f>"OHIO AVE 50X130FTW.S. LOT 22-5-22-31"</f>
        <v>OHIO AVE 50X130FTW.S. LOT 22-5-22-31</v>
      </c>
      <c r="D4389" s="1">
        <v>3686.95</v>
      </c>
    </row>
    <row r="4390" spans="1:4" x14ac:dyDescent="0.3">
      <c r="A4390" s="1" t="str">
        <f>"01011152100"</f>
        <v>01011152100</v>
      </c>
      <c r="B4390" s="1" t="str">
        <f>"FOCHT JANE A TTEE"</f>
        <v>FOCHT JANE A TTEE</v>
      </c>
      <c r="C4390" s="1" t="str">
        <f>"WILLIAMS RD HOME ACRES 64 "</f>
        <v xml:space="preserve">WILLIAMS RD HOME ACRES 64 </v>
      </c>
      <c r="D4390" s="1">
        <v>2155.19</v>
      </c>
    </row>
    <row r="4391" spans="1:4" x14ac:dyDescent="0.3">
      <c r="A4391" s="1" t="str">
        <f>"02501107300"</f>
        <v>02501107300</v>
      </c>
      <c r="B4391" s="1" t="str">
        <f>"FOEHL TERESA D, FOEHL RICHARD A"</f>
        <v>FOEHL TERESA D, FOEHL RICHARD A</v>
      </c>
      <c r="C4391" s="1" t="str">
        <f>"ASHMEAD DRIVE RATHBURN WOODS SECTION 8 LOT 382"</f>
        <v>ASHMEAD DRIVE RATHBURN WOODS SECTION 8 LOT 382</v>
      </c>
      <c r="D4391" s="1">
        <v>5299.1</v>
      </c>
    </row>
    <row r="4392" spans="1:4" x14ac:dyDescent="0.3">
      <c r="A4392" s="1" t="str">
        <f>"61016432700"</f>
        <v>61016432700</v>
      </c>
      <c r="B4392" s="1" t="str">
        <f>"FOELL PHILIP G, FOELL ELLEN L"</f>
        <v>FOELL PHILIP G, FOELL ELLEN L</v>
      </c>
      <c r="C4392" s="1" t="str">
        <f>"BUCKTROUT PLACE WORTHINGVIEW LOT 38"</f>
        <v>BUCKTROUT PLACE WORTHINGVIEW LOT 38</v>
      </c>
      <c r="D4392" s="1">
        <v>446.8</v>
      </c>
    </row>
    <row r="4393" spans="1:4" x14ac:dyDescent="0.3">
      <c r="A4393" s="1" t="str">
        <f>"01008616300"</f>
        <v>01008616300</v>
      </c>
      <c r="B4393" s="1" t="str">
        <f>"FOELLER RAYMOND M, CLEARY KATHLEEN"</f>
        <v>FOELLER RAYMOND M, CLEARY KATHLEEN</v>
      </c>
      <c r="C4393" s="1" t="str">
        <f>"S S LENAPPE DR INDIAN SPRINGS LOT 96"</f>
        <v>S S LENAPPE DR INDIAN SPRINGS LOT 96</v>
      </c>
      <c r="D4393" s="1">
        <v>3244.58</v>
      </c>
    </row>
    <row r="4394" spans="1:4" x14ac:dyDescent="0.3">
      <c r="A4394" s="1" t="str">
        <f>"06000169100"</f>
        <v>06000169100</v>
      </c>
      <c r="B4394" s="1" t="str">
        <f>"FOGELSONG AMY A"</f>
        <v>FOGELSONG AMY A</v>
      </c>
      <c r="C4394" s="1" t="str">
        <f>"SARATOGA AVE BROOKSIDE PK 3 655 "</f>
        <v xml:space="preserve">SARATOGA AVE BROOKSIDE PK 3 655 </v>
      </c>
      <c r="D4394" s="1">
        <v>175.04</v>
      </c>
    </row>
    <row r="4395" spans="1:4" x14ac:dyDescent="0.3">
      <c r="A4395" s="1" t="str">
        <f>"27300019900"</f>
        <v>27300019900</v>
      </c>
      <c r="B4395" s="1" t="str">
        <f>"FOJAS PATRICK S, CARLTON HEATHER LYNN"</f>
        <v>FOJAS PATRICK S, CARLTON HEATHER LYNN</v>
      </c>
      <c r="C4395" s="1" t="str">
        <f>"138 LONGVIEW DR LONGVIEW ADD LOT 7"</f>
        <v>138 LONGVIEW DR LONGVIEW ADD LOT 7</v>
      </c>
      <c r="D4395" s="1">
        <v>5199.68</v>
      </c>
    </row>
    <row r="4396" spans="1:4" x14ac:dyDescent="0.3">
      <c r="A4396" s="1" t="str">
        <f>"01012053500"</f>
        <v>01012053500</v>
      </c>
      <c r="B4396" s="1" t="str">
        <f>"FOLEY DENNIS"</f>
        <v>FOLEY DENNIS</v>
      </c>
      <c r="C4396" s="1" t="str">
        <f>"MATTHIAS DR CLINTON ESTATES3 LOT 18"</f>
        <v>MATTHIAS DR CLINTON ESTATES3 LOT 18</v>
      </c>
      <c r="D4396" s="1">
        <v>3661.58</v>
      </c>
    </row>
    <row r="4397" spans="1:4" x14ac:dyDescent="0.3">
      <c r="A4397" s="1" t="str">
        <f>"01016333700"</f>
        <v>01016333700</v>
      </c>
      <c r="B4397" s="1" t="str">
        <f>"FOLEY JAMES PATRICK, FORTKAMP FOLEY KIMBERLY ANN"</f>
        <v>FOLEY JAMES PATRICK, FORTKAMP FOLEY KIMBERLY ANN</v>
      </c>
      <c r="C4397" s="1" t="str">
        <f>"ROCKPORT STREET WISHING WELL ACRES 1 LOT 59"</f>
        <v>ROCKPORT STREET WISHING WELL ACRES 1 LOT 59</v>
      </c>
      <c r="D4397" s="1">
        <v>2318.4499999999998</v>
      </c>
    </row>
    <row r="4398" spans="1:4" x14ac:dyDescent="0.3">
      <c r="A4398" s="1" t="str">
        <f>"01008716200"</f>
        <v>01008716200</v>
      </c>
      <c r="B4398" s="1" t="str">
        <f>"FOLEY KEVIN P"</f>
        <v>FOLEY KEVIN P</v>
      </c>
      <c r="C4398" s="1" t="str">
        <f>"ASHLAND AVE KING AVE LOT 10"</f>
        <v>ASHLAND AVE KING AVE LOT 10</v>
      </c>
      <c r="D4398" s="1">
        <v>12621.59</v>
      </c>
    </row>
    <row r="4399" spans="1:4" x14ac:dyDescent="0.3">
      <c r="A4399" s="1" t="str">
        <f>"01017727700"</f>
        <v>01017727700</v>
      </c>
      <c r="B4399" s="1" t="str">
        <f>"FOLEY MICHAEL V, FOLEY MARY B"</f>
        <v>FOLEY MICHAEL V, FOLEY MARY B</v>
      </c>
      <c r="C4399" s="1" t="str">
        <f>"HENDEREED VIL CONDO UNIT BLDG 1801 28 "</f>
        <v xml:space="preserve">HENDEREED VIL CONDO UNIT BLDG 1801 28 </v>
      </c>
      <c r="D4399" s="1">
        <v>1319.97</v>
      </c>
    </row>
    <row r="4400" spans="1:4" x14ac:dyDescent="0.3">
      <c r="A4400" s="1" t="str">
        <f>"22200511000"</f>
        <v>22200511000</v>
      </c>
      <c r="B4400" s="1" t="str">
        <f>"FOLEY ROBERT P, REED PAULA K"</f>
        <v>FOLEY ROBERT P, REED PAULA K</v>
      </c>
      <c r="C4400" s="1" t="str">
        <f>"COURTYARDS AT NEW ALBANY PHASE 2 LOT 69"</f>
        <v>COURTYARDS AT NEW ALBANY PHASE 2 LOT 69</v>
      </c>
      <c r="D4400" s="1">
        <v>600.38</v>
      </c>
    </row>
    <row r="4401" spans="1:4" x14ac:dyDescent="0.3">
      <c r="A4401" s="1" t="str">
        <f>"01000611200"</f>
        <v>01000611200</v>
      </c>
      <c r="B4401" s="1" t="str">
        <f>"FOMPUM ERICA L"</f>
        <v>FOMPUM ERICA L</v>
      </c>
      <c r="C4401" s="1" t="str">
        <f>"592 BULEN AVE BULENS FAIRWOD PARK LOT 267"</f>
        <v>592 BULEN AVE BULENS FAIRWOD PARK LOT 267</v>
      </c>
      <c r="D4401" s="1">
        <v>2957.54</v>
      </c>
    </row>
    <row r="4402" spans="1:4" x14ac:dyDescent="0.3">
      <c r="A4402" s="1" t="str">
        <f>"01019178300"</f>
        <v>01019178300</v>
      </c>
      <c r="B4402" s="1" t="str">
        <f>"FONTALBERT MICHELLE C"</f>
        <v>FONTALBERT MICHELLE C</v>
      </c>
      <c r="C4402" s="1" t="str">
        <f>"UNIT 595-D THE CONDOMINIUM BLDG 3 UNIT 3-595D"</f>
        <v>UNIT 595-D THE CONDOMINIUM BLDG 3 UNIT 3-595D</v>
      </c>
      <c r="D4402" s="1">
        <v>1909.06</v>
      </c>
    </row>
    <row r="4403" spans="1:4" x14ac:dyDescent="0.3">
      <c r="A4403" s="1" t="str">
        <f>"01009173100"</f>
        <v>01009173100</v>
      </c>
      <c r="B4403" s="1" t="str">
        <f>"FONTANA MICHAEL F, GRAMER JAZLYN L"</f>
        <v>FONTANA MICHAEL F, GRAMER JAZLYN L</v>
      </c>
      <c r="C4403" s="1" t="str">
        <f>"BROADLEIGH RD BEXLEY ANNEX LOT 73"</f>
        <v>BROADLEIGH RD BEXLEY ANNEX LOT 73</v>
      </c>
      <c r="D4403" s="1">
        <v>348.61</v>
      </c>
    </row>
    <row r="4404" spans="1:4" x14ac:dyDescent="0.3">
      <c r="A4404" s="1" t="str">
        <f>"01001683500"</f>
        <v>01001683500</v>
      </c>
      <c r="B4404" s="1" t="str">
        <f>"FORADORI LINDSEY"</f>
        <v>FORADORI LINDSEY</v>
      </c>
      <c r="C4404" s="1" t="str">
        <f>"184 INNIS AVE MCLARRENS PARCELS LOT 5"</f>
        <v>184 INNIS AVE MCLARRENS PARCELS LOT 5</v>
      </c>
      <c r="D4404" s="1">
        <v>1140.1300000000001</v>
      </c>
    </row>
    <row r="4405" spans="1:4" x14ac:dyDescent="0.3">
      <c r="A4405" s="1" t="str">
        <f>"51526794800"</f>
        <v>51526794800</v>
      </c>
      <c r="B4405" s="1" t="str">
        <f>"FORBES JOHN R III"</f>
        <v>FORBES JOHN R III</v>
      </c>
      <c r="C4405" s="1" t="str">
        <f>"WAGGONER PARK CONDOMINIUM 7TH AMD BLDG 56 UNIT 289"</f>
        <v>WAGGONER PARK CONDOMINIUM 7TH AMD BLDG 56 UNIT 289</v>
      </c>
      <c r="D4405" s="1">
        <v>2941.81</v>
      </c>
    </row>
    <row r="4406" spans="1:4" x14ac:dyDescent="0.3">
      <c r="A4406" s="1" t="str">
        <f>"14800061200"</f>
        <v>14800061200</v>
      </c>
      <c r="B4406" s="1" t="str">
        <f>"FORBY ROBERT G JR"</f>
        <v>FORBY ROBERT G JR</v>
      </c>
      <c r="C4406" s="1" t="str">
        <f>"427 HAGUE AVE OAK KNOLL 4"</f>
        <v>427 HAGUE AVE OAK KNOLL 4</v>
      </c>
      <c r="D4406" s="1">
        <v>2579.4899999999998</v>
      </c>
    </row>
    <row r="4407" spans="1:4" x14ac:dyDescent="0.3">
      <c r="A4407" s="1" t="str">
        <f>"01012523700"</f>
        <v>01012523700</v>
      </c>
      <c r="B4407" s="1" t="str">
        <f>"FORD ALICE E"</f>
        <v>FORD ALICE E</v>
      </c>
      <c r="C4407" s="1" t="str">
        <f>"WATKINS RD SOUTHFIELD 2ND LOT 42"</f>
        <v>WATKINS RD SOUTHFIELD 2ND LOT 42</v>
      </c>
      <c r="D4407" s="1">
        <v>10</v>
      </c>
    </row>
    <row r="4408" spans="1:4" x14ac:dyDescent="0.3">
      <c r="A4408" s="1" t="str">
        <f>"04000176300"</f>
        <v>04000176300</v>
      </c>
      <c r="B4408" s="1" t="str">
        <f>"FORD CLINT A, FORD AMANDA"</f>
        <v>FORD CLINT A, FORD AMANDA</v>
      </c>
      <c r="C4408" s="1" t="str">
        <f>"4419 HAUGHN RD CASTLE FARMS 145'WS LOT 51"</f>
        <v>4419 HAUGHN RD CASTLE FARMS 145'WS LOT 51</v>
      </c>
      <c r="D4408" s="1">
        <v>911.14</v>
      </c>
    </row>
    <row r="4409" spans="1:4" x14ac:dyDescent="0.3">
      <c r="A4409" s="1" t="str">
        <f>"04000089400"</f>
        <v>04000089400</v>
      </c>
      <c r="B4409" s="1" t="str">
        <f>"FORD CONSTRUCTION INC"</f>
        <v>FORD CONSTRUCTION INC</v>
      </c>
      <c r="C4409" s="1" t="str">
        <f>"3886 ELM ST 94.26FT 110FT WLNE 100 BEULAH SUB 100"</f>
        <v>3886 ELM ST 94.26FT 110FT WLNE 100 BEULAH SUB 100</v>
      </c>
      <c r="D4409" s="1">
        <v>396.09</v>
      </c>
    </row>
    <row r="4410" spans="1:4" x14ac:dyDescent="0.3">
      <c r="A4410" s="1" t="str">
        <f>"15000048500"</f>
        <v>15000048500</v>
      </c>
      <c r="B4410" s="1" t="str">
        <f>"FORD DAKOTA ANN"</f>
        <v>FORD DAKOTA ANN</v>
      </c>
      <c r="C4410" s="1" t="str">
        <f>"1991 LISLE AVE WALNUT HTS LOT 50 "</f>
        <v xml:space="preserve">1991 LISLE AVE WALNUT HTS LOT 50 </v>
      </c>
      <c r="D4410" s="1">
        <v>117.87</v>
      </c>
    </row>
    <row r="4411" spans="1:4" x14ac:dyDescent="0.3">
      <c r="A4411" s="1" t="str">
        <f>"15000048600"</f>
        <v>15000048600</v>
      </c>
      <c r="B4411" s="1" t="str">
        <f>"FORD DAKOTA ANN"</f>
        <v>FORD DAKOTA ANN</v>
      </c>
      <c r="C4411" s="1" t="str">
        <f>"LISLE AVE WALNUT HTS LOT 51 "</f>
        <v xml:space="preserve">LISLE AVE WALNUT HTS LOT 51 </v>
      </c>
      <c r="D4411" s="1">
        <v>23.07</v>
      </c>
    </row>
    <row r="4412" spans="1:4" x14ac:dyDescent="0.3">
      <c r="A4412" s="1" t="str">
        <f>"15000048700"</f>
        <v>15000048700</v>
      </c>
      <c r="B4412" s="1" t="str">
        <f>"FORD DAKOTA ANN"</f>
        <v>FORD DAKOTA ANN</v>
      </c>
      <c r="C4412" s="1" t="str">
        <f>"LISLE AVE LOT 52 WALNUT HTS "</f>
        <v xml:space="preserve">LISLE AVE LOT 52 WALNUT HTS </v>
      </c>
      <c r="D4412" s="1">
        <v>23.07</v>
      </c>
    </row>
    <row r="4413" spans="1:4" x14ac:dyDescent="0.3">
      <c r="A4413" s="1" t="str">
        <f>"03000268600"</f>
        <v>03000268600</v>
      </c>
      <c r="B4413" s="1" t="str">
        <f>"FORD JAMES B"</f>
        <v>FORD JAMES B</v>
      </c>
      <c r="C4413" s="1" t="str">
        <f>"1000 URLIN AVE SUMMIT CHASE CONDO UNIT 1010"</f>
        <v>1000 URLIN AVE SUMMIT CHASE CONDO UNIT 1010</v>
      </c>
      <c r="D4413" s="1">
        <v>5171</v>
      </c>
    </row>
    <row r="4414" spans="1:4" x14ac:dyDescent="0.3">
      <c r="A4414" s="1" t="str">
        <f>"01015624000"</f>
        <v>01015624000</v>
      </c>
      <c r="B4414" s="1" t="str">
        <f>"FORD JANIS T"</f>
        <v>FORD JANIS T</v>
      </c>
      <c r="C4414" s="1" t="str">
        <f>"DENBIGH DRIVE SHEFFIELD 2 LOT 10"</f>
        <v>DENBIGH DRIVE SHEFFIELD 2 LOT 10</v>
      </c>
      <c r="D4414" s="1">
        <v>2516.62</v>
      </c>
    </row>
    <row r="4415" spans="1:4" x14ac:dyDescent="0.3">
      <c r="A4415" s="1" t="str">
        <f>"07000911300"</f>
        <v>07000911300</v>
      </c>
      <c r="B4415" s="1" t="str">
        <f>"FORD SCOTT W, FORD PAMELA J"</f>
        <v>FORD SCOTT W, FORD PAMELA J</v>
      </c>
      <c r="C4415" s="1" t="str">
        <f>"1390 LONDON DR WESTWOOD ACRES 10 "</f>
        <v xml:space="preserve">1390 LONDON DR WESTWOOD ACRES 10 </v>
      </c>
      <c r="D4415" s="1">
        <v>642.84</v>
      </c>
    </row>
    <row r="4416" spans="1:4" x14ac:dyDescent="0.3">
      <c r="A4416" s="1" t="str">
        <f>"01010740600"</f>
        <v>01010740600</v>
      </c>
      <c r="B4416" s="1" t="str">
        <f>"FOREMAN NICHOLUS R, POWERS TASANA K"</f>
        <v>FOREMAN NICHOLUS R, POWERS TASANA K</v>
      </c>
      <c r="C4416" s="1" t="str">
        <f>"STANHOPE DR KENNY HTS LOT 1 BLK 313"</f>
        <v>STANHOPE DR KENNY HTS LOT 1 BLK 313</v>
      </c>
      <c r="D4416" s="1">
        <v>2720.4</v>
      </c>
    </row>
    <row r="4417" spans="1:4" x14ac:dyDescent="0.3">
      <c r="A4417" s="1" t="str">
        <f>"13000136200"</f>
        <v>13000136200</v>
      </c>
      <c r="B4417" s="1" t="str">
        <f>"FOREVER FABULOUS LLC"</f>
        <v>FOREVER FABULOUS LLC</v>
      </c>
      <c r="C4417" s="1" t="str">
        <f>"1917 FERRIS RD NORTH LINDEN 1 LOT 163"</f>
        <v>1917 FERRIS RD NORTH LINDEN 1 LOT 163</v>
      </c>
      <c r="D4417" s="1">
        <v>1379.13</v>
      </c>
    </row>
    <row r="4418" spans="1:4" x14ac:dyDescent="0.3">
      <c r="A4418" s="1" t="str">
        <f>"01007484800"</f>
        <v>01007484800</v>
      </c>
      <c r="B4418" s="1" t="str">
        <f>"FORNEY KENNETH R, FORNEY BRENDA"</f>
        <v>FORNEY KENNETH R, FORNEY BRENDA</v>
      </c>
      <c r="C4418" s="1" t="str">
        <f>"HAMILTON AVE GRASMERE GRDNS LOT 82"</f>
        <v>HAMILTON AVE GRASMERE GRDNS LOT 82</v>
      </c>
      <c r="D4418" s="1">
        <v>560.80999999999995</v>
      </c>
    </row>
    <row r="4419" spans="1:4" x14ac:dyDescent="0.3">
      <c r="A4419" s="1" t="str">
        <f>"01002127000"</f>
        <v>01002127000</v>
      </c>
      <c r="B4419" s="1" t="str">
        <f>"FORREST LINDORA"</f>
        <v>FORREST LINDORA</v>
      </c>
      <c r="C4419" s="1" t="str">
        <f>"908 S OHIO AVE OLD ORCHARD ADD LOT 151"</f>
        <v>908 S OHIO AVE OLD ORCHARD ADD LOT 151</v>
      </c>
      <c r="D4419" s="1">
        <v>1465.41</v>
      </c>
    </row>
    <row r="4420" spans="1:4" x14ac:dyDescent="0.3">
      <c r="A4420" s="1" t="str">
        <f>"14000400000"</f>
        <v>14000400000</v>
      </c>
      <c r="B4420" s="1" t="str">
        <f>"FORRSA COMMUNITY SERVICES LLC"</f>
        <v>FORRSA COMMUNITY SERVICES LLC</v>
      </c>
      <c r="C4420" s="1" t="str">
        <f>"1340 BROWNLEAF RD JOHN P HAAGS 1ST LTS 16&amp;17&amp;PT VAC AL"</f>
        <v>1340 BROWNLEAF RD JOHN P HAAGS 1ST LTS 16&amp;17&amp;PT VAC AL</v>
      </c>
      <c r="D4420" s="1">
        <v>1774.23</v>
      </c>
    </row>
    <row r="4421" spans="1:4" x14ac:dyDescent="0.3">
      <c r="A4421" s="1" t="str">
        <f>"02500104300"</f>
        <v>02500104300</v>
      </c>
      <c r="B4421" s="1" t="str">
        <f>"FORSYTHE MELANIE C"</f>
        <v>FORSYTHE MELANIE C</v>
      </c>
      <c r="C4421" s="1" t="str">
        <f>"CHERRY RD AC .917 W PT PAR 20 URP R17 T1 S4"</f>
        <v>CHERRY RD AC .917 W PT PAR 20 URP R17 T1 S4</v>
      </c>
      <c r="D4421" s="1">
        <v>1575.35</v>
      </c>
    </row>
    <row r="4422" spans="1:4" x14ac:dyDescent="0.3">
      <c r="A4422" s="1" t="str">
        <f>"01013824600"</f>
        <v>01013824600</v>
      </c>
      <c r="B4422" s="1" t="str">
        <f>"FORTE CANILA J"</f>
        <v>FORTE CANILA J</v>
      </c>
      <c r="C4422" s="1" t="str">
        <f>"GLENBROOK SEC 2 LOT 162 "</f>
        <v xml:space="preserve">GLENBROOK SEC 2 LOT 162 </v>
      </c>
      <c r="D4422" s="1">
        <v>538.87</v>
      </c>
    </row>
    <row r="4423" spans="1:4" x14ac:dyDescent="0.3">
      <c r="A4423" s="1" t="str">
        <f>"03000222200"</f>
        <v>03000222200</v>
      </c>
      <c r="B4423" s="1" t="str">
        <f>"FORTIN JOHN J, FORTIN JUDITH L"</f>
        <v>FORTIN JOHN J, FORTIN JUDITH L</v>
      </c>
      <c r="C4423" s="1" t="str">
        <f>"EASTVIEW AVE EAST VIEW LOT LTS 44-45 &amp; 25'NS LT 46"</f>
        <v>EASTVIEW AVE EAST VIEW LOT LTS 44-45 &amp; 25'NS LT 46</v>
      </c>
      <c r="D4423" s="1">
        <v>5161.24</v>
      </c>
    </row>
    <row r="4424" spans="1:4" x14ac:dyDescent="0.3">
      <c r="A4424" s="1" t="str">
        <f>"01006238300"</f>
        <v>01006238300</v>
      </c>
      <c r="B4424" s="1" t="str">
        <f>"FORTIN JOHN J, FORTIN JUDY"</f>
        <v>FORTIN JOHN J, FORTIN JUDY</v>
      </c>
      <c r="C4424" s="1" t="str">
        <f>"3RD AVE                   VIRGINIA PLC              LOT 1-2-3                "</f>
        <v xml:space="preserve">3RD AVE                   VIRGINIA PLC              LOT 1-2-3                </v>
      </c>
      <c r="D4424" s="1">
        <v>5306.11</v>
      </c>
    </row>
    <row r="4425" spans="1:4" x14ac:dyDescent="0.3">
      <c r="A4425" s="1" t="str">
        <f>"01004229900"</f>
        <v>01004229900</v>
      </c>
      <c r="B4425" s="1" t="str">
        <f>"FORTIN SARAH M, FORTIN SARAH"</f>
        <v>FORTIN SARAH M, FORTIN SARAH</v>
      </c>
      <c r="C4425" s="1" t="str">
        <f>"866-68 FRANKLIN AVE       DESHLER &amp; SINKS           LOT 43                   "</f>
        <v xml:space="preserve">866-68 FRANKLIN AVE       DESHLER &amp; SINKS           LOT 43                   </v>
      </c>
      <c r="D4425" s="1">
        <v>9201.93</v>
      </c>
    </row>
    <row r="4426" spans="1:4" x14ac:dyDescent="0.3">
      <c r="A4426" s="1" t="str">
        <f>"01011508200"</f>
        <v>01011508200</v>
      </c>
      <c r="B4426" s="1" t="str">
        <f>"FORTNEY CLARK JOSHUA WADE"</f>
        <v>FORTNEY CLARK JOSHUA WADE</v>
      </c>
      <c r="C4426" s="1" t="str">
        <f>"GLENDOWER AVE LOT 45 URP "</f>
        <v xml:space="preserve">GLENDOWER AVE LOT 45 URP </v>
      </c>
      <c r="D4426" s="1">
        <v>224.76</v>
      </c>
    </row>
    <row r="4427" spans="1:4" x14ac:dyDescent="0.3">
      <c r="A4427" s="1" t="str">
        <f>"01011508300"</f>
        <v>01011508300</v>
      </c>
      <c r="B4427" s="1" t="str">
        <f>"FORTNEY CLARK JOSHUA WADE"</f>
        <v>FORTNEY CLARK JOSHUA WADE</v>
      </c>
      <c r="C4427" s="1" t="str">
        <f>"GLENDOWER AVE LOT 46 "</f>
        <v xml:space="preserve">GLENDOWER AVE LOT 46 </v>
      </c>
      <c r="D4427" s="1">
        <v>1614.07</v>
      </c>
    </row>
    <row r="4428" spans="1:4" x14ac:dyDescent="0.3">
      <c r="A4428" s="1" t="str">
        <f>"01004333400"</f>
        <v>01004333400</v>
      </c>
      <c r="B4428" s="1" t="str">
        <f>"FORTUNE FUTURE LLC"</f>
        <v>FORTUNE FUTURE LLC</v>
      </c>
      <c r="C4428" s="1" t="str">
        <f>"54 S BURGESS AVE LANDSCAPE LOT 259"</f>
        <v>54 S BURGESS AVE LANDSCAPE LOT 259</v>
      </c>
      <c r="D4428" s="1">
        <v>2134.9699999999998</v>
      </c>
    </row>
    <row r="4429" spans="1:4" x14ac:dyDescent="0.3">
      <c r="A4429" s="1" t="str">
        <f>"01026128900"</f>
        <v>01026128900</v>
      </c>
      <c r="B4429" s="1" t="str">
        <f>"FOSS CHRISTOPHER JAMES"</f>
        <v>FOSS CHRISTOPHER JAMES</v>
      </c>
      <c r="C4429" s="1" t="str">
        <f>"BLENDON RESERVE CONDOMINIUM UNIT 4-4062"</f>
        <v>BLENDON RESERVE CONDOMINIUM UNIT 4-4062</v>
      </c>
      <c r="D4429" s="1">
        <v>4398.93</v>
      </c>
    </row>
    <row r="4430" spans="1:4" x14ac:dyDescent="0.3">
      <c r="A4430" s="1" t="str">
        <f>"14000586600"</f>
        <v>14000586600</v>
      </c>
      <c r="B4430" s="1" t="str">
        <f>"FOSS DANNY E"</f>
        <v>FOSS DANNY E</v>
      </c>
      <c r="C4430" s="1" t="str">
        <f>"1790 MARSDALE AVE WESTBROOK 266 "</f>
        <v xml:space="preserve">1790 MARSDALE AVE WESTBROOK 266 </v>
      </c>
      <c r="D4430" s="1">
        <v>118.43</v>
      </c>
    </row>
    <row r="4431" spans="1:4" x14ac:dyDescent="0.3">
      <c r="A4431" s="1" t="str">
        <f>"02500448200"</f>
        <v>02500448200</v>
      </c>
      <c r="B4431" s="1" t="str">
        <f>"FOSTER ALLEN, FOSTER GAIL"</f>
        <v>FOSTER ALLEN, FOSTER GAIL</v>
      </c>
      <c r="C4431" s="1" t="str">
        <f>"579 THEORI AVENUE GAHANNA GREENS LOT 31"</f>
        <v>579 THEORI AVENUE GAHANNA GREENS LOT 31</v>
      </c>
      <c r="D4431" s="1">
        <v>4090.98</v>
      </c>
    </row>
    <row r="4432" spans="1:4" x14ac:dyDescent="0.3">
      <c r="A4432" s="1" t="str">
        <f>"53016415500"</f>
        <v>53016415500</v>
      </c>
      <c r="B4432" s="1" t="str">
        <f>"FOSTER BENJAMIN P, FOSTER CONSTANCE C"</f>
        <v>FOSTER BENJAMIN P, FOSTER CONSTANCE C</v>
      </c>
      <c r="C4432" s="1" t="str">
        <f>"RHINE LANE THREE RIVERS LOT 250"</f>
        <v>RHINE LANE THREE RIVERS LOT 250</v>
      </c>
      <c r="D4432" s="1">
        <v>2.2000000000000002</v>
      </c>
    </row>
    <row r="4433" spans="1:4" x14ac:dyDescent="0.3">
      <c r="A4433" s="1" t="str">
        <f>"01011649000"</f>
        <v>01011649000</v>
      </c>
      <c r="B4433" s="1" t="str">
        <f>"FOSTER DEBRA A"</f>
        <v>FOSTER DEBRA A</v>
      </c>
      <c r="C4433" s="1" t="str">
        <f>"CARBONE DR CLTINON EST LOT 67"</f>
        <v>CARBONE DR CLTINON EST LOT 67</v>
      </c>
      <c r="D4433" s="1">
        <v>151.66999999999999</v>
      </c>
    </row>
    <row r="4434" spans="1:4" x14ac:dyDescent="0.3">
      <c r="A4434" s="1" t="str">
        <f>"01000276600"</f>
        <v>01000276600</v>
      </c>
      <c r="B4434" s="1" t="str">
        <f>"FOSTER HARRISON III"</f>
        <v>FOSTER HARRISON III</v>
      </c>
      <c r="C4434" s="1" t="str">
        <f>"1579 ISABEL AVE ISABELS LOT 20"</f>
        <v>1579 ISABEL AVE ISABELS LOT 20</v>
      </c>
      <c r="D4434" s="1">
        <v>550.98</v>
      </c>
    </row>
    <row r="4435" spans="1:4" x14ac:dyDescent="0.3">
      <c r="A4435" s="1" t="str">
        <f>"01009271900"</f>
        <v>01009271900</v>
      </c>
      <c r="B4435" s="1" t="str">
        <f>"FOSTER MELINDA"</f>
        <v>FOSTER MELINDA</v>
      </c>
      <c r="C4435" s="1" t="str">
        <f>"EAKIN RD MIRIAM 2 LOT 35-36 BLK 6"</f>
        <v>EAKIN RD MIRIAM 2 LOT 35-36 BLK 6</v>
      </c>
      <c r="D4435" s="1">
        <v>7829.2</v>
      </c>
    </row>
    <row r="4436" spans="1:4" x14ac:dyDescent="0.3">
      <c r="A4436" s="1" t="str">
        <f>"59020763300"</f>
        <v>59020763300</v>
      </c>
      <c r="B4436" s="1" t="str">
        <f>"FOSTER RICHARD L JR"</f>
        <v>FOSTER RICHARD L JR</v>
      </c>
      <c r="C4436" s="1" t="str">
        <f>"MARITA LANE MCKITRICK ESTATES SEC 10 LOT 294"</f>
        <v>MARITA LANE MCKITRICK ESTATES SEC 10 LOT 294</v>
      </c>
      <c r="D4436" s="1">
        <v>3028.76</v>
      </c>
    </row>
    <row r="4437" spans="1:4" x14ac:dyDescent="0.3">
      <c r="A4437" s="1" t="str">
        <f>"01014061400"</f>
        <v>01014061400</v>
      </c>
      <c r="B4437" s="1" t="str">
        <f>"FOSTER SHARON L"</f>
        <v>FOSTER SHARON L</v>
      </c>
      <c r="C4437" s="1" t="str">
        <f>"HILLMAN RD E SOUTHERN PINES SEC 3 LOT 307"</f>
        <v>HILLMAN RD E SOUTHERN PINES SEC 3 LOT 307</v>
      </c>
      <c r="D4437" s="1">
        <v>153.26</v>
      </c>
    </row>
    <row r="4438" spans="1:4" x14ac:dyDescent="0.3">
      <c r="A4438" s="1" t="str">
        <f>"01001974900"</f>
        <v>01001974900</v>
      </c>
      <c r="B4438" s="1" t="str">
        <f>"FOSTER STEVEN D"</f>
        <v>FOSTER STEVEN D</v>
      </c>
      <c r="C4438" s="1" t="str">
        <f>"190 MIAMI AVENUE DEWITT &amp; HOFFMAN SUB 19.8' SE LOT 76"</f>
        <v>190 MIAMI AVENUE DEWITT &amp; HOFFMAN SUB 19.8' SE LOT 76</v>
      </c>
      <c r="D4438" s="1">
        <v>963.81</v>
      </c>
    </row>
    <row r="4439" spans="1:4" x14ac:dyDescent="0.3">
      <c r="A4439" s="1" t="str">
        <f>"01001981600"</f>
        <v>01001981600</v>
      </c>
      <c r="B4439" s="1" t="str">
        <f>"FOSTER STEVEN D"</f>
        <v>FOSTER STEVEN D</v>
      </c>
      <c r="C4439" s="1" t="str">
        <f>"MIAMI AVE .7FT NS 76 &amp;13.8FT SS 77 DEWITT &amp;HOFFMAN LT 76-77"</f>
        <v>MIAMI AVE .7FT NS 76 &amp;13.8FT SS 77 DEWITT &amp;HOFFMAN LT 76-77</v>
      </c>
      <c r="D4439" s="1">
        <v>885.18</v>
      </c>
    </row>
    <row r="4440" spans="1:4" x14ac:dyDescent="0.3">
      <c r="A4440" s="1" t="str">
        <f>"01001983200"</f>
        <v>01001983200</v>
      </c>
      <c r="B4440" s="1" t="str">
        <f>"FOSTER STEVEN D"</f>
        <v>FOSTER STEVEN D</v>
      </c>
      <c r="C4440" s="1" t="str">
        <f>"196 MIAMI AVE 19.20FT MID PT DEWITT &amp;HOFFMAN L 77"</f>
        <v>196 MIAMI AVE 19.20FT MID PT DEWITT &amp;HOFFMAN L 77</v>
      </c>
      <c r="D4440" s="1">
        <v>950.66</v>
      </c>
    </row>
    <row r="4441" spans="1:4" x14ac:dyDescent="0.3">
      <c r="A4441" s="1" t="str">
        <f>"01001938700"</f>
        <v>01001938700</v>
      </c>
      <c r="B4441" s="1" t="str">
        <f>"FOSTER STEVEN D"</f>
        <v>FOSTER STEVEN D</v>
      </c>
      <c r="C4441" s="1" t="str">
        <f>"190 2 4 6 MIAMI AVE 14.5 FT N MID PT DE WITT &amp; HOFFMAN"</f>
        <v>190 2 4 6 MIAMI AVE 14.5 FT N MID PT DE WITT &amp; HOFFMAN</v>
      </c>
      <c r="D4441" s="1">
        <v>882.39</v>
      </c>
    </row>
    <row r="4442" spans="1:4" x14ac:dyDescent="0.3">
      <c r="A4442" s="1" t="str">
        <f>"01010653600"</f>
        <v>01010653600</v>
      </c>
      <c r="B4442" s="1" t="str">
        <f>"FOSTER STEVEN D, FOSTER KAREN D"</f>
        <v>FOSTER STEVEN D, FOSTER KAREN D</v>
      </c>
      <c r="C4442" s="1" t="str">
        <f>"FLORIBUNDA DR SOUTH BERWICK LOT 75"</f>
        <v>FLORIBUNDA DR SOUTH BERWICK LOT 75</v>
      </c>
      <c r="D4442" s="1">
        <v>2862.53</v>
      </c>
    </row>
    <row r="4443" spans="1:4" x14ac:dyDescent="0.3">
      <c r="A4443" s="1" t="str">
        <f>"01011369300"</f>
        <v>01011369300</v>
      </c>
      <c r="B4443" s="1" t="str">
        <f>"FOSTER WANETTA"</f>
        <v>FOSTER WANETTA</v>
      </c>
      <c r="C4443" s="1" t="str">
        <f>"RHOADS AVE OPPORTUNITY FARMS LOT 62"</f>
        <v>RHOADS AVE OPPORTUNITY FARMS LOT 62</v>
      </c>
      <c r="D4443" s="1">
        <v>2054.9899999999998</v>
      </c>
    </row>
    <row r="4444" spans="1:4" x14ac:dyDescent="0.3">
      <c r="A4444" s="1" t="str">
        <f>"01013530200"</f>
        <v>01013530200</v>
      </c>
      <c r="B4444" s="1" t="str">
        <f>"FOSTER WILLA M"</f>
        <v>FOSTER WILLA M</v>
      </c>
      <c r="C4444" s="1" t="str">
        <f>"ROXBURY RD RESUB PT OF KENSINGTON LOT 72"</f>
        <v>ROXBURY RD RESUB PT OF KENSINGTON LOT 72</v>
      </c>
      <c r="D4444" s="1">
        <v>2968.81</v>
      </c>
    </row>
    <row r="4445" spans="1:4" x14ac:dyDescent="0.3">
      <c r="A4445" s="1" t="str">
        <f>"01013312100"</f>
        <v>01013312100</v>
      </c>
      <c r="B4445" s="1" t="str">
        <f>"FOSTER WILLIAM K, FOSTER SHARON A"</f>
        <v>FOSTER WILLIAM K, FOSTER SHARON A</v>
      </c>
      <c r="C4445" s="1" t="str">
        <f>"KRESGE DR WALNUT BLUFF 1 LOT 266"</f>
        <v>KRESGE DR WALNUT BLUFF 1 LOT 266</v>
      </c>
      <c r="D4445" s="1">
        <v>1031.51</v>
      </c>
    </row>
    <row r="4446" spans="1:4" x14ac:dyDescent="0.3">
      <c r="A4446" s="1" t="str">
        <f>"04000558400"</f>
        <v>04000558400</v>
      </c>
      <c r="B4446" s="1" t="str">
        <f>"FOTHERINGHAM JACKIE N"</f>
        <v>FOTHERINGHAM JACKIE N</v>
      </c>
      <c r="C4446" s="1" t="str">
        <f>"3135 LOUISE COURT OAK GROVE LOT 15"</f>
        <v>3135 LOUISE COURT OAK GROVE LOT 15</v>
      </c>
      <c r="D4446" s="1">
        <v>2462.66</v>
      </c>
    </row>
    <row r="4447" spans="1:4" x14ac:dyDescent="0.3">
      <c r="A4447" s="1" t="str">
        <f>"59019087900"</f>
        <v>59019087900</v>
      </c>
      <c r="B4447" s="1" t="str">
        <f>"FOULKE CHRISTINE TR"</f>
        <v>FOULKE CHRISTINE TR</v>
      </c>
      <c r="C4447" s="1" t="str">
        <f>"FONTENAY CT FONTENAY COURT CONDO UNIT 1881"</f>
        <v>FONTENAY CT FONTENAY COURT CONDO UNIT 1881</v>
      </c>
      <c r="D4447" s="1">
        <v>6126.96</v>
      </c>
    </row>
    <row r="4448" spans="1:4" x14ac:dyDescent="0.3">
      <c r="A4448" s="1" t="str">
        <f>"01005124100"</f>
        <v>01005124100</v>
      </c>
      <c r="B4448" s="1" t="str">
        <f>"FOUNDATION FIRST PROPERTIES LLC"</f>
        <v>FOUNDATION FIRST PROPERTIES LLC</v>
      </c>
      <c r="C4448" s="1" t="str">
        <f>"BRONX LOT 251 "</f>
        <v xml:space="preserve">BRONX LOT 251 </v>
      </c>
      <c r="D4448" s="1">
        <v>758.51</v>
      </c>
    </row>
    <row r="4449" spans="1:4" x14ac:dyDescent="0.3">
      <c r="A4449" s="1" t="str">
        <f>"01004648100"</f>
        <v>01004648100</v>
      </c>
      <c r="B4449" s="1" t="str">
        <f>"FOUNDATION FIRST PROPERTIES LLC"</f>
        <v>FOUNDATION FIRST PROPERTIES LLC</v>
      </c>
      <c r="C4449" s="1" t="str">
        <f>"1860 OAK ST ALL 39&amp;6 FT ES 40 RHOADES FRANKLIN PK PLACE"</f>
        <v>1860 OAK ST ALL 39&amp;6 FT ES 40 RHOADES FRANKLIN PK PLACE</v>
      </c>
      <c r="D4449" s="1">
        <v>2711.4</v>
      </c>
    </row>
    <row r="4450" spans="1:4" x14ac:dyDescent="0.3">
      <c r="A4450" s="1" t="str">
        <f>"19000062200"</f>
        <v>19000062200</v>
      </c>
      <c r="B4450" s="1" t="str">
        <f>"FOUNDATION FIRST PROPERTIES LLC"</f>
        <v>FOUNDATION FIRST PROPERTIES LLC</v>
      </c>
      <c r="C4450" s="1" t="str">
        <f>"2082 MINNESOTA AVE DENUNE E LINDEN 5TH E 1/2 143"</f>
        <v>2082 MINNESOTA AVE DENUNE E LINDEN 5TH E 1/2 143</v>
      </c>
      <c r="D4450" s="1">
        <v>373.87</v>
      </c>
    </row>
    <row r="4451" spans="1:4" x14ac:dyDescent="0.3">
      <c r="A4451" s="1" t="str">
        <f>"09000429300"</f>
        <v>09000429300</v>
      </c>
      <c r="B4451" s="1" t="str">
        <f>"FOURSEASONS REALTY LLC"</f>
        <v>FOURSEASONS REALTY LLC</v>
      </c>
      <c r="C4451" s="1" t="str">
        <f>"860 YEARLING RD           GLENCOE                   LOT 497                  "</f>
        <v xml:space="preserve">860 YEARLING RD           GLENCOE                   LOT 497                  </v>
      </c>
      <c r="D4451" s="1">
        <v>86.82</v>
      </c>
    </row>
    <row r="4452" spans="1:4" x14ac:dyDescent="0.3">
      <c r="A4452" s="1" t="str">
        <f>"56020087600"</f>
        <v>56020087600</v>
      </c>
      <c r="B4452" s="1" t="str">
        <f>"FOUTS RICK TR, KIME JOHN TR, PANCAKE TODD TR"</f>
        <v>FOUTS RICK TR, KIME JOHN TR, PANCAKE TODD TR</v>
      </c>
      <c r="C4452" s="1" t="str">
        <f>"TRABUE RD. 4.629 ACS "</f>
        <v xml:space="preserve">TRABUE RD. 4.629 ACS </v>
      </c>
      <c r="D4452" s="1">
        <v>4361.42</v>
      </c>
    </row>
    <row r="4453" spans="1:4" x14ac:dyDescent="0.3">
      <c r="A4453" s="1" t="str">
        <f>"01016211600"</f>
        <v>01016211600</v>
      </c>
      <c r="B4453" s="1" t="str">
        <f>"FOWLER HOWARD L, FOWLER NANCY L"</f>
        <v>FOWLER HOWARD L, FOWLER NANCY L</v>
      </c>
      <c r="C4453" s="1" t="str">
        <f>"SCALES DRIVE ALICE RITA LOT 23"</f>
        <v>SCALES DRIVE ALICE RITA LOT 23</v>
      </c>
      <c r="D4453" s="1">
        <v>2540.6</v>
      </c>
    </row>
    <row r="4454" spans="1:4" x14ac:dyDescent="0.3">
      <c r="A4454" s="1" t="str">
        <f>"01013398200"</f>
        <v>01013398200</v>
      </c>
      <c r="B4454" s="1" t="str">
        <f>"FOWLER JOE"</f>
        <v>FOWLER JOE</v>
      </c>
      <c r="C4454" s="1" t="str">
        <f>"TIVERTON SQ W DEVONSHIRE 1 LOT 203"</f>
        <v>TIVERTON SQ W DEVONSHIRE 1 LOT 203</v>
      </c>
      <c r="D4454" s="1">
        <v>2748</v>
      </c>
    </row>
    <row r="4455" spans="1:4" x14ac:dyDescent="0.3">
      <c r="A4455" s="1" t="str">
        <f>"01013851000"</f>
        <v>01013851000</v>
      </c>
      <c r="B4455" s="1" t="str">
        <f>"FOWLER THERESA ANN"</f>
        <v>FOWLER THERESA ANN</v>
      </c>
      <c r="C4455" s="1" t="str">
        <f>"PENFIELD RD HAVILAND 2 LOT 71"</f>
        <v>PENFIELD RD HAVILAND 2 LOT 71</v>
      </c>
      <c r="D4455" s="1">
        <v>2493.23</v>
      </c>
    </row>
    <row r="4456" spans="1:4" x14ac:dyDescent="0.3">
      <c r="A4456" s="1" t="str">
        <f>"24000066300"</f>
        <v>24000066300</v>
      </c>
      <c r="B4456" s="1" t="str">
        <f>"FOWLIS DEBORAH S"</f>
        <v>FOWLIS DEBORAH S</v>
      </c>
      <c r="C4456" s="1" t="str">
        <f>"MAPLE DRIVE LITTLE FARMS 411 "</f>
        <v xml:space="preserve">MAPLE DRIVE LITTLE FARMS 411 </v>
      </c>
      <c r="D4456" s="1">
        <v>142.44</v>
      </c>
    </row>
    <row r="4457" spans="1:4" x14ac:dyDescent="0.3">
      <c r="A4457" s="1" t="str">
        <f>"01011465700"</f>
        <v>01011465700</v>
      </c>
      <c r="B4457" s="1" t="str">
        <f>"FOWLKES DENNIS J, FOWLKES JANICE K"</f>
        <v>FOWLKES DENNIS J, FOWLKES JANICE K</v>
      </c>
      <c r="C4457" s="1" t="str">
        <f>"LAWNDALE AVE ACRES .505 R22 T4 S1"</f>
        <v>LAWNDALE AVE ACRES .505 R22 T4 S1</v>
      </c>
      <c r="D4457" s="1">
        <v>1621.87</v>
      </c>
    </row>
    <row r="4458" spans="1:4" x14ac:dyDescent="0.3">
      <c r="A4458" s="1" t="str">
        <f>"02000065000"</f>
        <v>02000065000</v>
      </c>
      <c r="B4458" s="1" t="str">
        <f>"FOX BENJAMIN, FOX AURA"</f>
        <v>FOX BENJAMIN, FOX AURA</v>
      </c>
      <c r="C4458" s="1" t="str">
        <f>"2419 S HAVENWOOD DR BEXLEY PLAZA LOT 110"</f>
        <v>2419 S HAVENWOOD DR BEXLEY PLAZA LOT 110</v>
      </c>
      <c r="D4458" s="1">
        <v>389.21</v>
      </c>
    </row>
    <row r="4459" spans="1:4" x14ac:dyDescent="0.3">
      <c r="A4459" s="1" t="str">
        <f>"01015070100"</f>
        <v>01015070100</v>
      </c>
      <c r="B4459" s="1" t="str">
        <f>"FOX ERIC"</f>
        <v>FOX ERIC</v>
      </c>
      <c r="C4459" s="1" t="str">
        <f>"HONEYTREE LP W FOREST PARK E SEC 8 LOT 797"</f>
        <v>HONEYTREE LP W FOREST PARK E SEC 8 LOT 797</v>
      </c>
      <c r="D4459" s="1">
        <v>233.69</v>
      </c>
    </row>
    <row r="4460" spans="1:4" x14ac:dyDescent="0.3">
      <c r="A4460" s="1" t="str">
        <f>"01001518600"</f>
        <v>01001518600</v>
      </c>
      <c r="B4460" s="1" t="str">
        <f>"FOX MARK"</f>
        <v>FOX MARK</v>
      </c>
      <c r="C4460" s="1" t="str">
        <f>"299-301 MORRILL AVE E SOUTH SIDE TERRACE LOT 4"</f>
        <v>299-301 MORRILL AVE E SOUTH SIDE TERRACE LOT 4</v>
      </c>
      <c r="D4460" s="1">
        <v>6691.52</v>
      </c>
    </row>
    <row r="4461" spans="1:4" x14ac:dyDescent="0.3">
      <c r="A4461" s="1" t="str">
        <f>"10000355500"</f>
        <v>10000355500</v>
      </c>
      <c r="B4461" s="1" t="str">
        <f>"FOX MARYEDNA"</f>
        <v>FOX MARYEDNA</v>
      </c>
      <c r="C4461" s="1" t="str">
        <f>"180 LARRIMER AVE WORTHINGTON ESTATES LOT 22 BLK G"</f>
        <v>180 LARRIMER AVE WORTHINGTON ESTATES LOT 22 BLK G</v>
      </c>
      <c r="D4461" s="1">
        <v>5068.54</v>
      </c>
    </row>
    <row r="4462" spans="1:4" x14ac:dyDescent="0.3">
      <c r="A4462" s="1" t="str">
        <f>"01026220700"</f>
        <v>01026220700</v>
      </c>
      <c r="B4462" s="1" t="str">
        <f>"FOX REBECCA TESSA"</f>
        <v>FOX REBECCA TESSA</v>
      </c>
      <c r="C4462" s="1" t="str">
        <f>"DRY WASH ROAD EDGEWATER SECTION 4 LOT 234"</f>
        <v>DRY WASH ROAD EDGEWATER SECTION 4 LOT 234</v>
      </c>
      <c r="D4462" s="1">
        <v>5501.75</v>
      </c>
    </row>
    <row r="4463" spans="1:4" x14ac:dyDescent="0.3">
      <c r="A4463" s="1" t="str">
        <f>"02000410400"</f>
        <v>02000410400</v>
      </c>
      <c r="B4463" s="1" t="str">
        <f>"FOX-FULLER JOSHUA, HILL JANET, FOX-FULLER KATELYN"</f>
        <v>FOX-FULLER JOSHUA, HILL JANET, FOX-FULLER KATELYN</v>
      </c>
      <c r="C4463" s="1" t="str">
        <f>"324 N STANWOOD RD LOT 107 BEACON HILL"</f>
        <v>324 N STANWOOD RD LOT 107 BEACON HILL</v>
      </c>
      <c r="D4463" s="1">
        <v>3954.58</v>
      </c>
    </row>
    <row r="4464" spans="1:4" x14ac:dyDescent="0.3">
      <c r="A4464" s="1" t="str">
        <f>"01028338100"</f>
        <v>01028338100</v>
      </c>
      <c r="B4464" s="1" t="str">
        <f>"FPB RE LLC"</f>
        <v>FPB RE LLC</v>
      </c>
      <c r="C4464" s="1" t="str">
        <f>"THE QUINN                 CONDOMINIUM               UNIT 15                  "</f>
        <v xml:space="preserve">THE QUINN                 CONDOMINIUM               UNIT 15                  </v>
      </c>
      <c r="D4464" s="1">
        <v>3206.71</v>
      </c>
    </row>
    <row r="4465" spans="1:4" x14ac:dyDescent="0.3">
      <c r="A4465" s="1" t="str">
        <f>"02501104000"</f>
        <v>02501104000</v>
      </c>
      <c r="B4465" s="1" t="str">
        <f>"FRACASSA MICHAEL"</f>
        <v>FRACASSA MICHAEL</v>
      </c>
      <c r="C4465" s="1" t="str">
        <f>"RATHBURN VILLAGE CONDOMINIUM 1ST AMD UNIT 9-3"</f>
        <v>RATHBURN VILLAGE CONDOMINIUM 1ST AMD UNIT 9-3</v>
      </c>
      <c r="D4465" s="1">
        <v>286.69</v>
      </c>
    </row>
    <row r="4466" spans="1:4" x14ac:dyDescent="0.3">
      <c r="A4466" s="1" t="str">
        <f>"01009850500"</f>
        <v>01009850500</v>
      </c>
      <c r="B4466" s="1" t="str">
        <f>"FRALEY CARLIN, HOUSE HUNTER PREMIER LLC"</f>
        <v>FRALEY CARLIN, HOUSE HUNTER PREMIER LLC</v>
      </c>
      <c r="C4466" s="1" t="str">
        <f>"2107 BANCROFT ST NORLEA PARK LOT 238-239-240"</f>
        <v>2107 BANCROFT ST NORLEA PARK LOT 238-239-240</v>
      </c>
      <c r="D4466" s="1">
        <v>1873.71</v>
      </c>
    </row>
    <row r="4467" spans="1:4" x14ac:dyDescent="0.3">
      <c r="A4467" s="1" t="str">
        <f>"15000176300"</f>
        <v>15000176300</v>
      </c>
      <c r="B4467" s="1" t="str">
        <f>"FRALEY DOUGLAS E"</f>
        <v>FRALEY DOUGLAS E</v>
      </c>
      <c r="C4467" s="1" t="str">
        <f>"1083 MONCRIEF AVE HAMILTON MEADOWS 141 "</f>
        <v xml:space="preserve">1083 MONCRIEF AVE HAMILTON MEADOWS 141 </v>
      </c>
      <c r="D4467" s="1">
        <v>532.79</v>
      </c>
    </row>
    <row r="4468" spans="1:4" x14ac:dyDescent="0.3">
      <c r="A4468" s="1" t="str">
        <f>"53016414000"</f>
        <v>53016414000</v>
      </c>
      <c r="B4468" s="1" t="str">
        <f>"FRALEY RONALD H, FRALEY LORI E"</f>
        <v>FRALEY RONALD H, FRALEY LORI E</v>
      </c>
      <c r="C4468" s="1" t="str">
        <f>"THREE RIVERS DRIVE THREE RIVERS LOT 235"</f>
        <v>THREE RIVERS DRIVE THREE RIVERS LOT 235</v>
      </c>
      <c r="D4468" s="1">
        <v>803.63</v>
      </c>
    </row>
    <row r="4469" spans="1:4" x14ac:dyDescent="0.3">
      <c r="A4469" s="1" t="str">
        <f>"18000362700"</f>
        <v>18000362700</v>
      </c>
      <c r="B4469" s="1" t="str">
        <f>"FRAME HEATHER B TTEE"</f>
        <v>FRAME HEATHER B TTEE</v>
      </c>
      <c r="C4469" s="1" t="str">
        <f>"GLENGATE DR BLACKLICK ESTATES 7 1479"</f>
        <v>GLENGATE DR BLACKLICK ESTATES 7 1479</v>
      </c>
      <c r="D4469" s="1">
        <v>164.77</v>
      </c>
    </row>
    <row r="4470" spans="1:4" x14ac:dyDescent="0.3">
      <c r="A4470" s="1" t="str">
        <f>"01012865900"</f>
        <v>01012865900</v>
      </c>
      <c r="B4470" s="1" t="str">
        <f>"FRANCE MATTHEW, FRANCE SANDRA S"</f>
        <v>FRANCE MATTHEW, FRANCE SANDRA S</v>
      </c>
      <c r="C4470" s="1" t="str">
        <f>"CONANT DR SALEM VILLAGE LOT 47"</f>
        <v>CONANT DR SALEM VILLAGE LOT 47</v>
      </c>
      <c r="D4470" s="1">
        <v>1742.87</v>
      </c>
    </row>
    <row r="4471" spans="1:4" x14ac:dyDescent="0.3">
      <c r="A4471" s="1" t="str">
        <f>"01011658300"</f>
        <v>01011658300</v>
      </c>
      <c r="B4471" s="1" t="str">
        <f>"FRANCE ROBERT J"</f>
        <v>FRANCE ROBERT J</v>
      </c>
      <c r="C4471" s="1" t="str">
        <f>"MARLAND DR MOORES &amp; DALES 3 LOT 1"</f>
        <v>MARLAND DR MOORES &amp; DALES 3 LOT 1</v>
      </c>
      <c r="D4471" s="1">
        <v>2150.17</v>
      </c>
    </row>
    <row r="4472" spans="1:4" x14ac:dyDescent="0.3">
      <c r="A4472" s="1" t="str">
        <f>"01007960200"</f>
        <v>01007960200</v>
      </c>
      <c r="B4472" s="1" t="str">
        <f>"FRANCISCO ERAZO ROMULO"</f>
        <v>FRANCISCO ERAZO ROMULO</v>
      </c>
      <c r="C4472" s="1" t="str">
        <f>"TWENTY FOURTH AVE INNIS ORCHARD 37FT ES LT4 &amp; 3FT WS LT5"</f>
        <v>TWENTY FOURTH AVE INNIS ORCHARD 37FT ES LT4 &amp; 3FT WS LT5</v>
      </c>
      <c r="D4472" s="1">
        <v>87.45</v>
      </c>
    </row>
    <row r="4473" spans="1:4" x14ac:dyDescent="0.3">
      <c r="A4473" s="1" t="str">
        <f>"01018322900"</f>
        <v>01018322900</v>
      </c>
      <c r="B4473" s="1" t="str">
        <f>"FRANCOIS CHRISTOPHER BLAIR, MCCRACKIN NICOLE"</f>
        <v>FRANCOIS CHRISTOPHER BLAIR, MCCRACKIN NICOLE</v>
      </c>
      <c r="C4473" s="1" t="str">
        <f>"SCOTLAND YARD CONDO UNIT 5801 BLDG 34 "</f>
        <v xml:space="preserve">SCOTLAND YARD CONDO UNIT 5801 BLDG 34 </v>
      </c>
      <c r="D4473" s="1">
        <v>1348.46</v>
      </c>
    </row>
    <row r="4474" spans="1:4" x14ac:dyDescent="0.3">
      <c r="A4474" s="1" t="str">
        <f>"04001475600"</f>
        <v>04001475600</v>
      </c>
      <c r="B4474" s="1" t="str">
        <f>"FRANK EUGENE C JR"</f>
        <v>FRANK EUGENE C JR</v>
      </c>
      <c r="C4474" s="1" t="str">
        <f>"HAUGHN GLEN CONDOMINIUM 23RD AMD UNIT 82"</f>
        <v>HAUGHN GLEN CONDOMINIUM 23RD AMD UNIT 82</v>
      </c>
      <c r="D4474" s="1">
        <v>303.91000000000003</v>
      </c>
    </row>
    <row r="4475" spans="1:4" x14ac:dyDescent="0.3">
      <c r="A4475" s="1" t="str">
        <f>"01001872400"</f>
        <v>01001872400</v>
      </c>
      <c r="B4475" s="1" t="str">
        <f>"FRANKL BERNARD"</f>
        <v>FRANKL BERNARD</v>
      </c>
      <c r="C4475" s="1" t="str">
        <f>"1295 KUTCHINS PL WILSON &amp; SHARP ES PT LOT 37 (0.062 ACRE)"</f>
        <v>1295 KUTCHINS PL WILSON &amp; SHARP ES PT LOT 37 (0.062 ACRE)</v>
      </c>
      <c r="D4475" s="1">
        <v>184.48</v>
      </c>
    </row>
    <row r="4476" spans="1:4" x14ac:dyDescent="0.3">
      <c r="A4476" s="1" t="str">
        <f>"51527144600"</f>
        <v>51527144600</v>
      </c>
      <c r="B4476" s="1" t="str">
        <f>"FRANKLIN ANDREA R"</f>
        <v>FRANKLIN ANDREA R</v>
      </c>
      <c r="C4476" s="1" t="str">
        <f>"WAGGONER PARK CONDOMINIUM 13TH AMD BLDG 52 UNIT 8291"</f>
        <v>WAGGONER PARK CONDOMINIUM 13TH AMD BLDG 52 UNIT 8291</v>
      </c>
      <c r="D4476" s="1">
        <v>1870.28</v>
      </c>
    </row>
    <row r="4477" spans="1:4" x14ac:dyDescent="0.3">
      <c r="A4477" s="1" t="str">
        <f>"23000058800"</f>
        <v>23000058800</v>
      </c>
      <c r="B4477" s="1" t="str">
        <f>"FRANKLIN COUNTY COON HUNTERS ASSOC"</f>
        <v>FRANKLIN COUNTY COON HUNTERS ASSOC</v>
      </c>
      <c r="C4477" s="1" t="str">
        <f>"LONDON &amp; LOCKBOURNE LOT 2 ENTRY 978-3809"</f>
        <v>LONDON &amp; LOCKBOURNE LOT 2 ENTRY 978-3809</v>
      </c>
      <c r="D4477" s="1">
        <v>875.17</v>
      </c>
    </row>
    <row r="4478" spans="1:4" x14ac:dyDescent="0.3">
      <c r="A4478" s="1" t="str">
        <f>"01007974600"</f>
        <v>01007974600</v>
      </c>
      <c r="B4478" s="1" t="str">
        <f>"FRANKLIN DEBORAH A"</f>
        <v>FRANKLIN DEBORAH A</v>
      </c>
      <c r="C4478" s="1" t="str">
        <f>"1218 MANCHESTER AVE HARRISON VILLA LOT 40"</f>
        <v>1218 MANCHESTER AVE HARRISON VILLA LOT 40</v>
      </c>
      <c r="D4478" s="1">
        <v>119.05</v>
      </c>
    </row>
    <row r="4479" spans="1:4" x14ac:dyDescent="0.3">
      <c r="A4479" s="1" t="str">
        <f>"01005348500"</f>
        <v>01005348500</v>
      </c>
      <c r="B4479" s="1" t="str">
        <f>"FRANKLIN REI LLC"</f>
        <v>FRANKLIN REI LLC</v>
      </c>
      <c r="C4479" s="1" t="str">
        <f>"389 LOEFFLER AVE STODDARD ASSIGNEE LOT 4-5"</f>
        <v>389 LOEFFLER AVE STODDARD ASSIGNEE LOT 4-5</v>
      </c>
      <c r="D4479" s="1">
        <v>505.41</v>
      </c>
    </row>
    <row r="4480" spans="1:4" x14ac:dyDescent="0.3">
      <c r="A4480" s="1" t="str">
        <f>"16000243900"</f>
        <v>16000243900</v>
      </c>
      <c r="B4480" s="1" t="str">
        <f>"FRANKLIN THOMAS L"</f>
        <v>FRANKLIN THOMAS L</v>
      </c>
      <c r="C4480" s="1" t="str">
        <f>"HIBBS RD ENTRY 1105-6115 5.001 AC"</f>
        <v>HIBBS RD ENTRY 1105-6115 5.001 AC</v>
      </c>
      <c r="D4480" s="1">
        <v>5289.82</v>
      </c>
    </row>
    <row r="4481" spans="1:4" x14ac:dyDescent="0.3">
      <c r="A4481" s="1" t="str">
        <f>"01008286700"</f>
        <v>01008286700</v>
      </c>
      <c r="B4481" s="1" t="str">
        <f>"FRANKLIN TIMOTHY W TR"</f>
        <v>FRANKLIN TIMOTHY W TR</v>
      </c>
      <c r="C4481" s="1" t="str">
        <f>"796 MOHAWK ST JAEGER LOT 105-106"</f>
        <v>796 MOHAWK ST JAEGER LOT 105-106</v>
      </c>
      <c r="D4481" s="1">
        <v>4546.28</v>
      </c>
    </row>
    <row r="4482" spans="1:4" x14ac:dyDescent="0.3">
      <c r="A4482" s="1" t="str">
        <f>"01001998000"</f>
        <v>01001998000</v>
      </c>
      <c r="B4482" s="1" t="str">
        <f>"FRANKLINTON HIGH SCHOOL"</f>
        <v>FRANKLINTON HIGH SCHOOL</v>
      </c>
      <c r="C4482" s="1" t="str">
        <f>"79 S AVONDALE AVE WEST PARK LOT 135"</f>
        <v>79 S AVONDALE AVE WEST PARK LOT 135</v>
      </c>
      <c r="D4482" s="1">
        <v>3254.91</v>
      </c>
    </row>
    <row r="4483" spans="1:4" x14ac:dyDescent="0.3">
      <c r="A4483" s="1" t="str">
        <f>"02000128200"</f>
        <v>02000128200</v>
      </c>
      <c r="B4483" s="1" t="str">
        <f>"FRASER KRISTINA M TTEE, FRASER BRUCE A TTEE"</f>
        <v>FRASER KRISTINA M TTEE, FRASER BRUCE A TTEE</v>
      </c>
      <c r="C4483" s="1" t="str">
        <f>"2324 BEXLEY PARK RD BEXLEY PARK ADD LOT 10 &amp; PT LOT 11"</f>
        <v>2324 BEXLEY PARK RD BEXLEY PARK ADD LOT 10 &amp; PT LOT 11</v>
      </c>
      <c r="D4483" s="1">
        <v>688.33</v>
      </c>
    </row>
    <row r="4484" spans="1:4" x14ac:dyDescent="0.3">
      <c r="A4484" s="1" t="str">
        <f>"01013118000"</f>
        <v>01013118000</v>
      </c>
      <c r="B4484" s="1" t="str">
        <f>"FRASURE LISA D"</f>
        <v>FRASURE LISA D</v>
      </c>
      <c r="C4484" s="1" t="str">
        <f>"CHAFFIN RIDGE THE KNOLLS SEC2 LOT 98"</f>
        <v>CHAFFIN RIDGE THE KNOLLS SEC2 LOT 98</v>
      </c>
      <c r="D4484" s="1">
        <v>346.69</v>
      </c>
    </row>
    <row r="4485" spans="1:4" x14ac:dyDescent="0.3">
      <c r="A4485" s="1" t="str">
        <f>"01006110700"</f>
        <v>01006110700</v>
      </c>
      <c r="B4485" s="1" t="str">
        <f>"FRATERNAL BROTHERS OF THE A O A OF COLUMBUS INC"</f>
        <v>FRATERNAL BROTHERS OF THE A O A OF COLUMBUS INC</v>
      </c>
      <c r="C4485" s="1" t="str">
        <f>"2325 LINDEN AVE NEW LINDEN ALL LOT 61 &amp; 3FT NS LT 62"</f>
        <v>2325 LINDEN AVE NEW LINDEN ALL LOT 61 &amp; 3FT NS LT 62</v>
      </c>
      <c r="D4485" s="1">
        <v>1285.92</v>
      </c>
    </row>
    <row r="4486" spans="1:4" x14ac:dyDescent="0.3">
      <c r="A4486" s="1" t="str">
        <f>"01005477000"</f>
        <v>01005477000</v>
      </c>
      <c r="B4486" s="1" t="str">
        <f>"FRATERNAL BROTHERS OF THE A.O.A. OF COLUMBUS INC"</f>
        <v>FRATERNAL BROTHERS OF THE A.O.A. OF COLUMBUS INC</v>
      </c>
      <c r="C4486" s="1" t="str">
        <f>"2319 LINDEN AVE EX 3 FT N S NEW LINDEN LOT 62"</f>
        <v>2319 LINDEN AVE EX 3 FT N S NEW LINDEN LOT 62</v>
      </c>
      <c r="D4486" s="1">
        <v>1082.47</v>
      </c>
    </row>
    <row r="4487" spans="1:4" x14ac:dyDescent="0.3">
      <c r="A4487" s="1" t="str">
        <f>"01000866100"</f>
        <v>01000866100</v>
      </c>
      <c r="B4487" s="1" t="str">
        <f>"FRAZE DEVIN"</f>
        <v>FRAZE DEVIN</v>
      </c>
      <c r="C4487" s="1" t="str">
        <f>"66 DAKOTA AVENUE WEST PARK LOT 228"</f>
        <v>66 DAKOTA AVENUE WEST PARK LOT 228</v>
      </c>
      <c r="D4487" s="1">
        <v>1832.26</v>
      </c>
    </row>
    <row r="4488" spans="1:4" x14ac:dyDescent="0.3">
      <c r="A4488" s="1" t="str">
        <f>"02500068800"</f>
        <v>02500068800</v>
      </c>
      <c r="B4488" s="1" t="str">
        <f>"FRAZEE GARY L, FRAZEE MARY A"</f>
        <v>FRAZEE GARY L, FRAZEE MARY A</v>
      </c>
      <c r="C4488" s="1" t="str">
        <f>"185 LAURA DR HEIL SUB DIV 2 20 "</f>
        <v xml:space="preserve">185 LAURA DR HEIL SUB DIV 2 20 </v>
      </c>
      <c r="D4488" s="1">
        <v>324.04000000000002</v>
      </c>
    </row>
    <row r="4489" spans="1:4" x14ac:dyDescent="0.3">
      <c r="A4489" s="1" t="str">
        <f>"02500003200"</f>
        <v>02500003200</v>
      </c>
      <c r="B4489" s="1" t="str">
        <f>"FRAZEE GARY L, FRAZEE MARYANNE"</f>
        <v>FRAZEE GARY L, FRAZEE MARYANNE</v>
      </c>
      <c r="C4489" s="1" t="str">
        <f>"93 GRANVILLE ST           GAHANNA                   177'X 22'WS LOT 79       "</f>
        <v xml:space="preserve">93 GRANVILLE ST           GAHANNA                   177'X 22'WS LOT 79       </v>
      </c>
      <c r="D4489" s="1">
        <v>229.08</v>
      </c>
    </row>
    <row r="4490" spans="1:4" x14ac:dyDescent="0.3">
      <c r="A4490" s="1" t="str">
        <f>"07000847700"</f>
        <v>07000847700</v>
      </c>
      <c r="B4490" s="1" t="str">
        <f>"FRAZEE NICHOLAS, HART REBECCA"</f>
        <v>FRAZEE NICHOLAS, HART REBECCA</v>
      </c>
      <c r="C4490" s="1" t="str">
        <f>"2655 VASSAR PL WINDSOR PL EXT 1 65"</f>
        <v>2655 VASSAR PL WINDSOR PL EXT 1 65</v>
      </c>
      <c r="D4490" s="1">
        <v>443.19</v>
      </c>
    </row>
    <row r="4491" spans="1:4" x14ac:dyDescent="0.3">
      <c r="A4491" s="1" t="str">
        <f>"59019642300"</f>
        <v>59019642300</v>
      </c>
      <c r="B4491" s="1" t="str">
        <f>"FRAZER BRYAN H TR, FRAZER BRANDI L TR"</f>
        <v>FRAZER BRYAN H TR, FRAZER BRANDI L TR</v>
      </c>
      <c r="C4491" s="1" t="str">
        <f>"OLDE SAWMILL ON THE LAKE CONDO BLDG 8 UNIT 7514"</f>
        <v>OLDE SAWMILL ON THE LAKE CONDO BLDG 8 UNIT 7514</v>
      </c>
      <c r="D4491" s="1">
        <v>1793.5</v>
      </c>
    </row>
    <row r="4492" spans="1:4" x14ac:dyDescent="0.3">
      <c r="A4492" s="1" t="str">
        <f>"01011689400"</f>
        <v>01011689400</v>
      </c>
      <c r="B4492" s="1" t="str">
        <f>"FRAZIER CARL J"</f>
        <v>FRAZIER CARL J</v>
      </c>
      <c r="C4492" s="1" t="str">
        <f>"EFNER DR LEA-WOOD GDNS 3 LOT 210"</f>
        <v>EFNER DR LEA-WOOD GDNS 3 LOT 210</v>
      </c>
      <c r="D4492" s="1">
        <v>3585.14</v>
      </c>
    </row>
    <row r="4493" spans="1:4" x14ac:dyDescent="0.3">
      <c r="A4493" s="1" t="str">
        <f>"01003476700"</f>
        <v>01003476700</v>
      </c>
      <c r="B4493" s="1" t="str">
        <f>"FRAZIER CATHY C"</f>
        <v>FRAZIER CATHY C</v>
      </c>
      <c r="C4493" s="1" t="str">
        <f>"179 WHEATLAND AVE ONGS LOT 78"</f>
        <v>179 WHEATLAND AVE ONGS LOT 78</v>
      </c>
      <c r="D4493" s="1">
        <v>235.17</v>
      </c>
    </row>
    <row r="4494" spans="1:4" x14ac:dyDescent="0.3">
      <c r="A4494" s="1" t="str">
        <f>"59018363700"</f>
        <v>59018363700</v>
      </c>
      <c r="B4494" s="1" t="str">
        <f>"FREDECKER BETHANY"</f>
        <v>FREDECKER BETHANY</v>
      </c>
      <c r="C4494" s="1" t="str">
        <f>"2236 GNARLED PINE DR WORTHINGTON MILL 1 LOT 14"</f>
        <v>2236 GNARLED PINE DR WORTHINGTON MILL 1 LOT 14</v>
      </c>
      <c r="D4494" s="1">
        <v>3844.67</v>
      </c>
    </row>
    <row r="4495" spans="1:4" x14ac:dyDescent="0.3">
      <c r="A4495" s="1" t="str">
        <f>"01013477300"</f>
        <v>01013477300</v>
      </c>
      <c r="B4495" s="1" t="str">
        <f>"FREDERICK JOSEPH P"</f>
        <v>FREDERICK JOSEPH P</v>
      </c>
      <c r="C4495" s="1" t="str">
        <f>"1499 NOE-BIXBY RD YORKSHIRE 3 LOT 204&amp;.717 ACRE"</f>
        <v>1499 NOE-BIXBY RD YORKSHIRE 3 LOT 204&amp;.717 ACRE</v>
      </c>
      <c r="D4495" s="1">
        <v>4509.6499999999996</v>
      </c>
    </row>
    <row r="4496" spans="1:4" x14ac:dyDescent="0.3">
      <c r="A4496" s="1" t="str">
        <f>"05000629100"</f>
        <v>05000629100</v>
      </c>
      <c r="B4496" s="1" t="str">
        <f>"FREDERICK KATHLEEN M, FREDERICK KEEGAN D"</f>
        <v>FREDERICK KATHLEEN M, FREDERICK KEEGAN D</v>
      </c>
      <c r="C4496" s="1" t="str">
        <f>"MORNING CIRCLE REPLAT MORNINGSIDE ADDITION LOT 1"</f>
        <v>MORNING CIRCLE REPLAT MORNINGSIDE ADDITION LOT 1</v>
      </c>
      <c r="D4496" s="1">
        <v>4322.95</v>
      </c>
    </row>
    <row r="4497" spans="1:4" x14ac:dyDescent="0.3">
      <c r="A4497" s="1" t="str">
        <f>"57017093100"</f>
        <v>57017093100</v>
      </c>
      <c r="B4497" s="1" t="str">
        <f>"FREDERICK MARY A LE, BAYS ELIZABETH I RMDR, OLSON BARBARA J RMDR"</f>
        <v>FREDERICK MARY A LE, BAYS ELIZABETH I RMDR, OLSON BARBARA J RMDR</v>
      </c>
      <c r="C4497" s="1" t="str">
        <f>"HARDESTY HTS COND JH UNIT JH-8 "</f>
        <v xml:space="preserve">HARDESTY HTS COND JH UNIT JH-8 </v>
      </c>
      <c r="D4497" s="1">
        <v>870.94</v>
      </c>
    </row>
    <row r="4498" spans="1:4" x14ac:dyDescent="0.3">
      <c r="A4498" s="1" t="str">
        <f>"01002248800"</f>
        <v>01002248800</v>
      </c>
      <c r="B4498" s="1" t="str">
        <f>"FREELAND PATRICIA A"</f>
        <v>FREELAND PATRICIA A</v>
      </c>
      <c r="C4498" s="1" t="str">
        <f>"384 S HARRIS AVE WICKLOW EXT 568-9"</f>
        <v>384 S HARRIS AVE WICKLOW EXT 568-9</v>
      </c>
      <c r="D4498" s="1">
        <v>1772.58</v>
      </c>
    </row>
    <row r="4499" spans="1:4" x14ac:dyDescent="0.3">
      <c r="A4499" s="1" t="str">
        <f>"01009442800"</f>
        <v>01009442800</v>
      </c>
      <c r="B4499" s="1" t="str">
        <f>"FREEMAN DAVID R"</f>
        <v>FREEMAN DAVID R</v>
      </c>
      <c r="C4499" s="1" t="str">
        <f>"NORLEA PK PT LOT 104 &amp; 105 "</f>
        <v xml:space="preserve">NORLEA PK PT LOT 104 &amp; 105 </v>
      </c>
      <c r="D4499" s="1">
        <v>610.20000000000005</v>
      </c>
    </row>
    <row r="4500" spans="1:4" x14ac:dyDescent="0.3">
      <c r="A4500" s="1" t="str">
        <f>"15000199600"</f>
        <v>15000199600</v>
      </c>
      <c r="B4500" s="1" t="str">
        <f>"FREEMAN JEFFREY A"</f>
        <v>FREEMAN JEFFREY A</v>
      </c>
      <c r="C4500" s="1" t="str">
        <f>"891 ALBURN DR HAMILTON MEADOWS 3 LOT 374"</f>
        <v>891 ALBURN DR HAMILTON MEADOWS 3 LOT 374</v>
      </c>
      <c r="D4500" s="1">
        <v>3313.05</v>
      </c>
    </row>
    <row r="4501" spans="1:4" x14ac:dyDescent="0.3">
      <c r="A4501" s="1" t="str">
        <f>"01011420600"</f>
        <v>01011420600</v>
      </c>
      <c r="B4501" s="1" t="str">
        <f>"FREEMAN JOSEPH JR TTEE, FREEMAN PRISCILLA J TTEE"</f>
        <v>FREEMAN JOSEPH JR TTEE, FREEMAN PRISCILLA J TTEE</v>
      </c>
      <c r="C4501" s="1" t="str">
        <f>"KOEBEL AVE ACRES .459 R22 T4 S1"</f>
        <v>KOEBEL AVE ACRES .459 R22 T4 S1</v>
      </c>
      <c r="D4501" s="1">
        <v>5701.94</v>
      </c>
    </row>
    <row r="4502" spans="1:4" x14ac:dyDescent="0.3">
      <c r="A4502" s="1" t="str">
        <f>"01017733800"</f>
        <v>01017733800</v>
      </c>
      <c r="B4502" s="1" t="str">
        <f>"FREEMAN MICHAEL JOSEPH JR, SABIN CHU LIN, FARRAR JOHN M"</f>
        <v>FREEMAN MICHAEL JOSEPH JR, SABIN CHU LIN, FARRAR JOHN M</v>
      </c>
      <c r="C4502" s="1" t="str">
        <f>"HENDEREED VIL CONDO UNIT BLDG 1864 18 "</f>
        <v xml:space="preserve">HENDEREED VIL CONDO UNIT BLDG 1864 18 </v>
      </c>
      <c r="D4502" s="1">
        <v>3004.87</v>
      </c>
    </row>
    <row r="4503" spans="1:4" x14ac:dyDescent="0.3">
      <c r="A4503" s="1" t="str">
        <f>"14000377100"</f>
        <v>14000377100</v>
      </c>
      <c r="B4503" s="1" t="str">
        <f>"FREEMAN STEPHEN G"</f>
        <v>FREEMAN STEPHEN G</v>
      </c>
      <c r="C4503" s="1" t="str">
        <f>"3257 FISHER RD ENTRY 1279 2.8787 ACRES"</f>
        <v>3257 FISHER RD ENTRY 1279 2.8787 ACRES</v>
      </c>
      <c r="D4503" s="1">
        <v>2935.79</v>
      </c>
    </row>
    <row r="4504" spans="1:4" x14ac:dyDescent="0.3">
      <c r="A4504" s="1" t="str">
        <f>"17000149100"</f>
        <v>17000149100</v>
      </c>
      <c r="B4504" s="1" t="str">
        <f>"FREIHEIT ALAN T, FREIHEIT BRENDA C"</f>
        <v>FREIHEIT ALAN T, FREIHEIT BRENDA C</v>
      </c>
      <c r="C4504" s="1" t="str">
        <f>"MANN RD 1.079 ACRES R16 T1 1/4T2 LOT 15 "</f>
        <v xml:space="preserve">MANN RD 1.079 ACRES R16 T1 1/4T2 LOT 15 </v>
      </c>
      <c r="D4504" s="1">
        <v>465.47</v>
      </c>
    </row>
    <row r="4505" spans="1:4" x14ac:dyDescent="0.3">
      <c r="A4505" s="1" t="str">
        <f>"15000212200"</f>
        <v>15000212200</v>
      </c>
      <c r="B4505" s="1" t="str">
        <f>"FRENCH CATHY ANN"</f>
        <v>FRENCH CATHY ANN</v>
      </c>
      <c r="C4505" s="1" t="str">
        <f>"5336 GUTHRIE RD HAMILTON MEADOWS 4 LOT 500"</f>
        <v>5336 GUTHRIE RD HAMILTON MEADOWS 4 LOT 500</v>
      </c>
      <c r="D4505" s="1">
        <v>152.97999999999999</v>
      </c>
    </row>
    <row r="4506" spans="1:4" x14ac:dyDescent="0.3">
      <c r="A4506" s="1" t="str">
        <f>"01013551200"</f>
        <v>01013551200</v>
      </c>
      <c r="B4506" s="1" t="str">
        <f>"FRENCH MICHAEL D, FRENCH MARY G"</f>
        <v>FRENCH MICHAEL D, FRENCH MARY G</v>
      </c>
      <c r="C4506" s="1" t="str">
        <f>"SHATTUCK AVE GREENFIELD EST LOT 132"</f>
        <v>SHATTUCK AVE GREENFIELD EST LOT 132</v>
      </c>
      <c r="D4506" s="1">
        <v>284.18</v>
      </c>
    </row>
    <row r="4507" spans="1:4" x14ac:dyDescent="0.3">
      <c r="A4507" s="1" t="str">
        <f>"53013973000"</f>
        <v>53013973000</v>
      </c>
      <c r="B4507" s="1" t="str">
        <f>"FRENCH TODD S, FRENCH TINA S"</f>
        <v>FRENCH TODD S, FRENCH TINA S</v>
      </c>
      <c r="C4507" s="1" t="str">
        <f>"CRYODON BLVD N AMBERLY LOT 26"</f>
        <v>CRYODON BLVD N AMBERLY LOT 26</v>
      </c>
      <c r="D4507" s="1">
        <v>2906.38</v>
      </c>
    </row>
    <row r="4508" spans="1:4" x14ac:dyDescent="0.3">
      <c r="A4508" s="1" t="str">
        <f>"01020958400"</f>
        <v>01020958400</v>
      </c>
      <c r="B4508" s="1" t="str">
        <f>"FRENCH YEN"</f>
        <v>FRENCH YEN</v>
      </c>
      <c r="C4508" s="1" t="str">
        <f>"MASON RUN COURT MASON VILLAGE CONDO UNIT 2472"</f>
        <v>MASON RUN COURT MASON VILLAGE CONDO UNIT 2472</v>
      </c>
      <c r="D4508" s="1">
        <v>1632.66</v>
      </c>
    </row>
    <row r="4509" spans="1:4" x14ac:dyDescent="0.3">
      <c r="A4509" s="1" t="str">
        <f>"01004241900"</f>
        <v>01004241900</v>
      </c>
      <c r="B4509" s="1" t="str">
        <f>"FRESHFIELD HOLDINGS LLC"</f>
        <v>FRESHFIELD HOLDINGS LLC</v>
      </c>
      <c r="C4509" s="1" t="str">
        <f>"578 STEWART AVE DAVIES LOT 59"</f>
        <v>578 STEWART AVE DAVIES LOT 59</v>
      </c>
      <c r="D4509" s="1">
        <v>1463.66</v>
      </c>
    </row>
    <row r="4510" spans="1:4" x14ac:dyDescent="0.3">
      <c r="A4510" s="1" t="str">
        <f>"15300029600"</f>
        <v>15300029600</v>
      </c>
      <c r="B4510" s="1" t="str">
        <f>"FREY CARTER PHILLIP"</f>
        <v>FREY CARTER PHILLIP</v>
      </c>
      <c r="C4510" s="1" t="str">
        <f>"ELKS ACRES SEC 2 LOTS 26-27 "</f>
        <v xml:space="preserve">ELKS ACRES SEC 2 LOTS 26-27 </v>
      </c>
      <c r="D4510" s="1">
        <v>620.54999999999995</v>
      </c>
    </row>
    <row r="4511" spans="1:4" x14ac:dyDescent="0.3">
      <c r="A4511" s="1" t="str">
        <f>"01004071900"</f>
        <v>01004071900</v>
      </c>
      <c r="B4511" s="1" t="str">
        <f>"FREY MICHAEL J TR"</f>
        <v>FREY MICHAEL J TR</v>
      </c>
      <c r="C4511" s="1" t="str">
        <f>"313 SYCAMORE ST B F MARTIN 105'EL NE LOT 8"</f>
        <v>313 SYCAMORE ST B F MARTIN 105'EL NE LOT 8</v>
      </c>
      <c r="D4511" s="1">
        <v>11003.83</v>
      </c>
    </row>
    <row r="4512" spans="1:4" x14ac:dyDescent="0.3">
      <c r="A4512" s="1" t="str">
        <f>"59020236600"</f>
        <v>59020236600</v>
      </c>
      <c r="B4512" s="1" t="str">
        <f>"FREY ROSE M"</f>
        <v>FREY ROSE M</v>
      </c>
      <c r="C4512" s="1" t="str">
        <f>"KILBANNON WAY KILBANNON SECTION 1 LOT 71"</f>
        <v>KILBANNON WAY KILBANNON SECTION 1 LOT 71</v>
      </c>
      <c r="D4512" s="1">
        <v>336.63</v>
      </c>
    </row>
    <row r="4513" spans="1:4" x14ac:dyDescent="0.3">
      <c r="A4513" s="1" t="str">
        <f>"57022257600"</f>
        <v>57022257600</v>
      </c>
      <c r="B4513" s="1" t="str">
        <f>"FREZOULIS JIM K, FREZOULIS ANGIE D"</f>
        <v>FREZOULIS JIM K, FREZOULIS ANGIE D</v>
      </c>
      <c r="C4513" s="1" t="str">
        <f>"0000 LANCIA LANE WESTCHESTER SEC3 PT2 LOT 59"</f>
        <v>0000 LANCIA LANE WESTCHESTER SEC3 PT2 LOT 59</v>
      </c>
      <c r="D4513" s="1">
        <v>1358.01</v>
      </c>
    </row>
    <row r="4514" spans="1:4" x14ac:dyDescent="0.3">
      <c r="A4514" s="1" t="str">
        <f>"01000922500"</f>
        <v>01000922500</v>
      </c>
      <c r="B4514" s="1" t="str">
        <f>"FRICKE DAVID"</f>
        <v>FRICKE DAVID</v>
      </c>
      <c r="C4514" s="1" t="str">
        <f>"2214 SUMMIT STREET INDIANOLA SUMMIT PT LOTS 4-5 BLK 21"</f>
        <v>2214 SUMMIT STREET INDIANOLA SUMMIT PT LOTS 4-5 BLK 21</v>
      </c>
      <c r="D4514" s="1">
        <v>5313.99</v>
      </c>
    </row>
    <row r="4515" spans="1:4" x14ac:dyDescent="0.3">
      <c r="A4515" s="1" t="str">
        <f>"02500717200"</f>
        <v>02500717200</v>
      </c>
      <c r="B4515" s="1" t="str">
        <f>"FRIEDMAN BRIAN L, FRIEDMAN PAMELA L"</f>
        <v>FRIEDMAN BRIAN L, FRIEDMAN PAMELA L</v>
      </c>
      <c r="C4515" s="1" t="str">
        <f>"798 LINDENHAVEN ROAD WOODSIDE GREEN SEC 4-C LOT 54"</f>
        <v>798 LINDENHAVEN ROAD WOODSIDE GREEN SEC 4-C LOT 54</v>
      </c>
      <c r="D4515" s="1">
        <v>7541.99</v>
      </c>
    </row>
    <row r="4516" spans="1:4" x14ac:dyDescent="0.3">
      <c r="A4516" s="1" t="str">
        <f>"56025246900"</f>
        <v>56025246900</v>
      </c>
      <c r="B4516" s="1" t="str">
        <f>"FRIEL CAROL L"</f>
        <v>FRIEL CAROL L</v>
      </c>
      <c r="C4516" s="1" t="str">
        <f>"3197 TERRA DR LIMESTONE PT SEC 2 PT 1 49.1'NS L124&amp;0.9'SS L123"</f>
        <v>3197 TERRA DR LIMESTONE PT SEC 2 PT 1 49.1'NS L124&amp;0.9'SS L123</v>
      </c>
      <c r="D4516" s="1">
        <v>3300</v>
      </c>
    </row>
    <row r="4517" spans="1:4" x14ac:dyDescent="0.3">
      <c r="A4517" s="1" t="str">
        <f>"01012185600"</f>
        <v>01012185600</v>
      </c>
      <c r="B4517" s="1" t="str">
        <f>"FRIEND JEFF"</f>
        <v>FRIEND JEFF</v>
      </c>
      <c r="C4517" s="1" t="str">
        <f>"1018 MIDLAND AVE RAINBOW LOTS 145 &amp; 146"</f>
        <v>1018 MIDLAND AVE RAINBOW LOTS 145 &amp; 146</v>
      </c>
      <c r="D4517" s="1">
        <v>878.03</v>
      </c>
    </row>
    <row r="4518" spans="1:4" x14ac:dyDescent="0.3">
      <c r="A4518" s="1" t="str">
        <f>"07000677700"</f>
        <v>07000677700</v>
      </c>
      <c r="B4518" s="1" t="str">
        <f>"FRISBEE ALAN G"</f>
        <v>FRISBEE ALAN G</v>
      </c>
      <c r="C4518" s="1" t="str">
        <f>"SHREWSBURY RD RIVER RIDGE 12 BLK 28"</f>
        <v>SHREWSBURY RD RIVER RIDGE 12 BLK 28</v>
      </c>
      <c r="D4518" s="1">
        <v>62.42</v>
      </c>
    </row>
    <row r="4519" spans="1:4" x14ac:dyDescent="0.3">
      <c r="A4519" s="1" t="str">
        <f>"05000065200"</f>
        <v>05000065200</v>
      </c>
      <c r="B4519" s="1" t="str">
        <f>"FRISCHEN DONALD L, FRISCHEN MAUREEN"</f>
        <v>FRISCHEN DONALD L, FRISCHEN MAUREEN</v>
      </c>
      <c r="C4519" s="1" t="str">
        <f>"4385 SHERWOOD DR AVERY RD LOT 30"</f>
        <v>4385 SHERWOOD DR AVERY RD LOT 30</v>
      </c>
      <c r="D4519" s="1">
        <v>2952.84</v>
      </c>
    </row>
    <row r="4520" spans="1:4" x14ac:dyDescent="0.3">
      <c r="A4520" s="1" t="str">
        <f>"61019276500"</f>
        <v>61019276500</v>
      </c>
      <c r="B4520" s="1" t="str">
        <f>"FRISSORA JOHN N"</f>
        <v>FRISSORA JOHN N</v>
      </c>
      <c r="C4520" s="1" t="str">
        <f>"CHOCTAW PLACE WESTWORTH VILLAGE SEC 3 PT 1 LOT 172"</f>
        <v>CHOCTAW PLACE WESTWORTH VILLAGE SEC 3 PT 1 LOT 172</v>
      </c>
      <c r="D4520" s="1">
        <v>271.7</v>
      </c>
    </row>
    <row r="4521" spans="1:4" x14ac:dyDescent="0.3">
      <c r="A4521" s="1" t="str">
        <f>"01015940200"</f>
        <v>01015940200</v>
      </c>
      <c r="B4521" s="1" t="str">
        <f>"FRISSORA MICHAEL A"</f>
        <v>FRISSORA MICHAEL A</v>
      </c>
      <c r="C4521" s="1" t="str">
        <f>"SHARON WOODS SEC 8 WALBRIDGE ST LOT 766"</f>
        <v>SHARON WOODS SEC 8 WALBRIDGE ST LOT 766</v>
      </c>
      <c r="D4521" s="1">
        <v>243.69</v>
      </c>
    </row>
    <row r="4522" spans="1:4" x14ac:dyDescent="0.3">
      <c r="A4522" s="1" t="str">
        <f>"01013134700"</f>
        <v>01013134700</v>
      </c>
      <c r="B4522" s="1" t="str">
        <f>"FRITZ JAMES W K"</f>
        <v>FRITZ JAMES W K</v>
      </c>
      <c r="C4522" s="1" t="str">
        <f>"KENDALE RD KENDALE SEC 2 LOT 142"</f>
        <v>KENDALE RD KENDALE SEC 2 LOT 142</v>
      </c>
      <c r="D4522" s="1">
        <v>5989.49</v>
      </c>
    </row>
    <row r="4523" spans="1:4" x14ac:dyDescent="0.3">
      <c r="A4523" s="1" t="str">
        <f>"01001205700"</f>
        <v>01001205700</v>
      </c>
      <c r="B4523" s="1" t="str">
        <f>"FRIZZELL BRENDA"</f>
        <v>FRIZZELL BRENDA</v>
      </c>
      <c r="C4523" s="1" t="str">
        <f>"278 MARTIN AVE MARTINS WESTERN LOT 155"</f>
        <v>278 MARTIN AVE MARTINS WESTERN LOT 155</v>
      </c>
      <c r="D4523" s="1">
        <v>539.37</v>
      </c>
    </row>
    <row r="4524" spans="1:4" x14ac:dyDescent="0.3">
      <c r="A4524" s="1" t="str">
        <f>"01002069500"</f>
        <v>01002069500</v>
      </c>
      <c r="B4524" s="1" t="str">
        <f>"FRIZZELL CANDY L"</f>
        <v>FRIZZELL CANDY L</v>
      </c>
      <c r="C4524" s="1" t="str">
        <f>"EUREKA AVE HILL CREST PARK LOT 14"</f>
        <v>EUREKA AVE HILL CREST PARK LOT 14</v>
      </c>
      <c r="D4524" s="1">
        <v>315.97000000000003</v>
      </c>
    </row>
    <row r="4525" spans="1:4" x14ac:dyDescent="0.3">
      <c r="A4525" s="1" t="str">
        <f>"01018884700"</f>
        <v>01018884700</v>
      </c>
      <c r="B4525" s="1" t="str">
        <f>"FROELICH COREY ANTHONY"</f>
        <v>FROELICH COREY ANTHONY</v>
      </c>
      <c r="C4525" s="1" t="str">
        <f>"994 E SPRING ST KNAPP DEWITT &amp; HOFFMAN PT LOT 69 &amp; PT VAC ST"</f>
        <v>994 E SPRING ST KNAPP DEWITT &amp; HOFFMAN PT LOT 69 &amp; PT VAC ST</v>
      </c>
      <c r="D4525" s="1">
        <v>202.77</v>
      </c>
    </row>
    <row r="4526" spans="1:4" x14ac:dyDescent="0.3">
      <c r="A4526" s="1" t="str">
        <f>"01008098400"</f>
        <v>01008098400</v>
      </c>
      <c r="B4526" s="1" t="str">
        <f>"FROST MICHAEL A, FROST TINA"</f>
        <v>FROST MICHAEL A, FROST TINA</v>
      </c>
      <c r="C4526" s="1" t="str">
        <f>"DRIVING PARK LOT 485  "</f>
        <v xml:space="preserve">DRIVING PARK LOT 485  </v>
      </c>
      <c r="D4526" s="1">
        <v>1223.9000000000001</v>
      </c>
    </row>
    <row r="4527" spans="1:4" x14ac:dyDescent="0.3">
      <c r="A4527" s="1" t="str">
        <f>"01010433300"</f>
        <v>01010433300</v>
      </c>
      <c r="B4527" s="1" t="str">
        <f>"FROST RICHARD L"</f>
        <v>FROST RICHARD L</v>
      </c>
      <c r="C4527" s="1" t="str">
        <f>"MARION RD 1.444 ACRE R22 T5 S27 1/2 S40"</f>
        <v>MARION RD 1.444 ACRE R22 T5 S27 1/2 S40</v>
      </c>
      <c r="D4527" s="1">
        <v>658.07</v>
      </c>
    </row>
    <row r="4528" spans="1:4" x14ac:dyDescent="0.3">
      <c r="A4528" s="1" t="str">
        <f>"01009758700"</f>
        <v>01009758700</v>
      </c>
      <c r="B4528" s="1" t="str">
        <f>"FROST WESLEY A, FROST LORI E"</f>
        <v>FROST WESLEY A, FROST LORI E</v>
      </c>
      <c r="C4528" s="1" t="str">
        <f>"E SCHREYER PL INDIAN SPRINGS VILL LOT 9 BLK K"</f>
        <v>E SCHREYER PL INDIAN SPRINGS VILL LOT 9 BLK K</v>
      </c>
      <c r="D4528" s="1">
        <v>4879.5600000000004</v>
      </c>
    </row>
    <row r="4529" spans="1:4" x14ac:dyDescent="0.3">
      <c r="A4529" s="1" t="str">
        <f>"01026972200"</f>
        <v>01026972200</v>
      </c>
      <c r="B4529" s="1" t="str">
        <f>"FRY KATHY L"</f>
        <v>FRY KATHY L</v>
      </c>
      <c r="C4529" s="1" t="str">
        <f>"4020 SUMMERSTONE DRIVE THE WILLOWS AT PRESERVE CROSSING  LOT 245"</f>
        <v>4020 SUMMERSTONE DRIVE THE WILLOWS AT PRESERVE CROSSING  LOT 245</v>
      </c>
      <c r="D4529" s="1">
        <v>5209.8599999999997</v>
      </c>
    </row>
    <row r="4530" spans="1:4" x14ac:dyDescent="0.3">
      <c r="A4530" s="1" t="str">
        <f>"01026220100"</f>
        <v>01026220100</v>
      </c>
      <c r="B4530" s="1" t="str">
        <f>"FRY NATALIE J, FRY VINCENT T"</f>
        <v>FRY NATALIE J, FRY VINCENT T</v>
      </c>
      <c r="C4530" s="1" t="str">
        <f>"DRY WASH ROAD EDGEWATER SECTION 4 LOT 228"</f>
        <v>DRY WASH ROAD EDGEWATER SECTION 4 LOT 228</v>
      </c>
      <c r="D4530" s="1">
        <v>256.61</v>
      </c>
    </row>
    <row r="4531" spans="1:4" x14ac:dyDescent="0.3">
      <c r="A4531" s="1" t="str">
        <f>"01006837800"</f>
        <v>01006837800</v>
      </c>
      <c r="B4531" s="1" t="str">
        <f>"FRYE MARGARET E"</f>
        <v>FRYE MARGARET E</v>
      </c>
      <c r="C4531" s="1" t="str">
        <f>"630 S HARRIS AVE WILSHIRE HEIGHTS LOT 3 BLK 2"</f>
        <v>630 S HARRIS AVE WILSHIRE HEIGHTS LOT 3 BLK 2</v>
      </c>
      <c r="D4531" s="1">
        <v>47.2</v>
      </c>
    </row>
    <row r="4532" spans="1:4" x14ac:dyDescent="0.3">
      <c r="A4532" s="1" t="str">
        <f>"01004825000"</f>
        <v>01004825000</v>
      </c>
      <c r="B4532" s="1" t="str">
        <f>"FTON LLC"</f>
        <v>FTON LLC</v>
      </c>
      <c r="C4532" s="1" t="str">
        <f>"THOMAS AVE OSBORN PLC LOT 358"</f>
        <v>THOMAS AVE OSBORN PLC LOT 358</v>
      </c>
      <c r="D4532" s="1">
        <v>579.79</v>
      </c>
    </row>
    <row r="4533" spans="1:4" x14ac:dyDescent="0.3">
      <c r="A4533" s="1" t="str">
        <f>"01002634900"</f>
        <v>01002634900</v>
      </c>
      <c r="B4533" s="1" t="str">
        <f>"FTON LLC"</f>
        <v>FTON LLC</v>
      </c>
      <c r="C4533" s="1" t="str">
        <f>"GUILFORD AVE SINKS &amp; HOOVER SULLIVANT HILL LOTS 14 &amp; 15"</f>
        <v>GUILFORD AVE SINKS &amp; HOOVER SULLIVANT HILL LOTS 14 &amp; 15</v>
      </c>
      <c r="D4533" s="1">
        <v>2665.37</v>
      </c>
    </row>
    <row r="4534" spans="1:4" x14ac:dyDescent="0.3">
      <c r="A4534" s="1" t="str">
        <f>"01005492600"</f>
        <v>01005492600</v>
      </c>
      <c r="B4534" s="1" t="str">
        <f>"FTON LLC"</f>
        <v>FTON LLC</v>
      </c>
      <c r="C4534" s="1" t="str">
        <f>"36 &amp; 38 HAYDEN AVE KNAUSS AMD SUB 96"</f>
        <v>36 &amp; 38 HAYDEN AVE KNAUSS AMD SUB 96</v>
      </c>
      <c r="D4534" s="1">
        <v>2508.75</v>
      </c>
    </row>
    <row r="4535" spans="1:4" x14ac:dyDescent="0.3">
      <c r="A4535" s="1" t="str">
        <f>"01004798200"</f>
        <v>01004798200</v>
      </c>
      <c r="B4535" s="1" t="str">
        <f>"FTON LLC"</f>
        <v>FTON LLC</v>
      </c>
      <c r="C4535" s="1" t="str">
        <f>"39 DANA AVE WEST HIGH SCHOOL LOT 15"</f>
        <v>39 DANA AVE WEST HIGH SCHOOL LOT 15</v>
      </c>
      <c r="D4535" s="1">
        <v>2322.91</v>
      </c>
    </row>
    <row r="4536" spans="1:4" x14ac:dyDescent="0.3">
      <c r="A4536" s="1" t="str">
        <f>"01004545700"</f>
        <v>01004545700</v>
      </c>
      <c r="B4536" s="1" t="str">
        <f>"FTON LLC"</f>
        <v>FTON LLC</v>
      </c>
      <c r="C4536" s="1" t="str">
        <f>"35 WISCONSIN AVE FRANKLIN LOT 162"</f>
        <v>35 WISCONSIN AVE FRANKLIN LOT 162</v>
      </c>
      <c r="D4536" s="1">
        <v>2064.87</v>
      </c>
    </row>
    <row r="4537" spans="1:4" x14ac:dyDescent="0.3">
      <c r="A4537" s="1" t="str">
        <f>"01003586300"</f>
        <v>01003586300</v>
      </c>
      <c r="B4537" s="1" t="str">
        <f>"FTON LLC"</f>
        <v>FTON LLC</v>
      </c>
      <c r="C4537" s="1" t="str">
        <f>"S DAKOTA AVE SEE DUP FOR DESC AVONDALE LOT 176-177-178"</f>
        <v>S DAKOTA AVE SEE DUP FOR DESC AVONDALE LOT 176-177-178</v>
      </c>
      <c r="D4537" s="1">
        <v>330.77</v>
      </c>
    </row>
    <row r="4538" spans="1:4" x14ac:dyDescent="0.3">
      <c r="A4538" s="1" t="str">
        <f>"01003586400"</f>
        <v>01003586400</v>
      </c>
      <c r="B4538" s="1" t="str">
        <f>"FTON LLC"</f>
        <v>FTON LLC</v>
      </c>
      <c r="C4538" s="1" t="str">
        <f>"445 S DAKOTA AVE SEE DUP FOR DESC AVONDALE L 176-7-8"</f>
        <v>445 S DAKOTA AVE SEE DUP FOR DESC AVONDALE L 176-7-8</v>
      </c>
      <c r="D4538" s="1">
        <v>3019.98</v>
      </c>
    </row>
    <row r="4539" spans="1:4" x14ac:dyDescent="0.3">
      <c r="A4539" s="1" t="str">
        <f>"01001156800"</f>
        <v>01001156800</v>
      </c>
      <c r="B4539" s="1" t="str">
        <f>"FTON LLC"</f>
        <v>FTON LLC</v>
      </c>
      <c r="C4539" s="1" t="str">
        <f>"234 DANA AVE DANA AVE. ALL LT 61 N 1/2 62"</f>
        <v>234 DANA AVE DANA AVE. ALL LT 61 N 1/2 62</v>
      </c>
      <c r="D4539" s="1">
        <v>3914.19</v>
      </c>
    </row>
    <row r="4540" spans="1:4" x14ac:dyDescent="0.3">
      <c r="A4540" s="1" t="str">
        <f>"04000541700"</f>
        <v>04000541700</v>
      </c>
      <c r="B4540" s="1" t="str">
        <f>"FUELLGRAF CHRISTIAN, FUELLGRAF HEIDI"</f>
        <v>FUELLGRAF CHRISTIAN, FUELLGRAF HEIDI</v>
      </c>
      <c r="C4540" s="1" t="str">
        <f>"5636 CLOVER LEAF CT MEADOW GROVE SEC 1 LOT 29"</f>
        <v>5636 CLOVER LEAF CT MEADOW GROVE SEC 1 LOT 29</v>
      </c>
      <c r="D4540" s="1">
        <v>2662.41</v>
      </c>
    </row>
    <row r="4541" spans="1:4" x14ac:dyDescent="0.3">
      <c r="A4541" s="1" t="str">
        <f>"01014312100"</f>
        <v>01014312100</v>
      </c>
      <c r="B4541" s="1" t="str">
        <f>"FUENTES URBINA DENIS DAMAR, FUENTES URBINA ANGELA ESKARLIN"</f>
        <v>FUENTES URBINA DENIS DAMAR, FUENTES URBINA ANGELA ESKARLIN</v>
      </c>
      <c r="C4541" s="1" t="str">
        <f>"TAMARACK BLVD 60FT NW GRANVLL MANOR SEC 2 LOT 253"</f>
        <v>TAMARACK BLVD 60FT NW GRANVLL MANOR SEC 2 LOT 253</v>
      </c>
      <c r="D4541" s="1">
        <v>349.35</v>
      </c>
    </row>
    <row r="4542" spans="1:4" x14ac:dyDescent="0.3">
      <c r="A4542" s="1" t="str">
        <f>"56023681400"</f>
        <v>56023681400</v>
      </c>
      <c r="B4542" s="1" t="str">
        <f>"FUKUYAMA ASUKA, PARK YONG JU"</f>
        <v>FUKUYAMA ASUKA, PARK YONG JU</v>
      </c>
      <c r="C4542" s="1" t="str">
        <f>"ALDERSON COURT TRABUE WOODS SEC 3 PART 1 LOT 102"</f>
        <v>ALDERSON COURT TRABUE WOODS SEC 3 PART 1 LOT 102</v>
      </c>
      <c r="D4542" s="1">
        <v>3739.15</v>
      </c>
    </row>
    <row r="4543" spans="1:4" x14ac:dyDescent="0.3">
      <c r="A4543" s="1" t="str">
        <f>"01009062600"</f>
        <v>01009062600</v>
      </c>
      <c r="B4543" s="1" t="str">
        <f>"FULFORD DEBORAH G"</f>
        <v>FULFORD DEBORAH G</v>
      </c>
      <c r="C4543" s="1" t="str">
        <f>"KELLNER RD EASTMOOR LOT 41"</f>
        <v>KELLNER RD EASTMOOR LOT 41</v>
      </c>
      <c r="D4543" s="1">
        <v>249.27</v>
      </c>
    </row>
    <row r="4544" spans="1:4" x14ac:dyDescent="0.3">
      <c r="A4544" s="1" t="str">
        <f>"01005544500"</f>
        <v>01005544500</v>
      </c>
      <c r="B4544" s="1" t="str">
        <f>"FULGHUM RAMONA L"</f>
        <v>FULGHUM RAMONA L</v>
      </c>
      <c r="C4544" s="1" t="str">
        <f>"834 N.9TH.ST 45.3FT.N.E. ENGLEWOOD LOT 24"</f>
        <v>834 N.9TH.ST 45.3FT.N.E. ENGLEWOOD LOT 24</v>
      </c>
      <c r="D4544" s="1">
        <v>884.55</v>
      </c>
    </row>
    <row r="4545" spans="1:4" x14ac:dyDescent="0.3">
      <c r="A4545" s="1" t="str">
        <f>"07001368400"</f>
        <v>07001368400</v>
      </c>
      <c r="B4545" s="1" t="str">
        <f>"FULKERSON DONALD TODD, FULKERSON EVELYN JEAN"</f>
        <v>FULKERSON DONALD TODD, FULKERSON EVELYN JEAN</v>
      </c>
      <c r="C4545" s="1" t="str">
        <f>"1743 ARDLEIGH RD 1741-47 ARDLEIGH CONDO UNIT 1743"</f>
        <v>1743 ARDLEIGH RD 1741-47 ARDLEIGH CONDO UNIT 1743</v>
      </c>
      <c r="D4545" s="1">
        <v>3055.67</v>
      </c>
    </row>
    <row r="4546" spans="1:4" x14ac:dyDescent="0.3">
      <c r="A4546" s="1" t="str">
        <f>"08000112800"</f>
        <v>08000112800</v>
      </c>
      <c r="B4546" s="1" t="str">
        <f>"FULL TILT! REAL ESTATE SERVICES LTD"</f>
        <v>FULL TILT! REAL ESTATE SERVICES LTD</v>
      </c>
      <c r="C4546" s="1" t="str">
        <f>"248 N STATE ST 1 ACRE OUT LOT 8"</f>
        <v>248 N STATE ST 1 ACRE OUT LOT 8</v>
      </c>
      <c r="D4546" s="1">
        <v>3350.3</v>
      </c>
    </row>
    <row r="4547" spans="1:4" x14ac:dyDescent="0.3">
      <c r="A4547" s="1" t="str">
        <f>"08000028300"</f>
        <v>08000028300</v>
      </c>
      <c r="B4547" s="1" t="str">
        <f>"FULL TILT! VENTURES LTD"</f>
        <v>FULL TILT! VENTURES LTD</v>
      </c>
      <c r="C4547" s="1" t="str">
        <f>".448 ACRE NEW 8  "</f>
        <v xml:space="preserve">.448 ACRE NEW 8  </v>
      </c>
      <c r="D4547" s="1">
        <v>6150.94</v>
      </c>
    </row>
    <row r="4548" spans="1:4" x14ac:dyDescent="0.3">
      <c r="A4548" s="1" t="str">
        <f>"04001444900"</f>
        <v>04001444900</v>
      </c>
      <c r="B4548" s="1" t="str">
        <f>"FULLEN LORILEE LYNN TTEE"</f>
        <v>FULLEN LORILEE LYNN TTEE</v>
      </c>
      <c r="C4548" s="1" t="str">
        <f>"THE MEWS AT PINNACLE CLUB CONDOMINIUM 1ST AMD PH 2  BLDG 6 UNIT 6-4809       "</f>
        <v xml:space="preserve">THE MEWS AT PINNACLE CLUB CONDOMINIUM 1ST AMD PH 2  BLDG 6 UNIT 6-4809       </v>
      </c>
      <c r="D4548" s="1">
        <v>4419.16</v>
      </c>
    </row>
    <row r="4549" spans="1:4" x14ac:dyDescent="0.3">
      <c r="A4549" s="1" t="str">
        <f>"01024203000"</f>
        <v>01024203000</v>
      </c>
      <c r="B4549" s="1" t="str">
        <f>"FULLER CADE"</f>
        <v>FULLER CADE</v>
      </c>
      <c r="C4549" s="1" t="str">
        <f>"FOOTLOOSE DRIVE WALTHAM PLACE SECTION 2 LOT 101"</f>
        <v>FOOTLOOSE DRIVE WALTHAM PLACE SECTION 2 LOT 101</v>
      </c>
      <c r="D4549" s="1">
        <v>2176.16</v>
      </c>
    </row>
    <row r="4550" spans="1:4" x14ac:dyDescent="0.3">
      <c r="A4550" s="1" t="str">
        <f>"01006850900"</f>
        <v>01006850900</v>
      </c>
      <c r="B4550" s="1" t="str">
        <f>"FULLER HAROLD E JR"</f>
        <v>FULLER HAROLD E JR</v>
      </c>
      <c r="C4550" s="1" t="str">
        <f>"WARREN AVE WILSHIRE HTS LOT 5 BLK 9"</f>
        <v>WARREN AVE WILSHIRE HTS LOT 5 BLK 9</v>
      </c>
      <c r="D4550" s="1">
        <v>1488.54</v>
      </c>
    </row>
    <row r="4551" spans="1:4" x14ac:dyDescent="0.3">
      <c r="A4551" s="1" t="str">
        <f>"01009372000"</f>
        <v>01009372000</v>
      </c>
      <c r="B4551" s="1" t="str">
        <f>"FULTON TIMOTHY R"</f>
        <v>FULTON TIMOTHY R</v>
      </c>
      <c r="C4551" s="1" t="str">
        <f>"2695 EAST AVE GEO WILLIAMS LOT 418"</f>
        <v>2695 EAST AVE GEO WILLIAMS LOT 418</v>
      </c>
      <c r="D4551" s="1">
        <v>131.72</v>
      </c>
    </row>
    <row r="4552" spans="1:4" x14ac:dyDescent="0.3">
      <c r="A4552" s="1" t="str">
        <f>"01001415900"</f>
        <v>01001415900</v>
      </c>
      <c r="B4552" s="1" t="str">
        <f>"FULTON WAYNE J"</f>
        <v>FULTON WAYNE J</v>
      </c>
      <c r="C4552" s="1" t="str">
        <f>"411-413 SIEBERT ST WIRTH BARTH&amp;HUBER LOT 14"</f>
        <v>411-413 SIEBERT ST WIRTH BARTH&amp;HUBER LOT 14</v>
      </c>
      <c r="D4552" s="1">
        <v>567.70000000000005</v>
      </c>
    </row>
    <row r="4553" spans="1:4" x14ac:dyDescent="0.3">
      <c r="A4553" s="1" t="str">
        <f>"59019779600"</f>
        <v>59019779600</v>
      </c>
      <c r="B4553" s="1" t="str">
        <f>"FULTZ DAVID EUGENE JR"</f>
        <v>FULTZ DAVID EUGENE JR</v>
      </c>
      <c r="C4553" s="1" t="str">
        <f>"WOLCOTT CT LOT 12 WOLCOTT CONDO UNIT 6401"</f>
        <v>WOLCOTT CT LOT 12 WOLCOTT CONDO UNIT 6401</v>
      </c>
      <c r="D4553" s="1">
        <v>2875.97</v>
      </c>
    </row>
    <row r="4554" spans="1:4" x14ac:dyDescent="0.3">
      <c r="A4554" s="1" t="str">
        <f>"14000218300"</f>
        <v>14000218300</v>
      </c>
      <c r="B4554" s="1" t="str">
        <f>"FUNEZ RENE LUNA"</f>
        <v>FUNEZ RENE LUNA</v>
      </c>
      <c r="C4554" s="1" t="str">
        <f>"1124 RICHTER RD H E RICHTERS LOT 79 &amp; PT LOT 80"</f>
        <v>1124 RICHTER RD H E RICHTERS LOT 79 &amp; PT LOT 80</v>
      </c>
      <c r="D4554" s="1">
        <v>6403.78</v>
      </c>
    </row>
    <row r="4555" spans="1:4" x14ac:dyDescent="0.3">
      <c r="A4555" s="1" t="str">
        <f>"27300122000"</f>
        <v>27300122000</v>
      </c>
      <c r="B4555" s="1" t="str">
        <f>"FUNK STEVEN J, FUNK DEBORAH M"</f>
        <v>FUNK STEVEN J, FUNK DEBORAH M</v>
      </c>
      <c r="C4555" s="1" t="str">
        <f>"7048 TRALEE DR SHANNON PARK SEC 1 LOT 23"</f>
        <v>7048 TRALEE DR SHANNON PARK SEC 1 LOT 23</v>
      </c>
      <c r="D4555" s="1">
        <v>506.08</v>
      </c>
    </row>
    <row r="4556" spans="1:4" x14ac:dyDescent="0.3">
      <c r="A4556" s="1" t="str">
        <f>"04000396200"</f>
        <v>04000396200</v>
      </c>
      <c r="B4556" s="1" t="str">
        <f>"FUNK STEVEN L"</f>
        <v>FUNK STEVEN L</v>
      </c>
      <c r="C4556" s="1" t="str">
        <f>"2611 SOUTHWEST BLVD BROOK PARK LOT 136"</f>
        <v>2611 SOUTHWEST BLVD BROOK PARK LOT 136</v>
      </c>
      <c r="D4556" s="1">
        <v>185.23</v>
      </c>
    </row>
    <row r="4557" spans="1:4" x14ac:dyDescent="0.3">
      <c r="A4557" s="1" t="str">
        <f>"52025425400"</f>
        <v>52025425400</v>
      </c>
      <c r="B4557" s="1" t="str">
        <f>"FUNLER LLC"</f>
        <v>FUNLER LLC</v>
      </c>
      <c r="C4557" s="1" t="str">
        <f>"E BROAD ST R16 T1 1/4T3 1.024 ACRES"</f>
        <v>E BROAD ST R16 T1 1/4T3 1.024 ACRES</v>
      </c>
      <c r="D4557" s="1">
        <v>11</v>
      </c>
    </row>
    <row r="4558" spans="1:4" x14ac:dyDescent="0.3">
      <c r="A4558" s="1" t="str">
        <f>"01006916300"</f>
        <v>01006916300</v>
      </c>
      <c r="B4558" s="1" t="str">
        <f>"FUREY DANIEL JOHN"</f>
        <v>FUREY DANIEL JOHN</v>
      </c>
      <c r="C4558" s="1" t="str">
        <f>"BINNS BLVD WILSHIRE HEIGHTS LOT 10 BLK 32"</f>
        <v>BINNS BLVD WILSHIRE HEIGHTS LOT 10 BLK 32</v>
      </c>
      <c r="D4558" s="1">
        <v>106.51</v>
      </c>
    </row>
    <row r="4559" spans="1:4" x14ac:dyDescent="0.3">
      <c r="A4559" s="1" t="str">
        <f>"04000145000"</f>
        <v>04000145000</v>
      </c>
      <c r="B4559" s="1" t="str">
        <f>"FURR ANDREW A, FURR MARY A"</f>
        <v>FURR ANDREW A, FURR MARY A</v>
      </c>
      <c r="C4559" s="1" t="str">
        <f>"LYNN CIRCLE SHERRY LYNNE HOMES LOT 93"</f>
        <v>LYNN CIRCLE SHERRY LYNNE HOMES LOT 93</v>
      </c>
      <c r="D4559" s="1">
        <v>1180.48</v>
      </c>
    </row>
    <row r="4560" spans="1:4" x14ac:dyDescent="0.3">
      <c r="A4560" s="1" t="str">
        <f>"01015291900"</f>
        <v>01015291900</v>
      </c>
      <c r="B4560" s="1" t="str">
        <f>"FUSSNECKER DAVID L"</f>
        <v>FUSSNECKER DAVID L</v>
      </c>
      <c r="C4560" s="1" t="str">
        <f>"BRITTANY COURT W NORTHLAND PARK SEC 5 LOT 327"</f>
        <v>BRITTANY COURT W NORTHLAND PARK SEC 5 LOT 327</v>
      </c>
      <c r="D4560" s="1">
        <v>2028.57</v>
      </c>
    </row>
    <row r="4561" spans="1:4" x14ac:dyDescent="0.3">
      <c r="A4561" s="1" t="str">
        <f>"07000971100"</f>
        <v>07000971100</v>
      </c>
      <c r="B4561" s="1" t="str">
        <f>"FUTRELL ROBERT T TR, FUTRELL GERALDINE N TR"</f>
        <v>FUTRELL ROBERT T TR, FUTRELL GERALDINE N TR</v>
      </c>
      <c r="C4561" s="1" t="str">
        <f>"2284 HAVILAND RD MIDDLESEX PLACE 2 20 BLK 2"</f>
        <v>2284 HAVILAND RD MIDDLESEX PLACE 2 20 BLK 2</v>
      </c>
      <c r="D4561" s="1">
        <v>11802.06</v>
      </c>
    </row>
    <row r="4562" spans="1:4" x14ac:dyDescent="0.3">
      <c r="A4562" s="1" t="str">
        <f>"01000857400"</f>
        <v>01000857400</v>
      </c>
      <c r="B4562" s="1" t="str">
        <f>"FUTURA HOLDINGS LLC"</f>
        <v>FUTURA HOLDINGS LLC</v>
      </c>
      <c r="C4562" s="1" t="str">
        <f>"GLENWOOD AVE HAMILTON PLC LOT 25 &amp; 60.19' WE LOT 26"</f>
        <v>GLENWOOD AVE HAMILTON PLC LOT 25 &amp; 60.19' WE LOT 26</v>
      </c>
      <c r="D4562" s="1">
        <v>1063.24</v>
      </c>
    </row>
    <row r="4563" spans="1:4" x14ac:dyDescent="0.3">
      <c r="A4563" s="1" t="str">
        <f>"01008914800"</f>
        <v>01008914800</v>
      </c>
      <c r="B4563" s="1" t="str">
        <f>"FUZY KOLMAN G"</f>
        <v>FUZY KOLMAN G</v>
      </c>
      <c r="C4563" s="1" t="str">
        <f>"575 ELIZABETH AVE MAIN STREET TERRACE LOT 238 &amp; PT VAC ALLEY"</f>
        <v>575 ELIZABETH AVE MAIN STREET TERRACE LOT 238 &amp; PT VAC ALLEY</v>
      </c>
      <c r="D4563" s="1">
        <v>745.54</v>
      </c>
    </row>
    <row r="4564" spans="1:4" x14ac:dyDescent="0.3">
      <c r="A4564" s="1" t="str">
        <f>"01030000700"</f>
        <v>01030000700</v>
      </c>
      <c r="B4564" s="1" t="str">
        <f>"FW LINWOOD LLC"</f>
        <v>FW LINWOOD LLC</v>
      </c>
      <c r="C4564" s="1" t="str">
        <f>"LINWOOD AVE PT ALLEY 0.015 ACRE"</f>
        <v>LINWOOD AVE PT ALLEY 0.015 ACRE</v>
      </c>
      <c r="D4564" s="1">
        <v>39.29</v>
      </c>
    </row>
    <row r="4565" spans="1:4" x14ac:dyDescent="0.3">
      <c r="A4565" s="1" t="str">
        <f>"01032779300"</f>
        <v>01032779300</v>
      </c>
      <c r="B4565" s="1" t="str">
        <f>"FYDA NEIL T TTEE"</f>
        <v>FYDA NEIL T TTEE</v>
      </c>
      <c r="C4565" s="1" t="str">
        <f>"4TH &amp; THURMAN LOT 1 "</f>
        <v xml:space="preserve">4TH &amp; THURMAN LOT 1 </v>
      </c>
      <c r="D4565" s="1">
        <v>5745.96</v>
      </c>
    </row>
    <row r="4566" spans="1:4" x14ac:dyDescent="0.3">
      <c r="A4566" s="1" t="str">
        <f>"01032779400"</f>
        <v>01032779400</v>
      </c>
      <c r="B4566" s="1" t="str">
        <f>"FYDA NEIL T TTEE"</f>
        <v>FYDA NEIL T TTEE</v>
      </c>
      <c r="C4566" s="1" t="str">
        <f>"4TH &amp; THURMAN LOT 2 "</f>
        <v xml:space="preserve">4TH &amp; THURMAN LOT 2 </v>
      </c>
      <c r="D4566" s="1">
        <v>5745.96</v>
      </c>
    </row>
    <row r="4567" spans="1:4" x14ac:dyDescent="0.3">
      <c r="A4567" s="1" t="str">
        <f>"01032779500"</f>
        <v>01032779500</v>
      </c>
      <c r="B4567" s="1" t="str">
        <f>"FYDA NEIL T TTEE"</f>
        <v>FYDA NEIL T TTEE</v>
      </c>
      <c r="C4567" s="1" t="str">
        <f>"4TH &amp; THURMAN LOT 3 "</f>
        <v xml:space="preserve">4TH &amp; THURMAN LOT 3 </v>
      </c>
      <c r="D4567" s="1">
        <v>5745.96</v>
      </c>
    </row>
    <row r="4568" spans="1:4" x14ac:dyDescent="0.3">
      <c r="A4568" s="1" t="str">
        <f>"01032779600"</f>
        <v>01032779600</v>
      </c>
      <c r="B4568" s="1" t="str">
        <f>"FYDA NEIL T TTEE"</f>
        <v>FYDA NEIL T TTEE</v>
      </c>
      <c r="C4568" s="1" t="str">
        <f>"4TH &amp; THURMAN LOT 4 "</f>
        <v xml:space="preserve">4TH &amp; THURMAN LOT 4 </v>
      </c>
      <c r="D4568" s="1">
        <v>9947.59</v>
      </c>
    </row>
    <row r="4569" spans="1:4" x14ac:dyDescent="0.3">
      <c r="A4569" s="1" t="str">
        <f>"01032779700"</f>
        <v>01032779700</v>
      </c>
      <c r="B4569" s="1" t="str">
        <f>"FYDA NEIL T TTEE"</f>
        <v>FYDA NEIL T TTEE</v>
      </c>
      <c r="C4569" s="1" t="str">
        <f>"4TH &amp; THURMAN LOT 5 "</f>
        <v xml:space="preserve">4TH &amp; THURMAN LOT 5 </v>
      </c>
      <c r="D4569" s="1">
        <v>6210.56</v>
      </c>
    </row>
    <row r="4570" spans="1:4" x14ac:dyDescent="0.3">
      <c r="A4570" s="1" t="str">
        <f>"01032779800"</f>
        <v>01032779800</v>
      </c>
      <c r="B4570" s="1" t="str">
        <f>"FYDA NEIL T TTEE"</f>
        <v>FYDA NEIL T TTEE</v>
      </c>
      <c r="C4570" s="1" t="str">
        <f>"4TH &amp; THURMAN LOT 6 "</f>
        <v xml:space="preserve">4TH &amp; THURMAN LOT 6 </v>
      </c>
      <c r="D4570" s="1">
        <v>8407.1</v>
      </c>
    </row>
    <row r="4571" spans="1:4" x14ac:dyDescent="0.3">
      <c r="A4571" s="1" t="str">
        <f>"01032779900"</f>
        <v>01032779900</v>
      </c>
      <c r="B4571" s="1" t="str">
        <f>"FYDA NEIL T TTEE"</f>
        <v>FYDA NEIL T TTEE</v>
      </c>
      <c r="C4571" s="1" t="str">
        <f>"4TH &amp; THURMAN LOT 7 "</f>
        <v xml:space="preserve">4TH &amp; THURMAN LOT 7 </v>
      </c>
      <c r="D4571" s="1">
        <v>3973.11</v>
      </c>
    </row>
    <row r="4572" spans="1:4" x14ac:dyDescent="0.3">
      <c r="A4572" s="1" t="str">
        <f>"01032780000"</f>
        <v>01032780000</v>
      </c>
      <c r="B4572" s="1" t="str">
        <f>"FYDA NEIL T TTEE"</f>
        <v>FYDA NEIL T TTEE</v>
      </c>
      <c r="C4572" s="1" t="str">
        <f>"4TH &amp; THURMAN LOT 8 "</f>
        <v xml:space="preserve">4TH &amp; THURMAN LOT 8 </v>
      </c>
      <c r="D4572" s="1">
        <v>3973.11</v>
      </c>
    </row>
    <row r="4573" spans="1:4" x14ac:dyDescent="0.3">
      <c r="A4573" s="1" t="str">
        <f>"01032780100"</f>
        <v>01032780100</v>
      </c>
      <c r="B4573" s="1" t="str">
        <f>"FYDA NEIL T TTEE"</f>
        <v>FYDA NEIL T TTEE</v>
      </c>
      <c r="C4573" s="1" t="str">
        <f>"4TH &amp; THURMAN LOT 9 "</f>
        <v xml:space="preserve">4TH &amp; THURMAN LOT 9 </v>
      </c>
      <c r="D4573" s="1">
        <v>3973.11</v>
      </c>
    </row>
    <row r="4574" spans="1:4" x14ac:dyDescent="0.3">
      <c r="A4574" s="1" t="str">
        <f>"01032780200"</f>
        <v>01032780200</v>
      </c>
      <c r="B4574" s="1" t="str">
        <f>"FYDA NEIL T TTEE"</f>
        <v>FYDA NEIL T TTEE</v>
      </c>
      <c r="C4574" s="1" t="str">
        <f>"4TH &amp; THURMAN LOT 10 "</f>
        <v xml:space="preserve">4TH &amp; THURMAN LOT 10 </v>
      </c>
      <c r="D4574" s="1">
        <v>3973.11</v>
      </c>
    </row>
    <row r="4575" spans="1:4" x14ac:dyDescent="0.3">
      <c r="A4575" s="1" t="str">
        <f>"01032780300"</f>
        <v>01032780300</v>
      </c>
      <c r="B4575" s="1" t="str">
        <f>"FYDA NEIL T TTEE"</f>
        <v>FYDA NEIL T TTEE</v>
      </c>
      <c r="C4575" s="1" t="str">
        <f>"4TH &amp; THURMAN LOT 11 "</f>
        <v xml:space="preserve">4TH &amp; THURMAN LOT 11 </v>
      </c>
      <c r="D4575" s="1">
        <v>3573.85</v>
      </c>
    </row>
    <row r="4576" spans="1:4" x14ac:dyDescent="0.3">
      <c r="A4576" s="1" t="str">
        <f>"01032780400"</f>
        <v>01032780400</v>
      </c>
      <c r="B4576" s="1" t="str">
        <f>"FYDA NEIL T TTEE"</f>
        <v>FYDA NEIL T TTEE</v>
      </c>
      <c r="C4576" s="1" t="str">
        <f>"4TH &amp; THURMAN LOT 12 "</f>
        <v xml:space="preserve">4TH &amp; THURMAN LOT 12 </v>
      </c>
      <c r="D4576" s="1">
        <v>4315.0600000000004</v>
      </c>
    </row>
    <row r="4577" spans="1:4" x14ac:dyDescent="0.3">
      <c r="A4577" s="1" t="str">
        <f>"01032780500"</f>
        <v>01032780500</v>
      </c>
      <c r="B4577" s="1" t="str">
        <f>"FYDA NEIL T TTEE"</f>
        <v>FYDA NEIL T TTEE</v>
      </c>
      <c r="C4577" s="1" t="str">
        <f>"4TH &amp; THURMAN LOT 13 "</f>
        <v xml:space="preserve">4TH &amp; THURMAN LOT 13 </v>
      </c>
      <c r="D4577" s="1">
        <v>4315.0600000000004</v>
      </c>
    </row>
    <row r="4578" spans="1:4" x14ac:dyDescent="0.3">
      <c r="A4578" s="1" t="str">
        <f>"01032780600"</f>
        <v>01032780600</v>
      </c>
      <c r="B4578" s="1" t="str">
        <f>"FYDA NEIL T TTEE"</f>
        <v>FYDA NEIL T TTEE</v>
      </c>
      <c r="C4578" s="1" t="str">
        <f>"4TH &amp; THURMAN LOT 14 "</f>
        <v xml:space="preserve">4TH &amp; THURMAN LOT 14 </v>
      </c>
      <c r="D4578" s="1">
        <v>4149.9399999999996</v>
      </c>
    </row>
    <row r="4579" spans="1:4" x14ac:dyDescent="0.3">
      <c r="A4579" s="1" t="str">
        <f>"01032780700"</f>
        <v>01032780700</v>
      </c>
      <c r="B4579" s="1" t="str">
        <f>"FYDA NEIL T TTEE"</f>
        <v>FYDA NEIL T TTEE</v>
      </c>
      <c r="C4579" s="1" t="str">
        <f>"4TH &amp; THURMAN RESERVE A "</f>
        <v xml:space="preserve">4TH &amp; THURMAN RESERVE A </v>
      </c>
      <c r="D4579" s="1">
        <v>228.86</v>
      </c>
    </row>
    <row r="4580" spans="1:4" x14ac:dyDescent="0.3">
      <c r="A4580" s="1" t="str">
        <f>"04000014500"</f>
        <v>04000014500</v>
      </c>
      <c r="B4580" s="1" t="str">
        <f>"FYFFE MARK S, FYFFE SANDRA S"</f>
        <v>FYFFE MARK S, FYFFE SANDRA S</v>
      </c>
      <c r="C4580" s="1" t="str">
        <f>"3535 PARK ST              BEULAH SUB                LOT 43                   "</f>
        <v xml:space="preserve">3535 PARK ST              BEULAH SUB                LOT 43                   </v>
      </c>
      <c r="D4580" s="1">
        <v>1406.34</v>
      </c>
    </row>
    <row r="4581" spans="1:4" x14ac:dyDescent="0.3">
      <c r="A4581" s="1" t="str">
        <f>"01016209900"</f>
        <v>01016209900</v>
      </c>
      <c r="B4581" s="1" t="str">
        <f>"G DYNASTY PROPERTIES LLC"</f>
        <v>G DYNASTY PROPERTIES LLC</v>
      </c>
      <c r="C4581" s="1" t="str">
        <f>"ALICE RITA STREET ALICE RITA LOT 6"</f>
        <v>ALICE RITA STREET ALICE RITA LOT 6</v>
      </c>
      <c r="D4581" s="1">
        <v>1554.72</v>
      </c>
    </row>
    <row r="4582" spans="1:4" x14ac:dyDescent="0.3">
      <c r="A4582" s="1" t="str">
        <f>"14000316500"</f>
        <v>14000316500</v>
      </c>
      <c r="B4582" s="1" t="str">
        <f>"G M B, B B"</f>
        <v>G M B, B B</v>
      </c>
      <c r="C4582" s="1" t="str">
        <f>"3223 CLINE RD ENTRY 971 0.919 ACRE"</f>
        <v>3223 CLINE RD ENTRY 971 0.919 ACRE</v>
      </c>
      <c r="D4582" s="1">
        <v>2048.88</v>
      </c>
    </row>
    <row r="4583" spans="1:4" x14ac:dyDescent="0.3">
      <c r="A4583" s="1" t="str">
        <f>"05000483600"</f>
        <v>05000483600</v>
      </c>
      <c r="B4583" s="1" t="str">
        <f>"G&amp;S WILSON HOLDINGS LLC"</f>
        <v>G&amp;S WILSON HOLDINGS LLC</v>
      </c>
      <c r="C4583" s="1" t="str">
        <f>"BAYBERRY CREEK CONDOMINIUM BLDG 10 UNIT 4900"</f>
        <v>BAYBERRY CREEK CONDOMINIUM BLDG 10 UNIT 4900</v>
      </c>
      <c r="D4583" s="1">
        <v>238.43</v>
      </c>
    </row>
    <row r="4584" spans="1:4" x14ac:dyDescent="0.3">
      <c r="A4584" s="1" t="str">
        <f>"01010247300"</f>
        <v>01010247300</v>
      </c>
      <c r="B4584" s="1" t="str">
        <f>"GABAY ADENWELI"</f>
        <v>GABAY ADENWELI</v>
      </c>
      <c r="C4584" s="1" t="str">
        <f>"COLFAX AVE. BEAUMONT LOT 233"</f>
        <v>COLFAX AVE. BEAUMONT LOT 233</v>
      </c>
      <c r="D4584" s="1">
        <v>881.6</v>
      </c>
    </row>
    <row r="4585" spans="1:4" x14ac:dyDescent="0.3">
      <c r="A4585" s="1" t="str">
        <f>"01015675800"</f>
        <v>01015675800</v>
      </c>
      <c r="B4585" s="1" t="str">
        <f>"GABBIDON CHANDA"</f>
        <v>GABBIDON CHANDA</v>
      </c>
      <c r="C4585" s="1" t="str">
        <f>"PINE VALLEY RD CUMBERLAND RIDGE SEC 2 LOT 218"</f>
        <v>PINE VALLEY RD CUMBERLAND RIDGE SEC 2 LOT 218</v>
      </c>
      <c r="D4585" s="1">
        <v>2225.0300000000002</v>
      </c>
    </row>
    <row r="4586" spans="1:4" x14ac:dyDescent="0.3">
      <c r="A4586" s="1" t="str">
        <f>"27301104000"</f>
        <v>27301104000</v>
      </c>
      <c r="B4586" s="1" t="str">
        <f>"GABELL J CHRISTOPHER TR"</f>
        <v>GABELL J CHRISTOPHER TR</v>
      </c>
      <c r="C4586" s="1" t="str">
        <f>"BRIGHTON WOODS CONDOMINIUM 3RD AMD UNIT 5542"</f>
        <v>BRIGHTON WOODS CONDOMINIUM 3RD AMD UNIT 5542</v>
      </c>
      <c r="D4586" s="1">
        <v>325.33999999999997</v>
      </c>
    </row>
    <row r="4587" spans="1:4" x14ac:dyDescent="0.3">
      <c r="A4587" s="1" t="str">
        <f>"52028691300"</f>
        <v>52028691300</v>
      </c>
      <c r="B4587" s="1" t="str">
        <f>"GABEYRE ABDIRAHMAN ABDULLAHI, ADDO MULKI A"</f>
        <v>GABEYRE ABDIRAHMAN ABDULLAHI, ADDO MULKI A</v>
      </c>
      <c r="C4587" s="1" t="str">
        <f>"6096 STOCKTON TRAIL WAY   LAKES AT TAYLOR STATION   SECTION 2 PART 3 LOT 196 "</f>
        <v xml:space="preserve">6096 STOCKTON TRAIL WAY   LAKES AT TAYLOR STATION   SECTION 2 PART 3 LOT 196 </v>
      </c>
      <c r="D4587" s="1">
        <v>6688.19</v>
      </c>
    </row>
    <row r="4588" spans="1:4" x14ac:dyDescent="0.3">
      <c r="A4588" s="1" t="str">
        <f>"01008284200"</f>
        <v>01008284200</v>
      </c>
      <c r="B4588" s="1" t="str">
        <f>"GABRENYA PAUL, GABRENYA CARA"</f>
        <v>GABRENYA PAUL, GABRENYA CARA</v>
      </c>
      <c r="C4588" s="1" t="str">
        <f>"NORTHRIDGE ROAD EDGEMONT GARDENS 2 LOT 203"</f>
        <v>NORTHRIDGE ROAD EDGEMONT GARDENS 2 LOT 203</v>
      </c>
      <c r="D4588" s="1">
        <v>3818.1</v>
      </c>
    </row>
    <row r="4589" spans="1:4" x14ac:dyDescent="0.3">
      <c r="A4589" s="1" t="str">
        <f>"01013955800"</f>
        <v>01013955800</v>
      </c>
      <c r="B4589" s="1" t="str">
        <f>"GABRIEL MARION A, GABRIEL EDITH I"</f>
        <v>GABRIEL MARION A, GABRIEL EDITH I</v>
      </c>
      <c r="C4589" s="1" t="str">
        <f>"PARSON AVE SOUTHERN PINES SEC 2 LOT 134"</f>
        <v>PARSON AVE SOUTHERN PINES SEC 2 LOT 134</v>
      </c>
      <c r="D4589" s="1">
        <v>84.46</v>
      </c>
    </row>
    <row r="4590" spans="1:4" x14ac:dyDescent="0.3">
      <c r="A4590" s="1" t="str">
        <f>"01011200200"</f>
        <v>01011200200</v>
      </c>
      <c r="B4590" s="1" t="str">
        <f>"GABRIEL SIERRA MARIA IRENE"</f>
        <v>GABRIEL SIERRA MARIA IRENE</v>
      </c>
      <c r="C4590" s="1" t="str">
        <f>"AUGMONTAVE CLARFIELD LOT84"</f>
        <v>AUGMONTAVE CLARFIELD LOT84</v>
      </c>
      <c r="D4590" s="1">
        <v>1085.49</v>
      </c>
    </row>
    <row r="4591" spans="1:4" x14ac:dyDescent="0.3">
      <c r="A4591" s="1" t="str">
        <f>"55029552600"</f>
        <v>55029552600</v>
      </c>
      <c r="B4591" s="1" t="str">
        <f>"GABRIELLI JOHN MICHAEL"</f>
        <v>GABRIELLI JOHN MICHAEL</v>
      </c>
      <c r="C4591" s="1" t="str">
        <f>"GRAND RESERVE AT REYNOLDS CROSSING CONDOMINIUM      21ST AMD UNIT 40"</f>
        <v>GRAND RESERVE AT REYNOLDS CROSSING CONDOMINIUM      21ST AMD UNIT 40</v>
      </c>
      <c r="D4591" s="1">
        <v>210.58</v>
      </c>
    </row>
    <row r="4592" spans="1:4" x14ac:dyDescent="0.3">
      <c r="A4592" s="1" t="str">
        <f>"01011447400"</f>
        <v>01011447400</v>
      </c>
      <c r="B4592" s="1" t="str">
        <f>"GACHETTE JELENA"</f>
        <v>GACHETTE JELENA</v>
      </c>
      <c r="C4592" s="1" t="str">
        <f>"STUDER AVE MARION PARK LOT 84"</f>
        <v>STUDER AVE MARION PARK LOT 84</v>
      </c>
      <c r="D4592" s="1">
        <v>684.62</v>
      </c>
    </row>
    <row r="4593" spans="1:4" x14ac:dyDescent="0.3">
      <c r="A4593" s="1" t="str">
        <f>"01001477100"</f>
        <v>01001477100</v>
      </c>
      <c r="B4593" s="1" t="str">
        <f>"GADDIS RANDAL L, GADDIS ELIZABETH K"</f>
        <v>GADDIS RANDAL L, GADDIS ELIZABETH K</v>
      </c>
      <c r="C4593" s="1" t="str">
        <f>"MULBERRY ST CARTERS B&amp;O LOTS 142-150"</f>
        <v>MULBERRY ST CARTERS B&amp;O LOTS 142-150</v>
      </c>
      <c r="D4593" s="1">
        <v>819.66</v>
      </c>
    </row>
    <row r="4594" spans="1:4" x14ac:dyDescent="0.3">
      <c r="A4594" s="1" t="str">
        <f>"01007835300"</f>
        <v>01007835300</v>
      </c>
      <c r="B4594" s="1" t="str">
        <f>"GAFFNEY GLADYS L TR"</f>
        <v>GAFFNEY GLADYS L TR</v>
      </c>
      <c r="C4594" s="1" t="str">
        <f>"N KELLNER RD EASTVALE LOT 20"</f>
        <v>N KELLNER RD EASTVALE LOT 20</v>
      </c>
      <c r="D4594" s="1">
        <v>1643.25</v>
      </c>
    </row>
    <row r="4595" spans="1:4" x14ac:dyDescent="0.3">
      <c r="A4595" s="1" t="str">
        <f>"02500181900"</f>
        <v>02500181900</v>
      </c>
      <c r="B4595" s="1" t="str">
        <f>"GAHANNA OH PROPCO LLC"</f>
        <v>GAHANNA OH PROPCO LLC</v>
      </c>
      <c r="C4595" s="1" t="str">
        <f>"230 AGLER RD              MOORFIELD                 LOT 1                    "</f>
        <v xml:space="preserve">230 AGLER RD              MOORFIELD                 LOT 1                    </v>
      </c>
      <c r="D4595" s="1">
        <v>11316.95</v>
      </c>
    </row>
    <row r="4596" spans="1:4" x14ac:dyDescent="0.3">
      <c r="A4596" s="1" t="str">
        <f>"01023723000"</f>
        <v>01023723000</v>
      </c>
      <c r="B4596" s="1" t="str">
        <f>"GAHN PATRICIA"</f>
        <v>GAHN PATRICIA</v>
      </c>
      <c r="C4596" s="1" t="str">
        <f>"OAKMONT VILLAGE CONDOMINIUM BLDG 1 UNIT 1004"</f>
        <v>OAKMONT VILLAGE CONDOMINIUM BLDG 1 UNIT 1004</v>
      </c>
      <c r="D4596" s="1">
        <v>3958.5</v>
      </c>
    </row>
    <row r="4597" spans="1:4" x14ac:dyDescent="0.3">
      <c r="A4597" s="1" t="str">
        <f>"01016596800"</f>
        <v>01016596800</v>
      </c>
      <c r="B4597" s="1" t="str">
        <f>"GAINES WILLIAM J"</f>
        <v>GAINES WILLIAM J</v>
      </c>
      <c r="C4597" s="1" t="str">
        <f>"WINDING HILLS CONDO II BROADLEAF LANE UNIT 3545 BLDG 14"</f>
        <v>WINDING HILLS CONDO II BROADLEAF LANE UNIT 3545 BLDG 14</v>
      </c>
      <c r="D4597" s="1">
        <v>1527.56</v>
      </c>
    </row>
    <row r="4598" spans="1:4" x14ac:dyDescent="0.3">
      <c r="A4598" s="1" t="str">
        <f>"13000242400"</f>
        <v>13000242400</v>
      </c>
      <c r="B4598" s="1" t="str">
        <f>"GAITAN JUAN C"</f>
        <v>GAITAN JUAN C</v>
      </c>
      <c r="C4598" s="1" t="str">
        <f>"1748 FERRIS RD 51.54 FT MID PT N LINDEN 1 440"</f>
        <v>1748 FERRIS RD 51.54 FT MID PT N LINDEN 1 440</v>
      </c>
      <c r="D4598" s="1">
        <v>1338.16</v>
      </c>
    </row>
    <row r="4599" spans="1:4" x14ac:dyDescent="0.3">
      <c r="A4599" s="1" t="str">
        <f>"60017695700"</f>
        <v>60017695700</v>
      </c>
      <c r="B4599" s="1" t="str">
        <f>"GALARZA NESTOR, GALARZA MADELINE"</f>
        <v>GALARZA NESTOR, GALARZA MADELINE</v>
      </c>
      <c r="C4599" s="1" t="str">
        <f>"SPRING BEAUTY CT FOREST EDGE SEC NO 1 LOT 22"</f>
        <v>SPRING BEAUTY CT FOREST EDGE SEC NO 1 LOT 22</v>
      </c>
      <c r="D4599" s="1">
        <v>459.99</v>
      </c>
    </row>
    <row r="4600" spans="1:4" x14ac:dyDescent="0.3">
      <c r="A4600" s="1" t="str">
        <f>"04001151900"</f>
        <v>04001151900</v>
      </c>
      <c r="B4600" s="1" t="str">
        <f>"GALE JENNIFER L"</f>
        <v>GALE JENNIFER L</v>
      </c>
      <c r="C4600" s="1" t="str">
        <f>"LANDINGS AT QUAIL CREEK CONDOMINIUM 1ST AMD BLDG 25 UNIT 25-2491"</f>
        <v>LANDINGS AT QUAIL CREEK CONDOMINIUM 1ST AMD BLDG 25 UNIT 25-2491</v>
      </c>
      <c r="D4600" s="1">
        <v>2256.0500000000002</v>
      </c>
    </row>
    <row r="4601" spans="1:4" x14ac:dyDescent="0.3">
      <c r="A4601" s="1" t="str">
        <f>"01003099800"</f>
        <v>01003099800</v>
      </c>
      <c r="B4601" s="1" t="str">
        <f>"GALE RYAN"</f>
        <v>GALE RYAN</v>
      </c>
      <c r="C4601" s="1" t="str">
        <f>"379-97 WASHINGTON         ENGLISH &amp; MARTIN          LOT 6-7                  "</f>
        <v xml:space="preserve">379-97 WASHINGTON         ENGLISH &amp; MARTIN          LOT 6-7                  </v>
      </c>
      <c r="D4601" s="1">
        <v>2555.92</v>
      </c>
    </row>
    <row r="4602" spans="1:4" x14ac:dyDescent="0.3">
      <c r="A4602" s="1" t="str">
        <f>"03000274100"</f>
        <v>03000274100</v>
      </c>
      <c r="B4602" s="1" t="str">
        <f>"GALLAGHER MICHAEL J"</f>
        <v>GALLAGHER MICHAEL J</v>
      </c>
      <c r="C4602" s="1" t="str">
        <f>"1000 URLIN AVE SUMMIT CHASE CONDO UNIT 1810"</f>
        <v>1000 URLIN AVE SUMMIT CHASE CONDO UNIT 1810</v>
      </c>
      <c r="D4602" s="1">
        <v>260.19</v>
      </c>
    </row>
    <row r="4603" spans="1:4" x14ac:dyDescent="0.3">
      <c r="A4603" s="1" t="str">
        <f>"22200121200"</f>
        <v>22200121200</v>
      </c>
      <c r="B4603" s="1" t="str">
        <f>"GALLAGHER PATRICK G, GALLAGHER ALLYSON"</f>
        <v>GALLAGHER PATRICK G, GALLAGHER ALLYSON</v>
      </c>
      <c r="C4603" s="1" t="str">
        <f>"7552 ALPATH RD NEW ALBANY COUNTRY CLUB SEC 6 LOT 48"</f>
        <v>7552 ALPATH RD NEW ALBANY COUNTRY CLUB SEC 6 LOT 48</v>
      </c>
      <c r="D4603" s="1">
        <v>8032.11</v>
      </c>
    </row>
    <row r="4604" spans="1:4" x14ac:dyDescent="0.3">
      <c r="A4604" s="1" t="str">
        <f>"23000084400"</f>
        <v>23000084400</v>
      </c>
      <c r="B4604" s="1" t="str">
        <f>"GALLAGHER TIMOTHY M, GALLAGHER TRACI L"</f>
        <v>GALLAGHER TIMOTHY M, GALLAGHER TRACI L</v>
      </c>
      <c r="C4604" s="1" t="str">
        <f>"LONDON &amp; LOCKBOURNE RD ENTRY 978 5.013 ACRES"</f>
        <v>LONDON &amp; LOCKBOURNE RD ENTRY 978 5.013 ACRES</v>
      </c>
      <c r="D4604" s="1">
        <v>831.96</v>
      </c>
    </row>
    <row r="4605" spans="1:4" x14ac:dyDescent="0.3">
      <c r="A4605" s="1" t="str">
        <f>"27300575800"</f>
        <v>27300575800</v>
      </c>
      <c r="B4605" s="1" t="str">
        <f>"GALLANT JEAN"</f>
        <v>GALLANT JEAN</v>
      </c>
      <c r="C4605" s="1" t="str">
        <f>"THE VILLAGE AT TUTTLE CROSSING CONDO UNIT R-5857"</f>
        <v>THE VILLAGE AT TUTTLE CROSSING CONDO UNIT R-5857</v>
      </c>
      <c r="D4605" s="1">
        <v>2505.86</v>
      </c>
    </row>
    <row r="4606" spans="1:4" x14ac:dyDescent="0.3">
      <c r="A4606" s="1" t="str">
        <f>"06000062700"</f>
        <v>06000062700</v>
      </c>
      <c r="B4606" s="1" t="str">
        <f>"GALLARDO JOSE G O"</f>
        <v>GALLARDO JOSE G O</v>
      </c>
      <c r="C4606" s="1" t="str">
        <f>"ROSHON AVE BROOKSIDE PARK 2 LOT 203"</f>
        <v>ROSHON AVE BROOKSIDE PARK 2 LOT 203</v>
      </c>
      <c r="D4606" s="1">
        <v>149.82</v>
      </c>
    </row>
    <row r="4607" spans="1:4" x14ac:dyDescent="0.3">
      <c r="A4607" s="1" t="str">
        <f>"06000119400"</f>
        <v>06000119400</v>
      </c>
      <c r="B4607" s="1" t="str">
        <f>"GALLARDO JOSE, GUADALUPE ONATE, ESTRADA LAURA"</f>
        <v>GALLARDO JOSE, GUADALUPE ONATE, ESTRADA LAURA</v>
      </c>
      <c r="C4607" s="1" t="str">
        <f>"1.019 ACRE R21 T12 S13 1/4S19 "</f>
        <v xml:space="preserve">1.019 ACRE R21 T12 S13 1/4S19 </v>
      </c>
      <c r="D4607" s="1">
        <v>1278.4000000000001</v>
      </c>
    </row>
    <row r="4608" spans="1:4" x14ac:dyDescent="0.3">
      <c r="A4608" s="1" t="str">
        <f>"56018966500"</f>
        <v>56018966500</v>
      </c>
      <c r="B4608" s="1" t="str">
        <f>"GALLAWAY MICHAEL S, GALLAWAY GUINIVERE S"</f>
        <v>GALLAWAY MICHAEL S, GALLAWAY GUINIVERE S</v>
      </c>
      <c r="C4608" s="1" t="str">
        <f>"SILVERADO DR GOLFVIEW WOODS SEC 6 LOT 317"</f>
        <v>SILVERADO DR GOLFVIEW WOODS SEC 6 LOT 317</v>
      </c>
      <c r="D4608" s="1">
        <v>636.54</v>
      </c>
    </row>
    <row r="4609" spans="1:4" x14ac:dyDescent="0.3">
      <c r="A4609" s="1" t="str">
        <f>"53014873400"</f>
        <v>53014873400</v>
      </c>
      <c r="B4609" s="1" t="str">
        <f>"GALLICK JOHN"</f>
        <v>GALLICK JOHN</v>
      </c>
      <c r="C4609" s="1" t="str">
        <f>"COLUMBS&amp;LANCASTER RD .9009 ACRE R21 T11 S6"</f>
        <v>COLUMBS&amp;LANCASTER RD .9009 ACRE R21 T11 S6</v>
      </c>
      <c r="D4609" s="1">
        <v>385.56</v>
      </c>
    </row>
    <row r="4610" spans="1:4" x14ac:dyDescent="0.3">
      <c r="A4610" s="1" t="str">
        <f>"01010146500"</f>
        <v>01010146500</v>
      </c>
      <c r="B4610" s="1" t="str">
        <f>"GALLICK JOHN"</f>
        <v>GALLICK JOHN</v>
      </c>
      <c r="C4610" s="1" t="str">
        <f>"BERWICK MANOR RES A 0.808 AC EX 12X22FT"</f>
        <v>BERWICK MANOR RES A 0.808 AC EX 12X22FT</v>
      </c>
      <c r="D4610" s="1">
        <v>3380.28</v>
      </c>
    </row>
    <row r="4611" spans="1:4" x14ac:dyDescent="0.3">
      <c r="A4611" s="1" t="str">
        <f>"01018961100"</f>
        <v>01018961100</v>
      </c>
      <c r="B4611" s="1" t="str">
        <f>"GALLICK JOHN J"</f>
        <v>GALLICK JOHN J</v>
      </c>
      <c r="C4611" s="1" t="str">
        <f>"MACSWAY AVENUE R21 T12 S28 1/2S50 1.627 ACRES"</f>
        <v>MACSWAY AVENUE R21 T12 S28 1/2S50 1.627 ACRES</v>
      </c>
      <c r="D4611" s="1">
        <v>7000.85</v>
      </c>
    </row>
    <row r="4612" spans="1:4" x14ac:dyDescent="0.3">
      <c r="A4612" s="1" t="str">
        <f>"51527113500"</f>
        <v>51527113500</v>
      </c>
      <c r="B4612" s="1" t="str">
        <f>"GALLION DALE"</f>
        <v>GALLION DALE</v>
      </c>
      <c r="C4612" s="1" t="str">
        <f>"DORCHESTER GREEN          CONDOMINIUM               BLDG 5 UNIT 5-B          "</f>
        <v xml:space="preserve">DORCHESTER GREEN          CONDOMINIUM               BLDG 5 UNIT 5-B          </v>
      </c>
      <c r="D4612" s="1">
        <v>187.13</v>
      </c>
    </row>
    <row r="4613" spans="1:4" x14ac:dyDescent="0.3">
      <c r="A4613" s="1" t="str">
        <f>"02500611700"</f>
        <v>02500611700</v>
      </c>
      <c r="B4613" s="1" t="str">
        <f>"GALLO GUY L"</f>
        <v>GALLO GUY L</v>
      </c>
      <c r="C4613" s="1" t="str">
        <f>"206 RUGBY LANE IMPERIAL RISE PLAT#4 LOT 293"</f>
        <v>206 RUGBY LANE IMPERIAL RISE PLAT#4 LOT 293</v>
      </c>
      <c r="D4613" s="1">
        <v>411.63</v>
      </c>
    </row>
    <row r="4614" spans="1:4" x14ac:dyDescent="0.3">
      <c r="A4614" s="1" t="str">
        <f>"05000562600"</f>
        <v>05000562600</v>
      </c>
      <c r="B4614" s="1" t="str">
        <f>"GALLO LAURENCE P, MACDONALD CHERYL A"</f>
        <v>GALLO LAURENCE P, MACDONALD CHERYL A</v>
      </c>
      <c r="C4614" s="1" t="str">
        <f>"BOATHOUSE LANE RIVER LANDINGS SEC 4 LOT 295"</f>
        <v>BOATHOUSE LANE RIVER LANDINGS SEC 4 LOT 295</v>
      </c>
      <c r="D4614" s="1">
        <v>482.99</v>
      </c>
    </row>
    <row r="4615" spans="1:4" x14ac:dyDescent="0.3">
      <c r="A4615" s="1" t="str">
        <f>"59022760200"</f>
        <v>59022760200</v>
      </c>
      <c r="B4615" s="1" t="str">
        <f>"GALLO NICK"</f>
        <v>GALLO NICK</v>
      </c>
      <c r="C4615" s="1" t="str">
        <f>"5322 RESTON PARK DR LAKES AT BETHEL PARK CONDO BLDG2 UNIT5322"</f>
        <v>5322 RESTON PARK DR LAKES AT BETHEL PARK CONDO BLDG2 UNIT5322</v>
      </c>
      <c r="D4615" s="1">
        <v>5462.64</v>
      </c>
    </row>
    <row r="4616" spans="1:4" x14ac:dyDescent="0.3">
      <c r="A4616" s="1" t="str">
        <f>"21300255900"</f>
        <v>21300255900</v>
      </c>
      <c r="B4616" s="1" t="str">
        <f>"GALLOGLY DENNIS L, GALLOGLY SUSAN M"</f>
        <v>GALLOGLY DENNIS L, GALLOGLY SUSAN M</v>
      </c>
      <c r="C4616" s="1" t="str">
        <f>"CIRCLE ON THE GREEN WRTHTN HILLS 4 RESUB LTS662-694INCL L 747"</f>
        <v>CIRCLE ON THE GREEN WRTHTN HILLS 4 RESUB LTS662-694INCL L 747</v>
      </c>
      <c r="D4616" s="1">
        <v>851.4</v>
      </c>
    </row>
    <row r="4617" spans="1:4" x14ac:dyDescent="0.3">
      <c r="A4617" s="1" t="str">
        <f>"15000219400"</f>
        <v>15000219400</v>
      </c>
      <c r="B4617" s="1" t="str">
        <f>"GALLOWAY KEITH, JENNINGS RODNEY, JENNINGS ROBERT JR"</f>
        <v>GALLOWAY KEITH, JENNINGS RODNEY, JENNINGS ROBERT JR</v>
      </c>
      <c r="C4617" s="1" t="str">
        <f>"EDGEVIEW RD HAMILTON MEADOWS #5 LOT RES A .024 ACR"</f>
        <v>EDGEVIEW RD HAMILTON MEADOWS #5 LOT RES A .024 ACR</v>
      </c>
      <c r="D4617" s="1">
        <v>42.97</v>
      </c>
    </row>
    <row r="4618" spans="1:4" x14ac:dyDescent="0.3">
      <c r="A4618" s="1" t="str">
        <f>"01000741000"</f>
        <v>01000741000</v>
      </c>
      <c r="B4618" s="1" t="str">
        <f>"GALVAN ROBERTO"</f>
        <v>GALVAN ROBERTO</v>
      </c>
      <c r="C4618" s="1" t="str">
        <f>"295 SO HARRIS WICKLOW EXT LOT 666"</f>
        <v>295 SO HARRIS WICKLOW EXT LOT 666</v>
      </c>
      <c r="D4618" s="1">
        <v>1984.18</v>
      </c>
    </row>
    <row r="4619" spans="1:4" x14ac:dyDescent="0.3">
      <c r="A4619" s="1" t="str">
        <f>"08000922900"</f>
        <v>08000922900</v>
      </c>
      <c r="B4619" s="1" t="str">
        <f>"GALVAO ANTONIO"</f>
        <v>GALVAO ANTONIO</v>
      </c>
      <c r="C4619" s="1" t="str">
        <f>"COOPER RD ACRES 1.75 R17 T2 1-4T 2 3 "</f>
        <v xml:space="preserve">COOPER RD ACRES 1.75 R17 T2 1-4T 2 3 </v>
      </c>
      <c r="D4619" s="1">
        <v>3003.9</v>
      </c>
    </row>
    <row r="4620" spans="1:4" x14ac:dyDescent="0.3">
      <c r="A4620" s="1" t="str">
        <f>"59019247700"</f>
        <v>59019247700</v>
      </c>
      <c r="B4620" s="1" t="str">
        <f>"GAMES DAVID ALAN"</f>
        <v>GAMES DAVID ALAN</v>
      </c>
      <c r="C4620" s="1" t="str">
        <f>"GRANGE HILL PLC RIVERSIDE GREEN SO 7 LOT 237"</f>
        <v>GRANGE HILL PLC RIVERSIDE GREEN SO 7 LOT 237</v>
      </c>
      <c r="D4620" s="1">
        <v>351.59</v>
      </c>
    </row>
    <row r="4621" spans="1:4" x14ac:dyDescent="0.3">
      <c r="A4621" s="1" t="str">
        <f>"13000332900"</f>
        <v>13000332900</v>
      </c>
      <c r="B4621" s="1" t="str">
        <f>"GAMINO MARTHA"</f>
        <v>GAMINO MARTHA</v>
      </c>
      <c r="C4621" s="1" t="str">
        <f>"SALE RD 50FT ES NO LINDEN 1 282 "</f>
        <v xml:space="preserve">SALE RD 50FT ES NO LINDEN 1 282 </v>
      </c>
      <c r="D4621" s="1">
        <v>3361.26</v>
      </c>
    </row>
    <row r="4622" spans="1:4" x14ac:dyDescent="0.3">
      <c r="A4622" s="1" t="str">
        <f>"01010326600"</f>
        <v>01010326600</v>
      </c>
      <c r="B4622" s="1" t="str">
        <f>"GAMINO SANCHEZ JOSE M, DE GAMINO HERMINA SAMANO"</f>
        <v>GAMINO SANCHEZ JOSE M, DE GAMINO HERMINA SAMANO</v>
      </c>
      <c r="C4622" s="1" t="str">
        <f>"R18 T1 1/4T 1 .494 AC "</f>
        <v xml:space="preserve">R18 T1 1/4T 1 .494 AC </v>
      </c>
      <c r="D4622" s="1">
        <v>3328.83</v>
      </c>
    </row>
    <row r="4623" spans="1:4" x14ac:dyDescent="0.3">
      <c r="A4623" s="1" t="str">
        <f>"02000080900"</f>
        <v>02000080900</v>
      </c>
      <c r="B4623" s="1" t="str">
        <f>"GAMMAGE ROBERT R, GAMMAGE RHONDA J"</f>
        <v>GAMMAGE ROBERT R, GAMMAGE RHONDA J</v>
      </c>
      <c r="C4623" s="1" t="str">
        <f>"65 N ROOSEVELT AVE BULLITT PARK EAST PT LOTS 52-53"</f>
        <v>65 N ROOSEVELT AVE BULLITT PARK EAST PT LOTS 52-53</v>
      </c>
      <c r="D4623" s="1">
        <v>5275.43</v>
      </c>
    </row>
    <row r="4624" spans="1:4" x14ac:dyDescent="0.3">
      <c r="A4624" s="1" t="str">
        <f>"05000568500"</f>
        <v>05000568500</v>
      </c>
      <c r="B4624" s="1" t="str">
        <f>"GANDEE STEVEN R TR, GANDEE NANCY K TR"</f>
        <v>GANDEE STEVEN R TR, GANDEE NANCY K TR</v>
      </c>
      <c r="C4624" s="1" t="str">
        <f>"LAGOON DRIVE RIVER LANDINGS SEC 4 LOT 354"</f>
        <v>LAGOON DRIVE RIVER LANDINGS SEC 4 LOT 354</v>
      </c>
      <c r="D4624" s="1">
        <v>574.75</v>
      </c>
    </row>
    <row r="4625" spans="1:4" x14ac:dyDescent="0.3">
      <c r="A4625" s="1" t="str">
        <f>"01007317200"</f>
        <v>01007317200</v>
      </c>
      <c r="B4625" s="1" t="str">
        <f>"GANDY JERRY"</f>
        <v>GANDY JERRY</v>
      </c>
      <c r="C4625" s="1" t="str">
        <f>"20TH AVE RICHMOND LOT 87-88"</f>
        <v>20TH AVE RICHMOND LOT 87-88</v>
      </c>
      <c r="D4625" s="1">
        <v>474.14</v>
      </c>
    </row>
    <row r="4626" spans="1:4" x14ac:dyDescent="0.3">
      <c r="A4626" s="1" t="str">
        <f>"01002254600"</f>
        <v>01002254600</v>
      </c>
      <c r="B4626" s="1" t="str">
        <f>"GANNON THOMAS"</f>
        <v>GANNON THOMAS</v>
      </c>
      <c r="C4626" s="1" t="str">
        <f>"1095-1097 FAIR AVE HOFFMAN &amp; SELIG LOT 11"</f>
        <v>1095-1097 FAIR AVE HOFFMAN &amp; SELIG LOT 11</v>
      </c>
      <c r="D4626" s="1">
        <v>4695.8599999999997</v>
      </c>
    </row>
    <row r="4627" spans="1:4" x14ac:dyDescent="0.3">
      <c r="A4627" s="1" t="str">
        <f>"26300239400"</f>
        <v>26300239400</v>
      </c>
      <c r="B4627" s="1" t="str">
        <f>"GANTNER JOHN A"</f>
        <v>GANTNER JOHN A</v>
      </c>
      <c r="C4627" s="1" t="str">
        <f>"RADEBAUGH RD R20 T16 S1-6 1/4S1-6 75 FT W S LOT 10"</f>
        <v>RADEBAUGH RD R20 T16 S1-6 1/4S1-6 75 FT W S LOT 10</v>
      </c>
      <c r="D4627" s="1">
        <v>523.35</v>
      </c>
    </row>
    <row r="4628" spans="1:4" x14ac:dyDescent="0.3">
      <c r="A4628" s="1" t="str">
        <f>"26300108000"</f>
        <v>26300108000</v>
      </c>
      <c r="B4628" s="1" t="str">
        <f>"GANTNER JOHN A"</f>
        <v>GANTNER JOHN A</v>
      </c>
      <c r="C4628" s="1" t="str">
        <f>"RODEBAUGH RD PT LOT 10 FLOYD GOOD SUB"</f>
        <v>RODEBAUGH RD PT LOT 10 FLOYD GOOD SUB</v>
      </c>
      <c r="D4628" s="1">
        <v>1913.62</v>
      </c>
    </row>
    <row r="4629" spans="1:4" x14ac:dyDescent="0.3">
      <c r="A4629" s="1" t="str">
        <f>"01004661700"</f>
        <v>01004661700</v>
      </c>
      <c r="B4629" s="1" t="str">
        <f>"GANTT TAZ, WENTWORTH MISTY"</f>
        <v>GANTT TAZ, WENTWORTH MISTY</v>
      </c>
      <c r="C4629" s="1" t="str">
        <f>"782 NORTHVIEW AVE ALL LOT 15 PT 16 NORTH BEXLEY VIEW"</f>
        <v>782 NORTHVIEW AVE ALL LOT 15 PT 16 NORTH BEXLEY VIEW</v>
      </c>
      <c r="D4629" s="1">
        <v>1558.16</v>
      </c>
    </row>
    <row r="4630" spans="1:4" x14ac:dyDescent="0.3">
      <c r="A4630" s="1" t="str">
        <f>"07001276400"</f>
        <v>07001276400</v>
      </c>
      <c r="B4630" s="1" t="str">
        <f>"GAO FENGXIA, WANG MENGYUAN"</f>
        <v>GAO FENGXIA, WANG MENGYUAN</v>
      </c>
      <c r="C4630" s="1" t="str">
        <f>"BRANFORD VLGE COND PHASE III BLDG 8 UNIT 36"</f>
        <v>BRANFORD VLGE COND PHASE III BLDG 8 UNIT 36</v>
      </c>
      <c r="D4630" s="1">
        <v>2019.18</v>
      </c>
    </row>
    <row r="4631" spans="1:4" x14ac:dyDescent="0.3">
      <c r="A4631" s="1" t="str">
        <f>"59021877700"</f>
        <v>59021877700</v>
      </c>
      <c r="B4631" s="1" t="str">
        <f>"GAOUA ZOUBIR, CHELBI FARIDA"</f>
        <v>GAOUA ZOUBIR, CHELBI FARIDA</v>
      </c>
      <c r="C4631" s="1" t="str">
        <f>"3897 OAKBRIDGE LANE NORTHBRIDGE VILLAGE CONDO 5AMD UNIT 25-2"</f>
        <v>3897 OAKBRIDGE LANE NORTHBRIDGE VILLAGE CONDO 5AMD UNIT 25-2</v>
      </c>
      <c r="D4631" s="1">
        <v>227.4</v>
      </c>
    </row>
    <row r="4632" spans="1:4" x14ac:dyDescent="0.3">
      <c r="A4632" s="1" t="str">
        <f>"01012639900"</f>
        <v>01012639900</v>
      </c>
      <c r="B4632" s="1" t="str">
        <f>"GARBAR LLC"</f>
        <v>GARBAR LLC</v>
      </c>
      <c r="C4632" s="1" t="str">
        <f>"LEA CREST LOT 8 "</f>
        <v xml:space="preserve">LEA CREST LOT 8 </v>
      </c>
      <c r="D4632" s="1">
        <v>327.07</v>
      </c>
    </row>
    <row r="4633" spans="1:4" x14ac:dyDescent="0.3">
      <c r="A4633" s="1" t="str">
        <f>"01012646100"</f>
        <v>01012646100</v>
      </c>
      <c r="B4633" s="1" t="str">
        <f>"GARBAR LLC"</f>
        <v>GARBAR LLC</v>
      </c>
      <c r="C4633" s="1" t="str">
        <f>"TAYLOR AVE LEA CREST LOT 72"</f>
        <v>TAYLOR AVE LEA CREST LOT 72</v>
      </c>
      <c r="D4633" s="1">
        <v>295.72000000000003</v>
      </c>
    </row>
    <row r="4634" spans="1:4" x14ac:dyDescent="0.3">
      <c r="A4634" s="1" t="str">
        <f>"01012646200"</f>
        <v>01012646200</v>
      </c>
      <c r="B4634" s="1" t="str">
        <f>"GARBAR LLC"</f>
        <v>GARBAR LLC</v>
      </c>
      <c r="C4634" s="1" t="str">
        <f>"TAYLOR AVE LEA CREST LOT 73"</f>
        <v>TAYLOR AVE LEA CREST LOT 73</v>
      </c>
      <c r="D4634" s="1">
        <v>288.31</v>
      </c>
    </row>
    <row r="4635" spans="1:4" x14ac:dyDescent="0.3">
      <c r="A4635" s="1" t="str">
        <f>"01012646600"</f>
        <v>01012646600</v>
      </c>
      <c r="B4635" s="1" t="str">
        <f>"GARBAR LLC"</f>
        <v>GARBAR LLC</v>
      </c>
      <c r="C4635" s="1" t="str">
        <f>"PARKWOOD AVE LEA CREST LOT 76"</f>
        <v>PARKWOOD AVE LEA CREST LOT 76</v>
      </c>
      <c r="D4635" s="1">
        <v>297.32</v>
      </c>
    </row>
    <row r="4636" spans="1:4" x14ac:dyDescent="0.3">
      <c r="A4636" s="1" t="str">
        <f>"01012646700"</f>
        <v>01012646700</v>
      </c>
      <c r="B4636" s="1" t="str">
        <f>"GARBAR LLC"</f>
        <v>GARBAR LLC</v>
      </c>
      <c r="C4636" s="1" t="str">
        <f>"PARKWOOD AVE LEA CREST LOT 77"</f>
        <v>PARKWOOD AVE LEA CREST LOT 77</v>
      </c>
      <c r="D4636" s="1">
        <v>293.62</v>
      </c>
    </row>
    <row r="4637" spans="1:4" x14ac:dyDescent="0.3">
      <c r="A4637" s="1" t="str">
        <f>"01012646800"</f>
        <v>01012646800</v>
      </c>
      <c r="B4637" s="1" t="str">
        <f>"GARBAR LLC"</f>
        <v>GARBAR LLC</v>
      </c>
      <c r="C4637" s="1" t="str">
        <f>"PARKWOOD AVE LEA CREST LOT 78"</f>
        <v>PARKWOOD AVE LEA CREST LOT 78</v>
      </c>
      <c r="D4637" s="1">
        <v>293.62</v>
      </c>
    </row>
    <row r="4638" spans="1:4" x14ac:dyDescent="0.3">
      <c r="A4638" s="1" t="str">
        <f>"01001263100"</f>
        <v>01001263100</v>
      </c>
      <c r="B4638" s="1" t="str">
        <f>"GARCIA ADELA ALDERETE"</f>
        <v>GARCIA ADELA ALDERETE</v>
      </c>
      <c r="C4638" s="1" t="str">
        <f>"2391 LOUDEN AVE OAKLEY LOT 129"</f>
        <v>2391 LOUDEN AVE OAKLEY LOT 129</v>
      </c>
      <c r="D4638" s="1">
        <v>60.04</v>
      </c>
    </row>
    <row r="4639" spans="1:4" x14ac:dyDescent="0.3">
      <c r="A4639" s="1" t="str">
        <f>"59021679800"</f>
        <v>59021679800</v>
      </c>
      <c r="B4639" s="1" t="str">
        <f>"GARCIA CARLOS A"</f>
        <v>GARCIA CARLOS A</v>
      </c>
      <c r="C4639" s="1" t="str">
        <f>"TROTTERS CHASE            CONDOMINIUM               BLDG 22     "</f>
        <v xml:space="preserve">TROTTERS CHASE            CONDOMINIUM               BLDG 22     </v>
      </c>
      <c r="D4639" s="1">
        <v>2447.9699999999998</v>
      </c>
    </row>
    <row r="4640" spans="1:4" x14ac:dyDescent="0.3">
      <c r="A4640" s="1" t="str">
        <f>"24000688600"</f>
        <v>24000688600</v>
      </c>
      <c r="B4640" s="1" t="str">
        <f>"GARCIA CATALAN TTEE MANUEL ANTONIO"</f>
        <v>GARCIA CATALAN TTEE MANUEL ANTONIO</v>
      </c>
      <c r="C4640" s="1" t="str">
        <f>"LENNOX AVE LITTLE FARMS 72' EL, 72' WL LOT 122 &amp; SS PT LOT 121"</f>
        <v>LENNOX AVE LITTLE FARMS 72' EL, 72' WL LOT 122 &amp; SS PT LOT 121</v>
      </c>
      <c r="D4640" s="1">
        <v>2652.87</v>
      </c>
    </row>
    <row r="4641" spans="1:4" x14ac:dyDescent="0.3">
      <c r="A4641" s="1" t="str">
        <f>"01006095700"</f>
        <v>01006095700</v>
      </c>
      <c r="B4641" s="1" t="str">
        <f>"GARCIA HERNANDEZ VANESSA"</f>
        <v>GARCIA HERNANDEZ VANESSA</v>
      </c>
      <c r="C4641" s="1" t="str">
        <f>"513 S WARREN AVE WICKLOW LOT 375"</f>
        <v>513 S WARREN AVE WICKLOW LOT 375</v>
      </c>
      <c r="D4641" s="1">
        <v>1744.16</v>
      </c>
    </row>
    <row r="4642" spans="1:4" x14ac:dyDescent="0.3">
      <c r="A4642" s="1" t="str">
        <f>"09000588600"</f>
        <v>09000588600</v>
      </c>
      <c r="B4642" s="1" t="str">
        <f>"GARCIA LEONEL, HUERTA JUANA GARCIA"</f>
        <v>GARCIA LEONEL, HUERTA JUANA GARCIA</v>
      </c>
      <c r="C4642" s="1" t="str">
        <f>"3836 ELBERN AVE LOWRIE BROS SUB PT LOTS 220 &amp; 221"</f>
        <v>3836 ELBERN AVE LOWRIE BROS SUB PT LOTS 220 &amp; 221</v>
      </c>
      <c r="D4642" s="1">
        <v>1924.7</v>
      </c>
    </row>
    <row r="4643" spans="1:4" x14ac:dyDescent="0.3">
      <c r="A4643" s="1" t="str">
        <f>"57021153800"</f>
        <v>57021153800</v>
      </c>
      <c r="B4643" s="1" t="str">
        <f>"GARCIA MARCIA"</f>
        <v>GARCIA MARCIA</v>
      </c>
      <c r="C4643" s="1" t="str">
        <f>"CHERRY CREEK SECTION 8 LOT 422"</f>
        <v>CHERRY CREEK SECTION 8 LOT 422</v>
      </c>
      <c r="D4643" s="1">
        <v>1480.64</v>
      </c>
    </row>
    <row r="4644" spans="1:4" x14ac:dyDescent="0.3">
      <c r="A4644" s="1" t="str">
        <f>"01002038000"</f>
        <v>01002038000</v>
      </c>
      <c r="B4644" s="1" t="str">
        <f>"GARCIA MIGUEL"</f>
        <v>GARCIA MIGUEL</v>
      </c>
      <c r="C4644" s="1" t="str">
        <f>"280 S HAGUE AVE WICKLOW EXT LOT 777"</f>
        <v>280 S HAGUE AVE WICKLOW EXT LOT 777</v>
      </c>
      <c r="D4644" s="1">
        <v>3378.26</v>
      </c>
    </row>
    <row r="4645" spans="1:4" x14ac:dyDescent="0.3">
      <c r="A4645" s="1" t="str">
        <f>"01000787900"</f>
        <v>01000787900</v>
      </c>
      <c r="B4645" s="1" t="str">
        <f>"GARCIA MIGUEL A"</f>
        <v>GARCIA MIGUEL A</v>
      </c>
      <c r="C4645" s="1" t="str">
        <f>"482 HAGUE AVE S WICKLOW EXT ADD LOT 823-824"</f>
        <v>482 HAGUE AVE S WICKLOW EXT ADD LOT 823-824</v>
      </c>
      <c r="D4645" s="1">
        <v>2397.7800000000002</v>
      </c>
    </row>
    <row r="4646" spans="1:4" x14ac:dyDescent="0.3">
      <c r="A4646" s="1" t="str">
        <f>"01001075000"</f>
        <v>01001075000</v>
      </c>
      <c r="B4646" s="1" t="str">
        <f>"GARCIA MIGUEL A"</f>
        <v>GARCIA MIGUEL A</v>
      </c>
      <c r="C4646" s="1" t="str">
        <f>"276 S HAGUE WICKLOW EXT LOT 776"</f>
        <v>276 S HAGUE WICKLOW EXT LOT 776</v>
      </c>
      <c r="D4646" s="1">
        <v>2313.4299999999998</v>
      </c>
    </row>
    <row r="4647" spans="1:4" x14ac:dyDescent="0.3">
      <c r="A4647" s="1" t="str">
        <f>"57014984000"</f>
        <v>57014984000</v>
      </c>
      <c r="B4647" s="1" t="str">
        <f>"GARCIA MIGUEL A, GARCIA NELIDA G"</f>
        <v>GARCIA MIGUEL A, GARCIA NELIDA G</v>
      </c>
      <c r="C4647" s="1" t="str">
        <f>"VAUXHALL DR WESTSHIRE ESTATES LOT 39"</f>
        <v>VAUXHALL DR WESTSHIRE ESTATES LOT 39</v>
      </c>
      <c r="D4647" s="1">
        <v>2758.88</v>
      </c>
    </row>
    <row r="4648" spans="1:4" x14ac:dyDescent="0.3">
      <c r="A4648" s="1" t="str">
        <f>"01000379700"</f>
        <v>01000379700</v>
      </c>
      <c r="B4648" s="1" t="str">
        <f>"GARCIA MIGUEL, GARCIA NELIDA G"</f>
        <v>GARCIA MIGUEL, GARCIA NELIDA G</v>
      </c>
      <c r="C4648" s="1" t="str">
        <f>"486 S HAGUE AVE WICKLOW EXT LOT 825"</f>
        <v>486 S HAGUE AVE WICKLOW EXT LOT 825</v>
      </c>
      <c r="D4648" s="1">
        <v>1892.33</v>
      </c>
    </row>
    <row r="4649" spans="1:4" x14ac:dyDescent="0.3">
      <c r="A4649" s="1" t="str">
        <f>"01013899400"</f>
        <v>01013899400</v>
      </c>
      <c r="B4649" s="1" t="str">
        <f>"GARCIA ORLANDO"</f>
        <v>GARCIA ORLANDO</v>
      </c>
      <c r="C4649" s="1" t="str">
        <f>"KARL MEADOWS 2 LOT 294 "</f>
        <v xml:space="preserve">KARL MEADOWS 2 LOT 294 </v>
      </c>
      <c r="D4649" s="1">
        <v>3470.75</v>
      </c>
    </row>
    <row r="4650" spans="1:4" x14ac:dyDescent="0.3">
      <c r="A4650" s="1" t="str">
        <f>"01000862300"</f>
        <v>01000862300</v>
      </c>
      <c r="B4650" s="1" t="str">
        <f>"GARCIA PEREZ ANA"</f>
        <v>GARCIA PEREZ ANA</v>
      </c>
      <c r="C4650" s="1" t="str">
        <f>"1237 SULLIVANT AVE MONETTS CENTRAL AVE LOT 180"</f>
        <v>1237 SULLIVANT AVE MONETTS CENTRAL AVE LOT 180</v>
      </c>
      <c r="D4650" s="1">
        <v>88.25</v>
      </c>
    </row>
    <row r="4651" spans="1:4" x14ac:dyDescent="0.3">
      <c r="A4651" s="1" t="str">
        <f>"01009866000"</f>
        <v>01009866000</v>
      </c>
      <c r="B4651" s="1" t="str">
        <f>"GARCIA PEREZ JOSE BENIGNO"</f>
        <v>GARCIA PEREZ JOSE BENIGNO</v>
      </c>
      <c r="C4651" s="1" t="str">
        <f>"26TH AVE DUXBERRY PARK LOT 10-11"</f>
        <v>26TH AVE DUXBERRY PARK LOT 10-11</v>
      </c>
      <c r="D4651" s="1">
        <v>46.94</v>
      </c>
    </row>
    <row r="4652" spans="1:4" x14ac:dyDescent="0.3">
      <c r="A4652" s="1" t="str">
        <f>"23000280900"</f>
        <v>23000280900</v>
      </c>
      <c r="B4652" s="1" t="str">
        <f>"GARCIA PLACENCIA RAFAEL, GARCIA RACHEL"</f>
        <v>GARCIA PLACENCIA RAFAEL, GARCIA RACHEL</v>
      </c>
      <c r="C4652" s="1" t="str">
        <f>"REIBEL RD 2.640 ACRES INC .172 AC IN R/W"</f>
        <v>REIBEL RD 2.640 ACRES INC .172 AC IN R/W</v>
      </c>
      <c r="D4652" s="1">
        <v>4916.1099999999997</v>
      </c>
    </row>
    <row r="4653" spans="1:4" x14ac:dyDescent="0.3">
      <c r="A4653" s="1" t="str">
        <f>"20000184900"</f>
        <v>20000184900</v>
      </c>
      <c r="B4653" s="1" t="str">
        <f>"GARCIA ROBERT DAVID, GARCIA JANET"</f>
        <v>GARCIA ROBERT DAVID, GARCIA JANET</v>
      </c>
      <c r="C4653" s="1" t="str">
        <f>"3596 SMILEY ROAD ENTRY 547 0.599 ACRE"</f>
        <v>3596 SMILEY ROAD ENTRY 547 0.599 ACRE</v>
      </c>
      <c r="D4653" s="1">
        <v>1979.55</v>
      </c>
    </row>
    <row r="4654" spans="1:4" x14ac:dyDescent="0.3">
      <c r="A4654" s="1" t="str">
        <f>"01013329700"</f>
        <v>01013329700</v>
      </c>
      <c r="B4654" s="1" t="str">
        <f>"GARCIA RODRIQUEZ JIMMY ANDREW"</f>
        <v>GARCIA RODRIQUEZ JIMMY ANDREW</v>
      </c>
      <c r="C4654" s="1" t="str">
        <f>"MAJESTIC DR E WALNUT-BIXBY ESTATES LOT 31"</f>
        <v>MAJESTIC DR E WALNUT-BIXBY ESTATES LOT 31</v>
      </c>
      <c r="D4654" s="1">
        <v>3219.3</v>
      </c>
    </row>
    <row r="4655" spans="1:4" x14ac:dyDescent="0.3">
      <c r="A4655" s="1" t="str">
        <f>"01013744800"</f>
        <v>01013744800</v>
      </c>
      <c r="B4655" s="1" t="str">
        <f>"GARDEN CLUB PROJECT"</f>
        <v>GARDEN CLUB PROJECT</v>
      </c>
      <c r="C4655" s="1" t="str">
        <f>"PARSONS AVE ACRE S 1.031 T22 T4 S15"</f>
        <v>PARSONS AVE ACRE S 1.031 T22 T4 S15</v>
      </c>
      <c r="D4655" s="1">
        <v>1654.8</v>
      </c>
    </row>
    <row r="4656" spans="1:4" x14ac:dyDescent="0.3">
      <c r="A4656" s="1" t="str">
        <f>"04001058000"</f>
        <v>04001058000</v>
      </c>
      <c r="B4656" s="1" t="str">
        <f>"GARDENIA PROPERTIES LLC"</f>
        <v>GARDENIA PROPERTIES LLC</v>
      </c>
      <c r="C4656" s="1" t="str">
        <f>"HAUGHN RD OQ 1000 ENTRY 1434 5.248 ACRES"</f>
        <v>HAUGHN RD OQ 1000 ENTRY 1434 5.248 ACRES</v>
      </c>
      <c r="D4656" s="1">
        <v>15983.55</v>
      </c>
    </row>
    <row r="4657" spans="1:4" x14ac:dyDescent="0.3">
      <c r="A4657" s="1" t="str">
        <f>"16000163400"</f>
        <v>16000163400</v>
      </c>
      <c r="B4657" s="1" t="str">
        <f>"GARDINER PATRICK M, GARDINER TIFFANY ANN"</f>
        <v>GARDINER PATRICK M, GARDINER TIFFANY ANN</v>
      </c>
      <c r="C4657" s="1" t="str">
        <f>"LONDON GROVEPORT RD SOUTHWEST ACRES 1 LOT 1"</f>
        <v>LONDON GROVEPORT RD SOUTHWEST ACRES 1 LOT 1</v>
      </c>
      <c r="D4657" s="1">
        <v>575.03</v>
      </c>
    </row>
    <row r="4658" spans="1:4" x14ac:dyDescent="0.3">
      <c r="A4658" s="1" t="str">
        <f>"01028304000"</f>
        <v>01028304000</v>
      </c>
      <c r="B4658" s="1" t="str">
        <f>"GARDNER GLEN F TTEE"</f>
        <v>GARDNER GLEN F TTEE</v>
      </c>
      <c r="C4658" s="1" t="str">
        <f>"COBBLESTONE AT THE PRESERVE CONDOMINIUM 6TH AMD UNIT 27-6276"</f>
        <v>COBBLESTONE AT THE PRESERVE CONDOMINIUM 6TH AMD UNIT 27-6276</v>
      </c>
      <c r="D4658" s="1">
        <v>2176.54</v>
      </c>
    </row>
    <row r="4659" spans="1:4" x14ac:dyDescent="0.3">
      <c r="A4659" s="1" t="str">
        <f>"01012638300"</f>
        <v>01012638300</v>
      </c>
      <c r="B4659" s="1" t="str">
        <f>"GARDNER JAMES S"</f>
        <v>GARDNER JAMES S</v>
      </c>
      <c r="C4659" s="1" t="str">
        <f>"SAMPSON AVE AMERICAN LOT 146"</f>
        <v>SAMPSON AVE AMERICAN LOT 146</v>
      </c>
      <c r="D4659" s="1">
        <v>6.07</v>
      </c>
    </row>
    <row r="4660" spans="1:4" x14ac:dyDescent="0.3">
      <c r="A4660" s="1" t="str">
        <f>"01012638400"</f>
        <v>01012638400</v>
      </c>
      <c r="B4660" s="1" t="str">
        <f>"GARDNER JAMES S"</f>
        <v>GARDNER JAMES S</v>
      </c>
      <c r="C4660" s="1" t="str">
        <f>"SAMPSON AVE AMERICAN LOT 147"</f>
        <v>SAMPSON AVE AMERICAN LOT 147</v>
      </c>
      <c r="D4660" s="1">
        <v>6.07</v>
      </c>
    </row>
    <row r="4661" spans="1:4" x14ac:dyDescent="0.3">
      <c r="A4661" s="1" t="str">
        <f>"01009364600"</f>
        <v>01009364600</v>
      </c>
      <c r="B4661" s="1" t="str">
        <f>"GARDNER RONALD, GARDNER SHIRREA L"</f>
        <v>GARDNER RONALD, GARDNER SHIRREA L</v>
      </c>
      <c r="C4661" s="1" t="str">
        <f>"52FT NS LIV-MOOR HTS SUB 3 LOT 132"</f>
        <v>52FT NS LIV-MOOR HTS SUB 3 LOT 132</v>
      </c>
      <c r="D4661" s="1">
        <v>3311.92</v>
      </c>
    </row>
    <row r="4662" spans="1:4" x14ac:dyDescent="0.3">
      <c r="A4662" s="1" t="str">
        <f>"01010709500"</f>
        <v>01010709500</v>
      </c>
      <c r="B4662" s="1" t="str">
        <f>"GARDNER WILLIAM D"</f>
        <v>GARDNER WILLIAM D</v>
      </c>
      <c r="C4662" s="1" t="str">
        <f>"OAKLAWN ST KENMORE KNOLLS 2 LOT 22"</f>
        <v>OAKLAWN ST KENMORE KNOLLS 2 LOT 22</v>
      </c>
      <c r="D4662" s="1">
        <v>1364.29</v>
      </c>
    </row>
    <row r="4663" spans="1:4" x14ac:dyDescent="0.3">
      <c r="A4663" s="1" t="str">
        <f>"01010076200"</f>
        <v>01010076200</v>
      </c>
      <c r="B4663" s="1" t="str">
        <f>"GARDNER-JONES CARLA"</f>
        <v>GARDNER-JONES CARLA</v>
      </c>
      <c r="C4663" s="1" t="str">
        <f>"GARDENDALE DR SEE DUP FOR DESC TEAKWOOD HTS"</f>
        <v>GARDENDALE DR SEE DUP FOR DESC TEAKWOOD HTS</v>
      </c>
      <c r="D4663" s="1">
        <v>13.26</v>
      </c>
    </row>
    <row r="4664" spans="1:4" x14ac:dyDescent="0.3">
      <c r="A4664" s="1" t="str">
        <f>"27300785500"</f>
        <v>27300785500</v>
      </c>
      <c r="B4664" s="1" t="str">
        <f>"GARG MANISH, GARG AARTI"</f>
        <v>GARG MANISH, GARG AARTI</v>
      </c>
      <c r="C4664" s="1" t="str">
        <f>"MUIRLOCH COURT SOUTH MUIRFIELD VILLAGE PHASE 45 LOT 2204"</f>
        <v>MUIRLOCH COURT SOUTH MUIRFIELD VILLAGE PHASE 45 LOT 2204</v>
      </c>
      <c r="D4664" s="1">
        <v>716.83</v>
      </c>
    </row>
    <row r="4665" spans="1:4" x14ac:dyDescent="0.3">
      <c r="A4665" s="1" t="str">
        <f>"01010485000"</f>
        <v>01010485000</v>
      </c>
      <c r="B4665" s="1" t="str">
        <f>"GARLAND LISA R"</f>
        <v>GARLAND LISA R</v>
      </c>
      <c r="C4665" s="1" t="str">
        <f>"MINERVA AVE CHASELAND MANOR LOT 73"</f>
        <v>MINERVA AVE CHASELAND MANOR LOT 73</v>
      </c>
      <c r="D4665" s="1">
        <v>1201.8</v>
      </c>
    </row>
    <row r="4666" spans="1:4" x14ac:dyDescent="0.3">
      <c r="A4666" s="1" t="str">
        <f>"01007632400"</f>
        <v>01007632400</v>
      </c>
      <c r="B4666" s="1" t="str">
        <f>"GARLAND VICTOR C, GARLAND JAMES O"</f>
        <v>GARLAND VICTOR C, GARLAND JAMES O</v>
      </c>
      <c r="C4666" s="1" t="str">
        <f>"19TH AVE HIGHLAND PLACE LOT 54"</f>
        <v>19TH AVE HIGHLAND PLACE LOT 54</v>
      </c>
      <c r="D4666" s="1">
        <v>1754.36</v>
      </c>
    </row>
    <row r="4667" spans="1:4" x14ac:dyDescent="0.3">
      <c r="A4667" s="1" t="str">
        <f>"01002839700"</f>
        <v>01002839700</v>
      </c>
      <c r="B4667" s="1" t="str">
        <f>"GARLINGTON DEAUNA TR"</f>
        <v>GARLINGTON DEAUNA TR</v>
      </c>
      <c r="C4667" s="1" t="str">
        <f>"254 S OAKLEY ARLINGTON LOT 104"</f>
        <v>254 S OAKLEY ARLINGTON LOT 104</v>
      </c>
      <c r="D4667" s="1">
        <v>890.92</v>
      </c>
    </row>
    <row r="4668" spans="1:4" x14ac:dyDescent="0.3">
      <c r="A4668" s="1" t="str">
        <f>"02500400300"</f>
        <v>02500400300</v>
      </c>
      <c r="B4668" s="1" t="str">
        <f>"GARMAN LUCAS J"</f>
        <v>GARMAN LUCAS J</v>
      </c>
      <c r="C4668" s="1" t="str">
        <f>"650 HAVENS CORNERS R HAVENS CORNERS RD 7.AC 16-1-2 L PT 4-5"</f>
        <v>650 HAVENS CORNERS R HAVENS CORNERS RD 7.AC 16-1-2 L PT 4-5</v>
      </c>
      <c r="D4668" s="1">
        <v>13002.99</v>
      </c>
    </row>
    <row r="4669" spans="1:4" x14ac:dyDescent="0.3">
      <c r="A4669" s="1" t="str">
        <f>"02000187100"</f>
        <v>02000187100</v>
      </c>
      <c r="B4669" s="1" t="str">
        <f>"GARNER JAMES L, GARNER DONNA M"</f>
        <v>GARNER JAMES L, GARNER DONNA M</v>
      </c>
      <c r="C4669" s="1" t="str">
        <f>"2687 COLUMBUS AVE BELLWOOD LOT 610"</f>
        <v>2687 COLUMBUS AVE BELLWOOD LOT 610</v>
      </c>
      <c r="D4669" s="1">
        <v>32.78</v>
      </c>
    </row>
    <row r="4670" spans="1:4" x14ac:dyDescent="0.3">
      <c r="A4670" s="1" t="str">
        <f>"02000054200"</f>
        <v>02000054200</v>
      </c>
      <c r="B4670" s="1" t="str">
        <f>"GARNER JAMES L, GARNER DONNA M"</f>
        <v>GARNER JAMES L, GARNER DONNA M</v>
      </c>
      <c r="C4670" s="1" t="str">
        <f>"00000 COLUMBUS AVE BELLWOOD LOT 609"</f>
        <v>00000 COLUMBUS AVE BELLWOOD LOT 609</v>
      </c>
      <c r="D4670" s="1">
        <v>6.17</v>
      </c>
    </row>
    <row r="4671" spans="1:4" x14ac:dyDescent="0.3">
      <c r="A4671" s="1" t="str">
        <f>"23000256300"</f>
        <v>23000256300</v>
      </c>
      <c r="B4671" s="1" t="str">
        <f>"GARNER JASON T JR"</f>
        <v>GARNER JASON T JR</v>
      </c>
      <c r="C4671" s="1" t="str">
        <f>"NORTON ROAD ENTRY 6309-6582 0.455 ACRE"</f>
        <v>NORTON ROAD ENTRY 6309-6582 0.455 ACRE</v>
      </c>
      <c r="D4671" s="1">
        <v>984.71</v>
      </c>
    </row>
    <row r="4672" spans="1:4" x14ac:dyDescent="0.3">
      <c r="A4672" s="1" t="str">
        <f>"01007442300"</f>
        <v>01007442300</v>
      </c>
      <c r="B4672" s="1" t="str">
        <f>"GARNER JOY A"</f>
        <v>GARNER JOY A</v>
      </c>
      <c r="C4672" s="1" t="str">
        <f>"OSCELOA AVE ALMADA LOT 140"</f>
        <v>OSCELOA AVE ALMADA LOT 140</v>
      </c>
      <c r="D4672" s="1">
        <v>1772.58</v>
      </c>
    </row>
    <row r="4673" spans="1:4" x14ac:dyDescent="0.3">
      <c r="A4673" s="1" t="str">
        <f>"01013740000"</f>
        <v>01013740000</v>
      </c>
      <c r="B4673" s="1" t="str">
        <f>"GARNES DAVONN MARQUICE, HAWKINS SHAWNMEKA FOUCHE"</f>
        <v>GARNES DAVONN MARQUICE, HAWKINS SHAWNMEKA FOUCHE</v>
      </c>
      <c r="C4673" s="1" t="str">
        <f>"LOUIS DR INNIS GARDENS 4 LOT 62"</f>
        <v>LOUIS DR INNIS GARDENS 4 LOT 62</v>
      </c>
      <c r="D4673" s="1">
        <v>6116.87</v>
      </c>
    </row>
    <row r="4674" spans="1:4" x14ac:dyDescent="0.3">
      <c r="A4674" s="1" t="str">
        <f>"01007492600"</f>
        <v>01007492600</v>
      </c>
      <c r="B4674" s="1" t="str">
        <f>"GARNETT ANGELA"</f>
        <v>GARNETT ANGELA</v>
      </c>
      <c r="C4674" s="1" t="str">
        <f>"LEXINGTON AVE GRASMERE GARDENS LOT 160"</f>
        <v>LEXINGTON AVE GRASMERE GARDENS LOT 160</v>
      </c>
      <c r="D4674" s="1">
        <v>534.63</v>
      </c>
    </row>
    <row r="4675" spans="1:4" x14ac:dyDescent="0.3">
      <c r="A4675" s="1" t="str">
        <f>"19000079000"</f>
        <v>19000079000</v>
      </c>
      <c r="B4675" s="1" t="str">
        <f>"GARRABRANT HARVEY E"</f>
        <v>GARRABRANT HARVEY E</v>
      </c>
      <c r="C4675" s="1" t="str">
        <f>"BAUGHMAN AVE E LINDEN 4TH LOT 106 E LINDEN 5TH &amp; 6TH"</f>
        <v>BAUGHMAN AVE E LINDEN 4TH LOT 106 E LINDEN 5TH &amp; 6TH</v>
      </c>
      <c r="D4675" s="1">
        <v>4633.1000000000004</v>
      </c>
    </row>
    <row r="4676" spans="1:4" x14ac:dyDescent="0.3">
      <c r="A4676" s="1" t="str">
        <f>"19000156100"</f>
        <v>19000156100</v>
      </c>
      <c r="B4676" s="1" t="str">
        <f>"GARRABRANT HARVEY E"</f>
        <v>GARRABRANT HARVEY E</v>
      </c>
      <c r="C4676" s="1" t="str">
        <f>"BAUGHMAN AVE E LINDEN 5TH LOT 110 E LINDEN 5TH &amp; 6TH"</f>
        <v>BAUGHMAN AVE E LINDEN 5TH LOT 110 E LINDEN 5TH &amp; 6TH</v>
      </c>
      <c r="D4676" s="1">
        <v>930.19</v>
      </c>
    </row>
    <row r="4677" spans="1:4" x14ac:dyDescent="0.3">
      <c r="A4677" s="1" t="str">
        <f>"01010507800"</f>
        <v>01010507800</v>
      </c>
      <c r="B4677" s="1" t="str">
        <f>"GARRARD WILLIAM KEITH"</f>
        <v>GARRARD WILLIAM KEITH</v>
      </c>
      <c r="C4677" s="1" t="str">
        <f>"EISENHOWER RD CHASELAND MANOR LOT 301"</f>
        <v>EISENHOWER RD CHASELAND MANOR LOT 301</v>
      </c>
      <c r="D4677" s="1">
        <v>206.64</v>
      </c>
    </row>
    <row r="4678" spans="1:4" x14ac:dyDescent="0.3">
      <c r="A4678" s="1" t="str">
        <f>"24000629900"</f>
        <v>24000629900</v>
      </c>
      <c r="B4678" s="1" t="str">
        <f>"GARRETT ERIC L"</f>
        <v>GARRETT ERIC L</v>
      </c>
      <c r="C4678" s="1" t="str">
        <f>"SILVERBELL AVE RESUB LK DARBY EST 4 LOT 1630"</f>
        <v>SILVERBELL AVE RESUB LK DARBY EST 4 LOT 1630</v>
      </c>
      <c r="D4678" s="1">
        <v>126.94</v>
      </c>
    </row>
    <row r="4679" spans="1:4" x14ac:dyDescent="0.3">
      <c r="A4679" s="1" t="str">
        <f>"01018192800"</f>
        <v>01018192800</v>
      </c>
      <c r="B4679" s="1" t="str">
        <f>"GARRISON QUINCEY"</f>
        <v>GARRISON QUINCEY</v>
      </c>
      <c r="C4679" s="1" t="str">
        <f>"CHELSEA PLACE CONDO BLDG 6 UNIT 31 "</f>
        <v xml:space="preserve">CHELSEA PLACE CONDO BLDG 6 UNIT 31 </v>
      </c>
      <c r="D4679" s="1">
        <v>172.62</v>
      </c>
    </row>
    <row r="4680" spans="1:4" x14ac:dyDescent="0.3">
      <c r="A4680" s="1" t="str">
        <f>"07000445700"</f>
        <v>07000445700</v>
      </c>
      <c r="B4680" s="1" t="str">
        <f>"GARTIN PAMELA P"</f>
        <v>GARTIN PAMELA P</v>
      </c>
      <c r="C4680" s="1" t="str">
        <f>"DONCASTER RD CANTERBURY PL EXT 3 7 BLK 273"</f>
        <v>DONCASTER RD CANTERBURY PL EXT 3 7 BLK 273</v>
      </c>
      <c r="D4680" s="1">
        <v>1138.8900000000001</v>
      </c>
    </row>
    <row r="4681" spans="1:4" x14ac:dyDescent="0.3">
      <c r="A4681" s="1" t="str">
        <f>"27300050800"</f>
        <v>27300050800</v>
      </c>
      <c r="B4681" s="1" t="str">
        <f>"GARVIN PHILIP D TR"</f>
        <v>GARVIN PHILIP D TR</v>
      </c>
      <c r="C4681" s="1" t="str">
        <f>"ASHFORD ROAD RIVER FOREST LOT 57"</f>
        <v>ASHFORD ROAD RIVER FOREST LOT 57</v>
      </c>
      <c r="D4681" s="1">
        <v>16978.900000000001</v>
      </c>
    </row>
    <row r="4682" spans="1:4" x14ac:dyDescent="0.3">
      <c r="A4682" s="1" t="str">
        <f>"01008029500"</f>
        <v>01008029500</v>
      </c>
      <c r="B4682" s="1" t="str">
        <f>"GARY L V"</f>
        <v>GARY L V</v>
      </c>
      <c r="C4682" s="1" t="str">
        <f>"FAIRWOOD AVE LENOX LOT 70"</f>
        <v>FAIRWOOD AVE LENOX LOT 70</v>
      </c>
      <c r="D4682" s="1">
        <v>98.57</v>
      </c>
    </row>
    <row r="4683" spans="1:4" x14ac:dyDescent="0.3">
      <c r="A4683" s="1" t="str">
        <f>"57016981100"</f>
        <v>57016981100</v>
      </c>
      <c r="B4683" s="1" t="str">
        <f>"GARZA ARGELIA"</f>
        <v>GARZA ARGELIA</v>
      </c>
      <c r="C4683" s="1" t="str">
        <f>"WESTBURY VILLAGE CONDOMINIUM 4 UNIT 5-B"</f>
        <v>WESTBURY VILLAGE CONDOMINIUM 4 UNIT 5-B</v>
      </c>
      <c r="D4683" s="1">
        <v>756.06</v>
      </c>
    </row>
    <row r="4684" spans="1:4" x14ac:dyDescent="0.3">
      <c r="A4684" s="1" t="str">
        <f>"01015379600"</f>
        <v>01015379600</v>
      </c>
      <c r="B4684" s="1" t="str">
        <f>"GASBARRO DAVID A, GASBARRO PATRICIA A"</f>
        <v>GASBARRO DAVID A, GASBARRO PATRICIA A</v>
      </c>
      <c r="C4684" s="1" t="str">
        <f>"MEANDER DR SKYWAE HTS SEC 4 LOT 174"</f>
        <v>MEANDER DR SKYWAE HTS SEC 4 LOT 174</v>
      </c>
      <c r="D4684" s="1">
        <v>4724.3900000000003</v>
      </c>
    </row>
    <row r="4685" spans="1:4" x14ac:dyDescent="0.3">
      <c r="A4685" s="1" t="str">
        <f>"23000244200"</f>
        <v>23000244200</v>
      </c>
      <c r="B4685" s="1" t="str">
        <f>"GASPAR JULIAN"</f>
        <v>GASPAR JULIAN</v>
      </c>
      <c r="C4685" s="1" t="str">
        <f>"C STREET COVERED BRIDGE 109 "</f>
        <v xml:space="preserve">C STREET COVERED BRIDGE 109 </v>
      </c>
      <c r="D4685" s="1">
        <v>810.44</v>
      </c>
    </row>
    <row r="4686" spans="1:4" x14ac:dyDescent="0.3">
      <c r="A4686" s="1" t="str">
        <f>"23000244300"</f>
        <v>23000244300</v>
      </c>
      <c r="B4686" s="1" t="str">
        <f>"GASPAR JULIAN"</f>
        <v>GASPAR JULIAN</v>
      </c>
      <c r="C4686" s="1" t="str">
        <f>"C STREET COVERED BRIDGE 110 "</f>
        <v xml:space="preserve">C STREET COVERED BRIDGE 110 </v>
      </c>
      <c r="D4686" s="1">
        <v>3263.18</v>
      </c>
    </row>
    <row r="4687" spans="1:4" x14ac:dyDescent="0.3">
      <c r="A4687" s="1" t="str">
        <f>"01010956700"</f>
        <v>01010956700</v>
      </c>
      <c r="B4687" s="1" t="str">
        <f>"GASPARI-FOLEY DANIELA"</f>
        <v>GASPARI-FOLEY DANIELA</v>
      </c>
      <c r="C4687" s="1" t="str">
        <f>"LINCOLN AVE 30FT E S LOT 99 &amp; LOT 99-100"</f>
        <v>LINCOLN AVE 30FT E S LOT 99 &amp; LOT 99-100</v>
      </c>
      <c r="D4687" s="1">
        <v>203.71</v>
      </c>
    </row>
    <row r="4688" spans="1:4" x14ac:dyDescent="0.3">
      <c r="A4688" s="1" t="str">
        <f>"10000183900"</f>
        <v>10000183900</v>
      </c>
      <c r="B4688" s="1" t="str">
        <f>"GASTON KRIS D"</f>
        <v>GASTON KRIS D</v>
      </c>
      <c r="C4688" s="1" t="str">
        <f>"199 LAKE RIDGE RD COLONIAL HILLS LT154 EX 6FT OFF ES &amp; ALLY"</f>
        <v>199 LAKE RIDGE RD COLONIAL HILLS LT154 EX 6FT OFF ES &amp; ALLY</v>
      </c>
      <c r="D4688" s="1">
        <v>430.87</v>
      </c>
    </row>
    <row r="4689" spans="1:4" x14ac:dyDescent="0.3">
      <c r="A4689" s="1" t="str">
        <f>"01019571200"</f>
        <v>01019571200</v>
      </c>
      <c r="B4689" s="1" t="str">
        <f>"GASTON PAUL, GASTON JULIANE"</f>
        <v>GASTON PAUL, GASTON JULIANE</v>
      </c>
      <c r="C4689" s="1" t="str">
        <f>"1203B LAKE SHORE DR HIDDEN LAKE CONDO 5 UNIT 268 BLDG 18"</f>
        <v>1203B LAKE SHORE DR HIDDEN LAKE CONDO 5 UNIT 268 BLDG 18</v>
      </c>
      <c r="D4689" s="1">
        <v>258.27</v>
      </c>
    </row>
    <row r="4690" spans="1:4" x14ac:dyDescent="0.3">
      <c r="A4690" s="1" t="str">
        <f>"01005973500"</f>
        <v>01005973500</v>
      </c>
      <c r="B4690" s="1" t="str">
        <f>"GATES DAVID L, SWEARENGIN ELENA A"</f>
        <v>GATES DAVID L, SWEARENGIN ELENA A</v>
      </c>
      <c r="C4690" s="1" t="str">
        <f>"LINDEN LOT 82 "</f>
        <v xml:space="preserve">LINDEN LOT 82 </v>
      </c>
      <c r="D4690" s="1">
        <v>4746.79</v>
      </c>
    </row>
    <row r="4691" spans="1:4" x14ac:dyDescent="0.3">
      <c r="A4691" s="1" t="str">
        <f>"01013828400"</f>
        <v>01013828400</v>
      </c>
      <c r="B4691" s="1" t="str">
        <f>"GATES GREGORY D, GATES TIFFANY M"</f>
        <v>GATES GREGORY D, GATES TIFFANY M</v>
      </c>
      <c r="C4691" s="1" t="str">
        <f>"AMBER COURT GLENBROOK SEC 2 LOT 200"</f>
        <v>AMBER COURT GLENBROOK SEC 2 LOT 200</v>
      </c>
      <c r="D4691" s="1">
        <v>1577.05</v>
      </c>
    </row>
    <row r="4692" spans="1:4" x14ac:dyDescent="0.3">
      <c r="A4692" s="1" t="str">
        <f>"20000185100"</f>
        <v>20000185100</v>
      </c>
      <c r="B4692" s="1" t="str">
        <f>"GATES JEFFREY A, GATES ANGELA"</f>
        <v>GATES JEFFREY A, GATES ANGELA</v>
      </c>
      <c r="C4692" s="1" t="str">
        <f>"4160 SATURN RD STRATFORD SUBD 3 LOT 1"</f>
        <v>4160 SATURN RD STRATFORD SUBD 3 LOT 1</v>
      </c>
      <c r="D4692" s="1">
        <v>346.07</v>
      </c>
    </row>
    <row r="4693" spans="1:4" x14ac:dyDescent="0.3">
      <c r="A4693" s="1" t="str">
        <f>"01002512800"</f>
        <v>01002512800</v>
      </c>
      <c r="B4693" s="1" t="str">
        <f>"GATES TOWNEER"</f>
        <v>GATES TOWNEER</v>
      </c>
      <c r="C4693" s="1" t="str">
        <f>"FLORAL AVE GLENWOOD HTS LOT 151"</f>
        <v>FLORAL AVE GLENWOOD HTS LOT 151</v>
      </c>
      <c r="D4693" s="1">
        <v>631.74</v>
      </c>
    </row>
    <row r="4694" spans="1:4" x14ac:dyDescent="0.3">
      <c r="A4694" s="1" t="str">
        <f>"01020596100"</f>
        <v>01020596100</v>
      </c>
      <c r="B4694" s="1" t="str">
        <f>"GATEWAY EDUCATION COMPANY LLC"</f>
        <v>GATEWAY EDUCATION COMPANY LLC</v>
      </c>
      <c r="C4694" s="1" t="str">
        <f>"NOE-BIXBY ROAD WALNUT COURT SUB LOT 1 (IRR LOT SIZE)"</f>
        <v>NOE-BIXBY ROAD WALNUT COURT SUB LOT 1 (IRR LOT SIZE)</v>
      </c>
      <c r="D4694" s="1">
        <v>78.03</v>
      </c>
    </row>
    <row r="4695" spans="1:4" x14ac:dyDescent="0.3">
      <c r="A4695" s="1" t="str">
        <f>"01020596200"</f>
        <v>01020596200</v>
      </c>
      <c r="B4695" s="1" t="str">
        <f>"GATEWAY EDUCATION COMPANY LLC"</f>
        <v>GATEWAY EDUCATION COMPANY LLC</v>
      </c>
      <c r="C4695" s="1" t="str">
        <f>"NOE-BIXBY ROAD WALNUT COURT SUB LOT 2 (IRR LOT SIZE)"</f>
        <v>NOE-BIXBY ROAD WALNUT COURT SUB LOT 2 (IRR LOT SIZE)</v>
      </c>
      <c r="D4695" s="1">
        <v>78.03</v>
      </c>
    </row>
    <row r="4696" spans="1:4" x14ac:dyDescent="0.3">
      <c r="A4696" s="1" t="str">
        <f>"01020596300"</f>
        <v>01020596300</v>
      </c>
      <c r="B4696" s="1" t="str">
        <f>"GATEWAY EDUCATION COMPANY LLC"</f>
        <v>GATEWAY EDUCATION COMPANY LLC</v>
      </c>
      <c r="C4696" s="1" t="str">
        <f>"NOE-BIXBY ROAD WALNUT COURT SUB LOT 3 (IRR LOT SIZE)"</f>
        <v>NOE-BIXBY ROAD WALNUT COURT SUB LOT 3 (IRR LOT SIZE)</v>
      </c>
      <c r="D4696" s="1">
        <v>78.03</v>
      </c>
    </row>
    <row r="4697" spans="1:4" x14ac:dyDescent="0.3">
      <c r="A4697" s="1" t="str">
        <f>"01020596400"</f>
        <v>01020596400</v>
      </c>
      <c r="B4697" s="1" t="str">
        <f>"GATEWAY EDUCATION COMPANY LLC"</f>
        <v>GATEWAY EDUCATION COMPANY LLC</v>
      </c>
      <c r="C4697" s="1" t="str">
        <f>"NOE-BIXBY ROAD WALNUT COURT SUB LOT 4 (IRR LOT SIZE)"</f>
        <v>NOE-BIXBY ROAD WALNUT COURT SUB LOT 4 (IRR LOT SIZE)</v>
      </c>
      <c r="D4697" s="1">
        <v>78.03</v>
      </c>
    </row>
    <row r="4698" spans="1:4" x14ac:dyDescent="0.3">
      <c r="A4698" s="1" t="str">
        <f>"01020596500"</f>
        <v>01020596500</v>
      </c>
      <c r="B4698" s="1" t="str">
        <f>"GATEWAY EDUCATION COMPANY LLC"</f>
        <v>GATEWAY EDUCATION COMPANY LLC</v>
      </c>
      <c r="C4698" s="1" t="str">
        <f>"NOE-BIXBY ROAD WALNUT COURT SUB LOT 5 (IRR LOT SIZE)"</f>
        <v>NOE-BIXBY ROAD WALNUT COURT SUB LOT 5 (IRR LOT SIZE)</v>
      </c>
      <c r="D4698" s="1">
        <v>78.03</v>
      </c>
    </row>
    <row r="4699" spans="1:4" x14ac:dyDescent="0.3">
      <c r="A4699" s="1" t="str">
        <f>"01020596600"</f>
        <v>01020596600</v>
      </c>
      <c r="B4699" s="1" t="str">
        <f>"GATEWAY EDUCATION COMPANY LLC"</f>
        <v>GATEWAY EDUCATION COMPANY LLC</v>
      </c>
      <c r="C4699" s="1" t="str">
        <f>"NOE-BIXBY ROAD WALNUT COURT SUB LOT 6 (IRR LOT SIZE)"</f>
        <v>NOE-BIXBY ROAD WALNUT COURT SUB LOT 6 (IRR LOT SIZE)</v>
      </c>
      <c r="D4699" s="1">
        <v>78.03</v>
      </c>
    </row>
    <row r="4700" spans="1:4" x14ac:dyDescent="0.3">
      <c r="A4700" s="1" t="str">
        <f>"14000583100"</f>
        <v>14000583100</v>
      </c>
      <c r="B4700" s="1" t="str">
        <f>"GATLIFF DAVID S, GATLIFF LINDA B"</f>
        <v>GATLIFF DAVID S, GATLIFF LINDA B</v>
      </c>
      <c r="C4700" s="1" t="str">
        <f>"1701 MARSDALE AVE WESTBROOK LOT 231 "</f>
        <v xml:space="preserve">1701 MARSDALE AVE WESTBROOK LOT 231 </v>
      </c>
      <c r="D4700" s="1">
        <v>1568.96</v>
      </c>
    </row>
    <row r="4701" spans="1:4" x14ac:dyDescent="0.3">
      <c r="A4701" s="1" t="str">
        <f>"01009015500"</f>
        <v>01009015500</v>
      </c>
      <c r="B4701" s="1" t="str">
        <f>"GATMAITAN PROPERTIES LLC"</f>
        <v>GATMAITAN PROPERTIES LLC</v>
      </c>
      <c r="C4701" s="1" t="str">
        <f>"MAIN ST&amp;BROOKSIDE DR KENSINGTON GDNS LOT 86"</f>
        <v>MAIN ST&amp;BROOKSIDE DR KENSINGTON GDNS LOT 86</v>
      </c>
      <c r="D4701" s="1">
        <v>7346.29</v>
      </c>
    </row>
    <row r="4702" spans="1:4" x14ac:dyDescent="0.3">
      <c r="A4702" s="1" t="str">
        <f>"56029424800"</f>
        <v>56029424800</v>
      </c>
      <c r="B4702" s="1" t="str">
        <f>"GATOR 25 LLC"</f>
        <v>GATOR 25 LLC</v>
      </c>
      <c r="C4702" s="1" t="str">
        <f>"WB MILL RUN CONDOMINIUM UNIT 3 (SEE NOTES)"</f>
        <v>WB MILL RUN CONDOMINIUM UNIT 3 (SEE NOTES)</v>
      </c>
      <c r="D4702" s="1">
        <v>38513.96</v>
      </c>
    </row>
    <row r="4703" spans="1:4" x14ac:dyDescent="0.3">
      <c r="A4703" s="1" t="str">
        <f>"56022898800"</f>
        <v>56022898800</v>
      </c>
      <c r="B4703" s="1" t="str">
        <f>"GATTON ANDREW D, GATTON ADAM M, GATTON MARK D, GATTON SUSAN L"</f>
        <v>GATTON ANDREW D, GATTON ADAM M, GATTON MARK D, GATTON SUSAN L</v>
      </c>
      <c r="C4703" s="1" t="str">
        <f>"HILLIARD VILLAGE CONDOMINIUM 16TH AMD UNIT 81E"</f>
        <v>HILLIARD VILLAGE CONDOMINIUM 16TH AMD UNIT 81E</v>
      </c>
      <c r="D4703" s="1">
        <v>4632.33</v>
      </c>
    </row>
    <row r="4704" spans="1:4" x14ac:dyDescent="0.3">
      <c r="A4704" s="1" t="str">
        <f>"06000015800"</f>
        <v>06000015800</v>
      </c>
      <c r="B4704" s="1" t="str">
        <f>"GAUTAM HOMES LLC"</f>
        <v>GAUTAM HOMES LLC</v>
      </c>
      <c r="C4704" s="1" t="str">
        <f>"E MAIN STREET LOTS 62-64 &amp; SS TRACT EX 0.017 AC NS"</f>
        <v>E MAIN STREET LOTS 62-64 &amp; SS TRACT EX 0.017 AC NS</v>
      </c>
      <c r="D4704" s="1">
        <v>23522.27</v>
      </c>
    </row>
    <row r="4705" spans="1:4" x14ac:dyDescent="0.3">
      <c r="A4705" s="1" t="str">
        <f>"61020550700"</f>
        <v>61020550700</v>
      </c>
      <c r="B4705" s="1" t="str">
        <f>"GAVER ALANE"</f>
        <v>GAVER ALANE</v>
      </c>
      <c r="C4705" s="1" t="str">
        <f>"WORTHINGTON HEIGHTS CONDO 2ND AMD UNIT 163"</f>
        <v>WORTHINGTON HEIGHTS CONDO 2ND AMD UNIT 163</v>
      </c>
      <c r="D4705" s="1">
        <v>6180.55</v>
      </c>
    </row>
    <row r="4706" spans="1:4" x14ac:dyDescent="0.3">
      <c r="A4706" s="1" t="str">
        <f>"01026954300"</f>
        <v>01026954300</v>
      </c>
      <c r="B4706" s="1" t="str">
        <f>"GAVIN JESSE"</f>
        <v>GAVIN JESSE</v>
      </c>
      <c r="C4706" s="1" t="str">
        <f>"PRAIRIEFIRE AVENUE THE WILLOWS AT PRESERVE CROSSING  LOT 66"</f>
        <v>PRAIRIEFIRE AVENUE THE WILLOWS AT PRESERVE CROSSING  LOT 66</v>
      </c>
      <c r="D4706" s="1">
        <v>4342.25</v>
      </c>
    </row>
    <row r="4707" spans="1:4" x14ac:dyDescent="0.3">
      <c r="A4707" s="1" t="str">
        <f>"01008998000"</f>
        <v>01008998000</v>
      </c>
      <c r="B4707" s="1" t="str">
        <f>"GAY ELIZABETH A"</f>
        <v>GAY ELIZABETH A</v>
      </c>
      <c r="C4707" s="1" t="str">
        <f>"BROADLEIGH EAST 32FT NS LT23&amp;12FT SS 24"</f>
        <v>BROADLEIGH EAST 32FT NS LT23&amp;12FT SS 24</v>
      </c>
      <c r="D4707" s="1">
        <v>445.3</v>
      </c>
    </row>
    <row r="4708" spans="1:4" x14ac:dyDescent="0.3">
      <c r="A4708" s="1" t="str">
        <f>"01012520300"</f>
        <v>01012520300</v>
      </c>
      <c r="B4708" s="1" t="str">
        <f>"GAY MICHAEL, GAY SHARON"</f>
        <v>GAY MICHAEL, GAY SHARON</v>
      </c>
      <c r="C4708" s="1" t="str">
        <f>"FAIRWOOD AVE SOUTHFIELD 2ND LOT 8"</f>
        <v>FAIRWOOD AVE SOUTHFIELD 2ND LOT 8</v>
      </c>
      <c r="D4708" s="1">
        <v>1974.8</v>
      </c>
    </row>
    <row r="4709" spans="1:4" x14ac:dyDescent="0.3">
      <c r="A4709" s="1" t="str">
        <f>"01002287400"</f>
        <v>01002287400</v>
      </c>
      <c r="B4709" s="1" t="str">
        <f>"GAY STREET PROPERTIES LTD"</f>
        <v>GAY STREET PROPERTIES LTD</v>
      </c>
      <c r="C4709" s="1" t="str">
        <f>"SW COR GAY &amp; 3RD ST LOT 457-8 "</f>
        <v xml:space="preserve">SW COR GAY &amp; 3RD ST LOT 457-8 </v>
      </c>
      <c r="D4709" s="1">
        <v>3313.92</v>
      </c>
    </row>
    <row r="4710" spans="1:4" x14ac:dyDescent="0.3">
      <c r="A4710" s="1" t="str">
        <f>"01029168800"</f>
        <v>01029168800</v>
      </c>
      <c r="B4710" s="1" t="str">
        <f>"GAYLORD MICHAEL, GAYLORD PATRICIA"</f>
        <v>GAYLORD MICHAEL, GAYLORD PATRICIA</v>
      </c>
      <c r="C4710" s="1" t="str">
        <f>"GRAND RESERVE AT HAYDENS CROSSING CONDOMINIUM I 20TH AMD UNIT 51"</f>
        <v>GRAND RESERVE AT HAYDENS CROSSING CONDOMINIUM I 20TH AMD UNIT 51</v>
      </c>
      <c r="D4710" s="1">
        <v>2864.23</v>
      </c>
    </row>
    <row r="4711" spans="1:4" x14ac:dyDescent="0.3">
      <c r="A4711" s="1" t="str">
        <f>"16000030100"</f>
        <v>16000030100</v>
      </c>
      <c r="B4711" s="1" t="str">
        <f>"GB"</f>
        <v>GB</v>
      </c>
      <c r="C4711" s="1" t="str">
        <f>"4346 BIG RUN RD S OQ2000 ENTRY1388 3-6 3.116 ACRES"</f>
        <v>4346 BIG RUN RD S OQ2000 ENTRY1388 3-6 3.116 ACRES</v>
      </c>
      <c r="D4711" s="1">
        <v>742.68</v>
      </c>
    </row>
    <row r="4712" spans="1:4" x14ac:dyDescent="0.3">
      <c r="A4712" s="1" t="str">
        <f>"23000181000"</f>
        <v>23000181000</v>
      </c>
      <c r="B4712" s="1" t="str">
        <f>"GBC TTEE, CAMERON NANCY S TTEE"</f>
        <v>GBC TTEE, CAMERON NANCY S TTEE</v>
      </c>
      <c r="C4712" s="1" t="str">
        <f>"6885 HARRISBURG-LONDON RD ENTRY 1466-2595 26.0838 ACRES"</f>
        <v>6885 HARRISBURG-LONDON RD ENTRY 1466-2595 26.0838 ACRES</v>
      </c>
      <c r="D4712" s="1">
        <v>384.26</v>
      </c>
    </row>
    <row r="4713" spans="1:4" x14ac:dyDescent="0.3">
      <c r="A4713" s="1" t="str">
        <f>"01012528800"</f>
        <v>01012528800</v>
      </c>
      <c r="B4713" s="1" t="str">
        <f>"GBS RESTORATION LLC"</f>
        <v>GBS RESTORATION LLC</v>
      </c>
      <c r="C4713" s="1" t="str">
        <f>"BLUEFIELD DR SOUTHFIELD 2ND LOT 93"</f>
        <v>BLUEFIELD DR SOUTHFIELD 2ND LOT 93</v>
      </c>
      <c r="D4713" s="1">
        <v>829.66</v>
      </c>
    </row>
    <row r="4714" spans="1:4" x14ac:dyDescent="0.3">
      <c r="A4714" s="1" t="str">
        <f>"04000005700"</f>
        <v>04000005700</v>
      </c>
      <c r="B4714" s="1" t="str">
        <f>"GC TOWN CENTER LLC"</f>
        <v>GC TOWN CENTER LLC</v>
      </c>
      <c r="C4714" s="1" t="str">
        <f>"MILL ST GANTZ LOT 19"</f>
        <v>MILL ST GANTZ LOT 19</v>
      </c>
      <c r="D4714" s="1">
        <v>367.83</v>
      </c>
    </row>
    <row r="4715" spans="1:4" x14ac:dyDescent="0.3">
      <c r="A4715" s="1" t="str">
        <f>"04000076000"</f>
        <v>04000076000</v>
      </c>
      <c r="B4715" s="1" t="str">
        <f>"GC TOWN CENTER LLC"</f>
        <v>GC TOWN CENTER LLC</v>
      </c>
      <c r="C4715" s="1" t="str">
        <f>"000 MILL STREET GANTZ LOT 21"</f>
        <v>000 MILL STREET GANTZ LOT 21</v>
      </c>
      <c r="D4715" s="1">
        <v>346.31</v>
      </c>
    </row>
    <row r="4716" spans="1:4" x14ac:dyDescent="0.3">
      <c r="A4716" s="1" t="str">
        <f>"04000005600"</f>
        <v>04000005600</v>
      </c>
      <c r="B4716" s="1" t="str">
        <f>"GC TOWN CENTER LLC"</f>
        <v>GC TOWN CENTER LLC</v>
      </c>
      <c r="C4716" s="1" t="str">
        <f>"MILL ST GANTZ LOT 20"</f>
        <v>MILL ST GANTZ LOT 20</v>
      </c>
      <c r="D4716" s="1">
        <v>346.31</v>
      </c>
    </row>
    <row r="4717" spans="1:4" x14ac:dyDescent="0.3">
      <c r="A4717" s="1" t="str">
        <f>"04000076100"</f>
        <v>04000076100</v>
      </c>
      <c r="B4717" s="1" t="str">
        <f>"GC TOWN CENTER LLC"</f>
        <v>GC TOWN CENTER LLC</v>
      </c>
      <c r="C4717" s="1" t="str">
        <f>"3420 MILL STREET GANTZ LOT 22"</f>
        <v>3420 MILL STREET GANTZ LOT 22</v>
      </c>
      <c r="D4717" s="1">
        <v>5407.84</v>
      </c>
    </row>
    <row r="4718" spans="1:4" x14ac:dyDescent="0.3">
      <c r="A4718" s="1" t="str">
        <f>"01009184200"</f>
        <v>01009184200</v>
      </c>
      <c r="B4718" s="1" t="str">
        <f>"GCH HOMES LLC"</f>
        <v>GCH HOMES LLC</v>
      </c>
      <c r="C4718" s="1" t="str">
        <f>"JAMES RD BEXLEY HAVEN LOT 12"</f>
        <v>JAMES RD BEXLEY HAVEN LOT 12</v>
      </c>
      <c r="D4718" s="1">
        <v>136.07</v>
      </c>
    </row>
    <row r="4719" spans="1:4" x14ac:dyDescent="0.3">
      <c r="A4719" s="1" t="str">
        <f>"13000093800"</f>
        <v>13000093800</v>
      </c>
      <c r="B4719" s="1" t="str">
        <f>"GCH5 LLC"</f>
        <v>GCH5 LLC</v>
      </c>
      <c r="C4719" s="1" t="str">
        <f>"1747 AUDREY RD KENMORE KNOLLS LOT 141"</f>
        <v>1747 AUDREY RD KENMORE KNOLLS LOT 141</v>
      </c>
      <c r="D4719" s="1">
        <v>1768.55</v>
      </c>
    </row>
    <row r="4720" spans="1:4" x14ac:dyDescent="0.3">
      <c r="A4720" s="1" t="str">
        <f>"01002507600"</f>
        <v>01002507600</v>
      </c>
      <c r="B4720" s="1" t="str">
        <f>"GCH5 LLC"</f>
        <v>GCH5 LLC</v>
      </c>
      <c r="C4720" s="1" t="str">
        <f>"WELCH AVE LOT 47-46 "</f>
        <v xml:space="preserve">WELCH AVE LOT 47-46 </v>
      </c>
      <c r="D4720" s="1">
        <v>1286.4000000000001</v>
      </c>
    </row>
    <row r="4721" spans="1:4" x14ac:dyDescent="0.3">
      <c r="A4721" s="1" t="str">
        <f>"01012184400"</f>
        <v>01012184400</v>
      </c>
      <c r="B4721" s="1" t="str">
        <f>"GCH5 LLC"</f>
        <v>GCH5 LLC</v>
      </c>
      <c r="C4721" s="1" t="str">
        <f>"1049 WHITETHORNE AVE RAINBOW LOT 133"</f>
        <v>1049 WHITETHORNE AVE RAINBOW LOT 133</v>
      </c>
      <c r="D4721" s="1">
        <v>1370.06</v>
      </c>
    </row>
    <row r="4722" spans="1:4" x14ac:dyDescent="0.3">
      <c r="A4722" s="1" t="str">
        <f>"01008255000"</f>
        <v>01008255000</v>
      </c>
      <c r="B4722" s="1" t="str">
        <f>"GCH5 LLC"</f>
        <v>GCH5 LLC</v>
      </c>
      <c r="C4722" s="1" t="str">
        <f>"KARL RD SCHOENELAND LOT 254"</f>
        <v>KARL RD SCHOENELAND LOT 254</v>
      </c>
      <c r="D4722" s="1">
        <v>2295.96</v>
      </c>
    </row>
    <row r="4723" spans="1:4" x14ac:dyDescent="0.3">
      <c r="A4723" s="1" t="str">
        <f>"01008885400"</f>
        <v>01008885400</v>
      </c>
      <c r="B4723" s="1" t="str">
        <f>"GCH5 LLC"</f>
        <v>GCH5 LLC</v>
      </c>
      <c r="C4723" s="1" t="str">
        <f>"RUBY AVE WHITEHALL  LOT3"</f>
        <v>RUBY AVE WHITEHALL  LOT3</v>
      </c>
      <c r="D4723" s="1">
        <v>1159.25</v>
      </c>
    </row>
    <row r="4724" spans="1:4" x14ac:dyDescent="0.3">
      <c r="A4724" s="1" t="str">
        <f>"01006873400"</f>
        <v>01006873400</v>
      </c>
      <c r="B4724" s="1" t="str">
        <f>"GCH5 LLC"</f>
        <v>GCH5 LLC</v>
      </c>
      <c r="C4724" s="1" t="str">
        <f>"592 WILTSHIRE RD WILSHIRE HTS LOT 24 BLK 16"</f>
        <v>592 WILTSHIRE RD WILSHIRE HTS LOT 24 BLK 16</v>
      </c>
      <c r="D4724" s="1">
        <v>1286.3399999999999</v>
      </c>
    </row>
    <row r="4725" spans="1:4" x14ac:dyDescent="0.3">
      <c r="A4725" s="1" t="str">
        <f>"01005150200"</f>
        <v>01005150200</v>
      </c>
      <c r="B4725" s="1" t="str">
        <f>"GCH5 LLC"</f>
        <v>GCH5 LLC</v>
      </c>
      <c r="C4725" s="1" t="str">
        <f>"317 WOODROW AVE S SIDE TERRACE LOT 113"</f>
        <v>317 WOODROW AVE S SIDE TERRACE LOT 113</v>
      </c>
      <c r="D4725" s="1">
        <v>1391.67</v>
      </c>
    </row>
    <row r="4726" spans="1:4" x14ac:dyDescent="0.3">
      <c r="A4726" s="1" t="str">
        <f>"01009049900"</f>
        <v>01009049900</v>
      </c>
      <c r="B4726" s="1" t="str">
        <f>"GCH5 LLC"</f>
        <v>GCH5 LLC</v>
      </c>
      <c r="C4726" s="1" t="str">
        <f>"LIVINGSTON AVE EASTMINSTER LOT 276"</f>
        <v>LIVINGSTON AVE EASTMINSTER LOT 276</v>
      </c>
      <c r="D4726" s="1">
        <v>2290.2800000000002</v>
      </c>
    </row>
    <row r="4727" spans="1:4" x14ac:dyDescent="0.3">
      <c r="A4727" s="1" t="str">
        <f>"01008210700"</f>
        <v>01008210700</v>
      </c>
      <c r="B4727" s="1" t="str">
        <f>"GCH5 LLC"</f>
        <v>GCH5 LLC</v>
      </c>
      <c r="C4727" s="1" t="str">
        <f>"821 OAKLAND PARK AVE LOT 6 ACRES .39 "</f>
        <v xml:space="preserve">821 OAKLAND PARK AVE LOT 6 ACRES .39 </v>
      </c>
      <c r="D4727" s="1">
        <v>1839.83</v>
      </c>
    </row>
    <row r="4728" spans="1:4" x14ac:dyDescent="0.3">
      <c r="A4728" s="1" t="str">
        <f>"01003633700"</f>
        <v>01003633700</v>
      </c>
      <c r="B4728" s="1" t="str">
        <f>"GCH5 LLC"</f>
        <v>GCH5 LLC</v>
      </c>
      <c r="C4728" s="1" t="str">
        <f>"136 N BURGESS AVE CLAHANE HIGH PARK LOT 36"</f>
        <v>136 N BURGESS AVE CLAHANE HIGH PARK LOT 36</v>
      </c>
      <c r="D4728" s="1">
        <v>1117.67</v>
      </c>
    </row>
    <row r="4729" spans="1:4" x14ac:dyDescent="0.3">
      <c r="A4729" s="1" t="str">
        <f>"01010037700"</f>
        <v>01010037700</v>
      </c>
      <c r="B4729" s="1" t="str">
        <f>"GCH5 LLC"</f>
        <v>GCH5 LLC</v>
      </c>
      <c r="C4729" s="1" t="str">
        <f>"THURSTON DR SHADY LANE PK LOT 325"</f>
        <v>THURSTON DR SHADY LANE PK LOT 325</v>
      </c>
      <c r="D4729" s="1">
        <v>1574.21</v>
      </c>
    </row>
    <row r="4730" spans="1:4" x14ac:dyDescent="0.3">
      <c r="A4730" s="1" t="str">
        <f>"01012899500"</f>
        <v>01012899500</v>
      </c>
      <c r="B4730" s="1" t="str">
        <f>"GCH5 LLC"</f>
        <v>GCH5 LLC</v>
      </c>
      <c r="C4730" s="1" t="str">
        <f>"LISCOMB RD MILLBROOK LOT 133"</f>
        <v>LISCOMB RD MILLBROOK LOT 133</v>
      </c>
      <c r="D4730" s="1">
        <v>1942.94</v>
      </c>
    </row>
    <row r="4731" spans="1:4" x14ac:dyDescent="0.3">
      <c r="A4731" s="1" t="str">
        <f>"01012816300"</f>
        <v>01012816300</v>
      </c>
      <c r="B4731" s="1" t="str">
        <f>"GCH5 LLC"</f>
        <v>GCH5 LLC</v>
      </c>
      <c r="C4731" s="1" t="str">
        <f>"KEYSTONE DR BERWYN LOT 289"</f>
        <v>KEYSTONE DR BERWYN LOT 289</v>
      </c>
      <c r="D4731" s="1">
        <v>1866.8</v>
      </c>
    </row>
    <row r="4732" spans="1:4" x14ac:dyDescent="0.3">
      <c r="A4732" s="1" t="str">
        <f>"01028793500"</f>
        <v>01028793500</v>
      </c>
      <c r="B4732" s="1" t="str">
        <f>"GEANEKOPLOS ARIS"</f>
        <v>GEANEKOPLOS ARIS</v>
      </c>
      <c r="C4732" s="1" t="str">
        <f>"ONE NEIGHBORHOOD          CONDOMINIUM 3RD AMD       UNIT TH21                "</f>
        <v xml:space="preserve">ONE NEIGHBORHOOD          CONDOMINIUM 3RD AMD       UNIT TH21                </v>
      </c>
      <c r="D4732" s="1">
        <v>5576.52</v>
      </c>
    </row>
    <row r="4733" spans="1:4" x14ac:dyDescent="0.3">
      <c r="A4733" s="1" t="str">
        <f>"01029053500"</f>
        <v>01029053500</v>
      </c>
      <c r="B4733" s="1" t="str">
        <f>"GEARY COURTNEY"</f>
        <v>GEARY COURTNEY</v>
      </c>
      <c r="C4733" s="1" t="str">
        <f>"RESERVE AT PRESTON WOODS CONDOMINIUMS PH XIV 13TH AMD BLD 35 UNIT 5430"</f>
        <v>RESERVE AT PRESTON WOODS CONDOMINIUMS PH XIV 13TH AMD BLD 35 UNIT 5430</v>
      </c>
      <c r="D4733" s="1">
        <v>2183.85</v>
      </c>
    </row>
    <row r="4734" spans="1:4" x14ac:dyDescent="0.3">
      <c r="A4734" s="1" t="str">
        <f>"01003435800"</f>
        <v>01003435800</v>
      </c>
      <c r="B4734" s="1" t="str">
        <f>"GEARY PAUL CARTER III"</f>
        <v>GEARY PAUL CARTER III</v>
      </c>
      <c r="C4734" s="1" t="str">
        <f>"BURGESS AVE CLAHANE HIGH PK LOT 22"</f>
        <v>BURGESS AVE CLAHANE HIGH PK LOT 22</v>
      </c>
      <c r="D4734" s="1">
        <v>112.51</v>
      </c>
    </row>
    <row r="4735" spans="1:4" x14ac:dyDescent="0.3">
      <c r="A4735" s="1" t="str">
        <f>"01012294000"</f>
        <v>01012294000</v>
      </c>
      <c r="B4735" s="1" t="str">
        <f>"GEBREMARIAM RAHEAL"</f>
        <v>GEBREMARIAM RAHEAL</v>
      </c>
      <c r="C4735" s="1" t="str">
        <f>"COLBY AVE PINECREST 3 LOT 881"</f>
        <v>COLBY AVE PINECREST 3 LOT 881</v>
      </c>
      <c r="D4735" s="1">
        <v>3501.09</v>
      </c>
    </row>
    <row r="4736" spans="1:4" x14ac:dyDescent="0.3">
      <c r="A4736" s="1" t="str">
        <f>"01003755300"</f>
        <v>01003755300</v>
      </c>
      <c r="B4736" s="1" t="str">
        <f>"GEBRIEL SELEMON Y, HAILU YESHASHWORK Y"</f>
        <v>GEBRIEL SELEMON Y, HAILU YESHASHWORK Y</v>
      </c>
      <c r="C4736" s="1" t="str">
        <f>"2276 E FIFTH AVE GREENMAN ET AL LAND MCDOWELLS PARCEL A"</f>
        <v>2276 E FIFTH AVE GREENMAN ET AL LAND MCDOWELLS PARCEL A</v>
      </c>
      <c r="D4736" s="1">
        <v>19.72</v>
      </c>
    </row>
    <row r="4737" spans="1:4" x14ac:dyDescent="0.3">
      <c r="A4737" s="1" t="str">
        <f>"01004561500"</f>
        <v>01004561500</v>
      </c>
      <c r="B4737" s="1" t="str">
        <f>"GEBRIEL SELEMON, GEBRIEL YESHASHWORK"</f>
        <v>GEBRIEL SELEMON, GEBRIEL YESHASHWORK</v>
      </c>
      <c r="C4737" s="1" t="str">
        <f>"2259 E 5TH AVE SHEPARD &amp; CALLENDER LOT 52"</f>
        <v>2259 E 5TH AVE SHEPARD &amp; CALLENDER LOT 52</v>
      </c>
      <c r="D4737" s="1">
        <v>67.28</v>
      </c>
    </row>
    <row r="4738" spans="1:4" x14ac:dyDescent="0.3">
      <c r="A4738" s="1" t="str">
        <f>"52016881100"</f>
        <v>52016881100</v>
      </c>
      <c r="B4738" s="1" t="str">
        <f>"GEBRIEL SELEMON, HIALU YESHASHWORK Y"</f>
        <v>GEBRIEL SELEMON, HIALU YESHASHWORK Y</v>
      </c>
      <c r="C4738" s="1" t="str">
        <f>"HALPERN ST VIRGINIA TERRACE LOT 72"</f>
        <v>HALPERN ST VIRGINIA TERRACE LOT 72</v>
      </c>
      <c r="D4738" s="1">
        <v>208.75</v>
      </c>
    </row>
    <row r="4739" spans="1:4" x14ac:dyDescent="0.3">
      <c r="A4739" s="1" t="str">
        <f>"08000056100"</f>
        <v>08000056100</v>
      </c>
      <c r="B4739" s="1" t="str">
        <f>"GEHRING FRANCIS"</f>
        <v>GEHRING FRANCIS</v>
      </c>
      <c r="C4739" s="1" t="str">
        <f>"165 N VINE ST NAOMI PARK PLACE ADD PT LOTS 40 &amp; 41"</f>
        <v>165 N VINE ST NAOMI PARK PLACE ADD PT LOTS 40 &amp; 41</v>
      </c>
      <c r="D4739" s="1">
        <v>7349.71</v>
      </c>
    </row>
    <row r="4740" spans="1:4" x14ac:dyDescent="0.3">
      <c r="A4740" s="1" t="str">
        <f>"01008752700"</f>
        <v>01008752700</v>
      </c>
      <c r="B4740" s="1" t="str">
        <f>"GEIGER WILLIAM D JR"</f>
        <v>GEIGER WILLIAM D JR</v>
      </c>
      <c r="C4740" s="1" t="str">
        <f>"1040 BARNETT RD .274 ACRE R21 T12 S17 1/4S28"</f>
        <v>1040 BARNETT RD .274 ACRE R21 T12 S17 1/4S28</v>
      </c>
      <c r="D4740" s="1">
        <v>57.3</v>
      </c>
    </row>
    <row r="4741" spans="1:4" x14ac:dyDescent="0.3">
      <c r="A4741" s="1" t="str">
        <f>"01010728200"</f>
        <v>01010728200</v>
      </c>
      <c r="B4741" s="1" t="str">
        <f>"GEISER DANIELLE"</f>
        <v>GEISER DANIELLE</v>
      </c>
      <c r="C4741" s="1" t="str">
        <f>"AVEN DR LIV-MOOR HTS 3 LOT 29"</f>
        <v>AVEN DR LIV-MOOR HTS 3 LOT 29</v>
      </c>
      <c r="D4741" s="1">
        <v>3321.55</v>
      </c>
    </row>
    <row r="4742" spans="1:4" x14ac:dyDescent="0.3">
      <c r="A4742" s="1" t="str">
        <f>"10000385000"</f>
        <v>10000385000</v>
      </c>
      <c r="B4742" s="1" t="str">
        <f>"GELENDER MARTIN D CO-TR, GELENDER DOROTHY J CO-TR"</f>
        <v>GELENDER MARTIN D CO-TR, GELENDER DOROTHY J CO-TR</v>
      </c>
      <c r="C4742" s="1" t="str">
        <f>"561 WHITNEY AVE WORTHINGTON ESTATES LOT 27 BLK S"</f>
        <v>561 WHITNEY AVE WORTHINGTON ESTATES LOT 27 BLK S</v>
      </c>
      <c r="D4742" s="1">
        <v>5430.02</v>
      </c>
    </row>
    <row r="4743" spans="1:4" x14ac:dyDescent="0.3">
      <c r="A4743" s="1" t="str">
        <f>"27300007000"</f>
        <v>27300007000</v>
      </c>
      <c r="B4743" s="1" t="str">
        <f>"GEMLAW PROPERTIES LLC"</f>
        <v>GEMLAW PROPERTIES LLC</v>
      </c>
      <c r="C4743" s="1" t="str">
        <f>"109 S HIGH STREET WRIGHTS SUB  54'NS LT 2 &amp; 3.3'SS VAC AL"</f>
        <v>109 S HIGH STREET WRIGHTS SUB  54'NS LT 2 &amp; 3.3'SS VAC AL</v>
      </c>
      <c r="D4743" s="1">
        <v>30845.91</v>
      </c>
    </row>
    <row r="4744" spans="1:4" x14ac:dyDescent="0.3">
      <c r="A4744" s="1" t="str">
        <f>"01008836100"</f>
        <v>01008836100</v>
      </c>
      <c r="B4744" s="1" t="str">
        <f>"GENCO VENTURES LLC"</f>
        <v>GENCO VENTURES LLC</v>
      </c>
      <c r="C4744" s="1" t="str">
        <f>"2825 SHERWOOD RD LUDWIGS SUB BEXLEY VIEW"</f>
        <v>2825 SHERWOOD RD LUDWIGS SUB BEXLEY VIEW</v>
      </c>
      <c r="D4744" s="1">
        <v>13719.72</v>
      </c>
    </row>
    <row r="4745" spans="1:4" x14ac:dyDescent="0.3">
      <c r="A4745" s="1" t="str">
        <f>"49016928600"</f>
        <v>49016928600</v>
      </c>
      <c r="B4745" s="1" t="str">
        <f>"GENDER ROAD OFFICE PARK LLC"</f>
        <v>GENDER ROAD OFFICE PARK LLC</v>
      </c>
      <c r="C4745" s="1" t="str">
        <f>"GENDER RD 2 ACRES R21T11S24"</f>
        <v>GENDER RD 2 ACRES R21T11S24</v>
      </c>
      <c r="D4745" s="1">
        <v>27977.41</v>
      </c>
    </row>
    <row r="4746" spans="1:4" x14ac:dyDescent="0.3">
      <c r="A4746" s="1" t="str">
        <f>"19100030700"</f>
        <v>19100030700</v>
      </c>
      <c r="B4746" s="1" t="str">
        <f>"GENESIS LEONARD PARK LLC"</f>
        <v>GENESIS LEONARD PARK LLC</v>
      </c>
      <c r="C4746" s="1" t="str">
        <f>"ARMUTH AVE E              LEONARD PARK ADD          LOT 6 BLK B              "</f>
        <v xml:space="preserve">ARMUTH AVE E              LEONARD PARK ADD          LOT 6 BLK B              </v>
      </c>
      <c r="D4746" s="1">
        <v>372.71</v>
      </c>
    </row>
    <row r="4747" spans="1:4" x14ac:dyDescent="0.3">
      <c r="A4747" s="1" t="str">
        <f>"19100030500"</f>
        <v>19100030500</v>
      </c>
      <c r="B4747" s="1" t="str">
        <f>"GENESIS LEONARD PARK LLC"</f>
        <v>GENESIS LEONARD PARK LLC</v>
      </c>
      <c r="C4747" s="1" t="str">
        <f>"STELZER RD LEONARD PK 4 BLK B EX 34.74'OFF SW COR &amp; 35.83'OFF NW COR"</f>
        <v>STELZER RD LEONARD PK 4 BLK B EX 34.74'OFF SW COR &amp; 35.83'OFF NW COR</v>
      </c>
      <c r="D4747" s="1">
        <v>294.23</v>
      </c>
    </row>
    <row r="4748" spans="1:4" x14ac:dyDescent="0.3">
      <c r="A4748" s="1" t="str">
        <f>"19100030400"</f>
        <v>19100030400</v>
      </c>
      <c r="B4748" s="1" t="str">
        <f>"GENESIS LEONARD PARK LLC"</f>
        <v>GENESIS LEONARD PARK LLC</v>
      </c>
      <c r="C4748" s="1" t="str">
        <f>"STELZER RD LEONARD PARK IRR PT LOT 3 BLK B"</f>
        <v>STELZER RD LEONARD PARK IRR PT LOT 3 BLK B</v>
      </c>
      <c r="D4748" s="1">
        <v>294.23</v>
      </c>
    </row>
    <row r="4749" spans="1:4" x14ac:dyDescent="0.3">
      <c r="A4749" s="1" t="str">
        <f>"19100031400"</f>
        <v>19100031400</v>
      </c>
      <c r="B4749" s="1" t="str">
        <f>"GENESIS LEONARD PARK LLC"</f>
        <v>GENESIS LEONARD PARK LLC</v>
      </c>
      <c r="C4749" s="1" t="str">
        <f>"E ARMUTH AVENUE LEONARD PARK BLK B LOT 13 &amp; PT VAC ALLEY"</f>
        <v>E ARMUTH AVENUE LEONARD PARK BLK B LOT 13 &amp; PT VAC ALLEY</v>
      </c>
      <c r="D4749" s="1">
        <v>377.05</v>
      </c>
    </row>
    <row r="4750" spans="1:4" x14ac:dyDescent="0.3">
      <c r="A4750" s="1" t="str">
        <f>"19100030800"</f>
        <v>19100030800</v>
      </c>
      <c r="B4750" s="1" t="str">
        <f>"GENESIS LEONARD PARK LLC"</f>
        <v>GENESIS LEONARD PARK LLC</v>
      </c>
      <c r="C4750" s="1" t="str">
        <f>"ARMUTH AVE LEONARD PARK 7 BLK B"</f>
        <v>ARMUTH AVE LEONARD PARK 7 BLK B</v>
      </c>
      <c r="D4750" s="1">
        <v>372.71</v>
      </c>
    </row>
    <row r="4751" spans="1:4" x14ac:dyDescent="0.3">
      <c r="A4751" s="1" t="str">
        <f>"19100031300"</f>
        <v>19100031300</v>
      </c>
      <c r="B4751" s="1" t="str">
        <f>"GENESIS LEONARD PARK LLC"</f>
        <v>GENESIS LEONARD PARK LLC</v>
      </c>
      <c r="C4751" s="1" t="str">
        <f>"ARMUTH AVE LEONARD PARK 12 BLK B"</f>
        <v>ARMUTH AVE LEONARD PARK 12 BLK B</v>
      </c>
      <c r="D4751" s="1">
        <v>516.27</v>
      </c>
    </row>
    <row r="4752" spans="1:4" x14ac:dyDescent="0.3">
      <c r="A4752" s="1" t="str">
        <f>"19100030900"</f>
        <v>19100030900</v>
      </c>
      <c r="B4752" s="1" t="str">
        <f>"GENESIS LEONARD PARK LLC"</f>
        <v>GENESIS LEONARD PARK LLC</v>
      </c>
      <c r="C4752" s="1" t="str">
        <f>"ARMUTH AVE LEONARD PARK 8 BLK B"</f>
        <v>ARMUTH AVE LEONARD PARK 8 BLK B</v>
      </c>
      <c r="D4752" s="1">
        <v>372.71</v>
      </c>
    </row>
    <row r="4753" spans="1:4" x14ac:dyDescent="0.3">
      <c r="A4753" s="1" t="str">
        <f>"19100030600"</f>
        <v>19100030600</v>
      </c>
      <c r="B4753" s="1" t="str">
        <f>"GENESIS LEONARD PARK LLC"</f>
        <v>GENESIS LEONARD PARK LLC</v>
      </c>
      <c r="C4753" s="1" t="str">
        <f>"STELZER RD LEONARD PARK IRR PT LOT 5 BLK B"</f>
        <v>STELZER RD LEONARD PARK IRR PT LOT 5 BLK B</v>
      </c>
      <c r="D4753" s="1">
        <v>294.23</v>
      </c>
    </row>
    <row r="4754" spans="1:4" x14ac:dyDescent="0.3">
      <c r="A4754" s="1" t="str">
        <f>"19100031500"</f>
        <v>19100031500</v>
      </c>
      <c r="B4754" s="1" t="str">
        <f>"GENESIS LEONARD PARK LLC"</f>
        <v>GENESIS LEONARD PARK LLC</v>
      </c>
      <c r="C4754" s="1" t="str">
        <f>"ARMUTH AVE LEONARD PARK BLK B LOT 14 &amp; PT VAC ALLEY"</f>
        <v>ARMUTH AVE LEONARD PARK BLK B LOT 14 &amp; PT VAC ALLEY</v>
      </c>
      <c r="D4754" s="1">
        <v>377.05</v>
      </c>
    </row>
    <row r="4755" spans="1:4" x14ac:dyDescent="0.3">
      <c r="A4755" s="1" t="str">
        <f>"19100031000"</f>
        <v>19100031000</v>
      </c>
      <c r="B4755" s="1" t="str">
        <f>"GENESIS LEONARD PARK LLC"</f>
        <v>GENESIS LEONARD PARK LLC</v>
      </c>
      <c r="C4755" s="1" t="str">
        <f>"ARMUTH AVE LEONARD PARK 9 BLK B"</f>
        <v>ARMUTH AVE LEONARD PARK 9 BLK B</v>
      </c>
      <c r="D4755" s="1">
        <v>372.71</v>
      </c>
    </row>
    <row r="4756" spans="1:4" x14ac:dyDescent="0.3">
      <c r="A4756" s="1" t="str">
        <f>"27300456700"</f>
        <v>27300456700</v>
      </c>
      <c r="B4756" s="1" t="str">
        <f>"GENESIS REAL ESTATE CAPITAL LLC"</f>
        <v>GENESIS REAL ESTATE CAPITAL LLC</v>
      </c>
      <c r="C4756" s="1" t="str">
        <f>"256 BRADENTON AVE DUBLIN OFFICE PARK CONDO UNIT B"</f>
        <v>256 BRADENTON AVE DUBLIN OFFICE PARK CONDO UNIT B</v>
      </c>
      <c r="D4756" s="1">
        <v>83.14</v>
      </c>
    </row>
    <row r="4757" spans="1:4" x14ac:dyDescent="0.3">
      <c r="A4757" s="1" t="str">
        <f>"27300456800"</f>
        <v>27300456800</v>
      </c>
      <c r="B4757" s="1" t="str">
        <f>"GENESIS REAL ESTATE CAPITAL LLC"</f>
        <v>GENESIS REAL ESTATE CAPITAL LLC</v>
      </c>
      <c r="C4757" s="1" t="str">
        <f>"252 BRADENTON AVE DUBLIN OFFICE PARK CONDO UNIT C"</f>
        <v>252 BRADENTON AVE DUBLIN OFFICE PARK CONDO UNIT C</v>
      </c>
      <c r="D4757" s="1">
        <v>139.05000000000001</v>
      </c>
    </row>
    <row r="4758" spans="1:4" x14ac:dyDescent="0.3">
      <c r="A4758" s="1" t="str">
        <f>"15300031000"</f>
        <v>15300031000</v>
      </c>
      <c r="B4758" s="1" t="str">
        <f>"GENHEIMER MICHAEL J"</f>
        <v>GENHEIMER MICHAEL J</v>
      </c>
      <c r="C4758" s="1" t="str">
        <f>"MAUREEN BLVD S ELKS ACRES SEC 2 LOT 40"</f>
        <v>MAUREEN BLVD S ELKS ACRES SEC 2 LOT 40</v>
      </c>
      <c r="D4758" s="1">
        <v>1731.41</v>
      </c>
    </row>
    <row r="4759" spans="1:4" x14ac:dyDescent="0.3">
      <c r="A4759" s="1" t="str">
        <f>"15300031100"</f>
        <v>15300031100</v>
      </c>
      <c r="B4759" s="1" t="str">
        <f>"GENHEIMER MICHAEL J"</f>
        <v>GENHEIMER MICHAEL J</v>
      </c>
      <c r="C4759" s="1" t="str">
        <f>"MAUREEN BLVD S ELKS ACRES SEC 2 LOT 41"</f>
        <v>MAUREEN BLVD S ELKS ACRES SEC 2 LOT 41</v>
      </c>
      <c r="D4759" s="1">
        <v>616.94000000000005</v>
      </c>
    </row>
    <row r="4760" spans="1:4" x14ac:dyDescent="0.3">
      <c r="A4760" s="1" t="str">
        <f>"15300031200"</f>
        <v>15300031200</v>
      </c>
      <c r="B4760" s="1" t="str">
        <f>"GENHEIMER MICHAEL J"</f>
        <v>GENHEIMER MICHAEL J</v>
      </c>
      <c r="C4760" s="1" t="str">
        <f>"MAUREEN BLVD S ELKS ACRES SEC 2 LOT 42"</f>
        <v>MAUREEN BLVD S ELKS ACRES SEC 2 LOT 42</v>
      </c>
      <c r="D4760" s="1">
        <v>435.99</v>
      </c>
    </row>
    <row r="4761" spans="1:4" x14ac:dyDescent="0.3">
      <c r="A4761" s="1" t="str">
        <f>"26000026200"</f>
        <v>26000026200</v>
      </c>
      <c r="B4761" s="1" t="str">
        <f>"GENHEIMER MICHAEL J"</f>
        <v>GENHEIMER MICHAEL J</v>
      </c>
      <c r="C4761" s="1" t="str">
        <f>"QUINCY DR QUALSTAN EAST LOT 405"</f>
        <v>QUINCY DR QUALSTAN EAST LOT 405</v>
      </c>
      <c r="D4761" s="1">
        <v>3807.41</v>
      </c>
    </row>
    <row r="4762" spans="1:4" x14ac:dyDescent="0.3">
      <c r="A4762" s="1" t="str">
        <f>"01000477400"</f>
        <v>01000477400</v>
      </c>
      <c r="B4762" s="1" t="str">
        <f>"GENWEALTH INVESTMENTS LLC"</f>
        <v>GENWEALTH INVESTMENTS LLC</v>
      </c>
      <c r="C4762" s="1" t="str">
        <f>"861 S OHIO AVE OLD ORCHARD LOT 105"</f>
        <v>861 S OHIO AVE OLD ORCHARD LOT 105</v>
      </c>
      <c r="D4762" s="1">
        <v>1759.22</v>
      </c>
    </row>
    <row r="4763" spans="1:4" x14ac:dyDescent="0.3">
      <c r="A4763" s="1" t="str">
        <f>"14000001300"</f>
        <v>14000001300</v>
      </c>
      <c r="B4763" s="1" t="str">
        <f>"GEOG COREY A, GEOG TIFFANY A"</f>
        <v>GEOG COREY A, GEOG TIFFANY A</v>
      </c>
      <c r="C4763" s="1" t="str">
        <f>"734 HARRISBURG PIKE .123 AC ENTRY 422 "</f>
        <v xml:space="preserve">734 HARRISBURG PIKE .123 AC ENTRY 422 </v>
      </c>
      <c r="D4763" s="1">
        <v>2141.0300000000002</v>
      </c>
    </row>
    <row r="4764" spans="1:4" x14ac:dyDescent="0.3">
      <c r="A4764" s="1" t="str">
        <f>"01018525600"</f>
        <v>01018525600</v>
      </c>
      <c r="B4764" s="1" t="str">
        <f>"GEOJAMENS PROPERTIES LLC"</f>
        <v>GEOJAMENS PROPERTIES LLC</v>
      </c>
      <c r="C4764" s="1" t="str">
        <f>"MORSETOWN CT BRENTWOOD CONDO UNIT 4238 BLDG 5"</f>
        <v>MORSETOWN CT BRENTWOOD CONDO UNIT 4238 BLDG 5</v>
      </c>
      <c r="D4764" s="1">
        <v>1155.52</v>
      </c>
    </row>
    <row r="4765" spans="1:4" x14ac:dyDescent="0.3">
      <c r="A4765" s="1" t="str">
        <f>"02500961900"</f>
        <v>02500961900</v>
      </c>
      <c r="B4765" s="1" t="str">
        <f>"GEORGE BRADLEY K, GEORGE BEVERLY L"</f>
        <v>GEORGE BRADLEY K, GEORGE BEVERLY L</v>
      </c>
      <c r="C4765" s="1" t="str">
        <f>"LINE WAY BRYN MAWR WOODS LOT 18"</f>
        <v>LINE WAY BRYN MAWR WOODS LOT 18</v>
      </c>
      <c r="D4765" s="1">
        <v>574.64</v>
      </c>
    </row>
    <row r="4766" spans="1:4" x14ac:dyDescent="0.3">
      <c r="A4766" s="1" t="str">
        <f>"08000813100"</f>
        <v>08000813100</v>
      </c>
      <c r="B4766" s="1" t="str">
        <f>"GEORGE RICHARD E, GEORGE KELLY D"</f>
        <v>GEORGE RICHARD E, GEORGE KELLY D</v>
      </c>
      <c r="C4766" s="1" t="str">
        <f>"910 BABBINGTON CT MCDOT FARMS II PH 2A LOT 75"</f>
        <v>910 BABBINGTON CT MCDOT FARMS II PH 2A LOT 75</v>
      </c>
      <c r="D4766" s="1">
        <v>4286.6899999999996</v>
      </c>
    </row>
    <row r="4767" spans="1:4" x14ac:dyDescent="0.3">
      <c r="A4767" s="1" t="str">
        <f>"01002370700"</f>
        <v>01002370700</v>
      </c>
      <c r="B4767" s="1" t="str">
        <f>"GEORGIEVSKI METODIA LE, STEFANOVSKA NEVENO RMDR, GORGOVSKI KIRE RMDR"</f>
        <v>GEORGIEVSKI METODIA LE, STEFANOVSKA NEVENO RMDR, GORGOVSKI KIRE RMDR</v>
      </c>
      <c r="C4767" s="1" t="str">
        <f>"51 EUCLID AVE MARZETTE LOT 23-4"</f>
        <v>51 EUCLID AVE MARZETTE LOT 23-4</v>
      </c>
      <c r="D4767" s="1">
        <v>2551.8000000000002</v>
      </c>
    </row>
    <row r="4768" spans="1:4" x14ac:dyDescent="0.3">
      <c r="A4768" s="1" t="str">
        <f>"01016787100"</f>
        <v>01016787100</v>
      </c>
      <c r="B4768" s="1" t="str">
        <f>"GERBER SUSAN H AFDT"</f>
        <v>GERBER SUSAN H AFDT</v>
      </c>
      <c r="C4768" s="1" t="str">
        <f>"CORTONA WOODS CORTONA ROAD LOT 43"</f>
        <v>CORTONA WOODS CORTONA ROAD LOT 43</v>
      </c>
      <c r="D4768" s="1">
        <v>128.57</v>
      </c>
    </row>
    <row r="4769" spans="1:4" x14ac:dyDescent="0.3">
      <c r="A4769" s="1" t="str">
        <f>"05000188300"</f>
        <v>05000188300</v>
      </c>
      <c r="B4769" s="1" t="str">
        <f>"GERGAL JEFFERY M TOD"</f>
        <v>GERGAL JEFFERY M TOD</v>
      </c>
      <c r="C4769" s="1" t="str">
        <f>"5038 MENGEL LANE DEAN H CONKLIN LOT 133"</f>
        <v>5038 MENGEL LANE DEAN H CONKLIN LOT 133</v>
      </c>
      <c r="D4769" s="1">
        <v>286.33999999999997</v>
      </c>
    </row>
    <row r="4770" spans="1:4" x14ac:dyDescent="0.3">
      <c r="A4770" s="1" t="str">
        <f>"05000056700"</f>
        <v>05000056700</v>
      </c>
      <c r="B4770" s="1" t="str">
        <f>"GERHAN CYNTHIA J"</f>
        <v>GERHAN CYNTHIA J</v>
      </c>
      <c r="C4770" s="1" t="str">
        <f>"5201 CAVALIER DR CONSTANCE L CONKLIN LOT 101"</f>
        <v>5201 CAVALIER DR CONSTANCE L CONKLIN LOT 101</v>
      </c>
      <c r="D4770" s="1">
        <v>865.26</v>
      </c>
    </row>
    <row r="4771" spans="1:4" x14ac:dyDescent="0.3">
      <c r="A4771" s="1" t="str">
        <f>"04000320500"</f>
        <v>04000320500</v>
      </c>
      <c r="B4771" s="1" t="str">
        <f>"GERKEN JOSEPH T, WOLFE-GERKEN JEANNE M"</f>
        <v>GERKEN JOSEPH T, WOLFE-GERKEN JEANNE M</v>
      </c>
      <c r="C4771" s="1" t="str">
        <f>"3082 THOMAS AVENUE RE-SUB PT BARFLD HTS 1 63"</f>
        <v>3082 THOMAS AVENUE RE-SUB PT BARFLD HTS 1 63</v>
      </c>
      <c r="D4771" s="1">
        <v>180.4</v>
      </c>
    </row>
    <row r="4772" spans="1:4" x14ac:dyDescent="0.3">
      <c r="A4772" s="1" t="str">
        <f>"01013080400"</f>
        <v>01013080400</v>
      </c>
      <c r="B4772" s="1" t="str">
        <f>"GERLACH DEBORAH A"</f>
        <v>GERLACH DEBORAH A</v>
      </c>
      <c r="C4772" s="1" t="str">
        <f>"KENNY RD KENDALE SEC 1 LOT 102"</f>
        <v>KENNY RD KENDALE SEC 1 LOT 102</v>
      </c>
      <c r="D4772" s="1">
        <v>254.78</v>
      </c>
    </row>
    <row r="4773" spans="1:4" x14ac:dyDescent="0.3">
      <c r="A4773" s="1" t="str">
        <f>"01003820200"</f>
        <v>01003820200</v>
      </c>
      <c r="B4773" s="1" t="str">
        <f>"GERLACH ROSEMARIE"</f>
        <v>GERLACH ROSEMARIE</v>
      </c>
      <c r="C4773" s="1" t="str">
        <f>"496 FREBIS AVE SCHMITT 2ND SUB 40"</f>
        <v>496 FREBIS AVE SCHMITT 2ND SUB 40</v>
      </c>
      <c r="D4773" s="1">
        <v>12.31</v>
      </c>
    </row>
    <row r="4774" spans="1:4" x14ac:dyDescent="0.3">
      <c r="A4774" s="1" t="str">
        <f>"19000307700"</f>
        <v>19000307700</v>
      </c>
      <c r="B4774" s="1" t="str">
        <f>"GERLING NANCY J"</f>
        <v>GERLING NANCY J</v>
      </c>
      <c r="C4774" s="1" t="str">
        <f>"2635 BERREL AVE DEHUNE E LINDEN 4TH LOT 100"</f>
        <v>2635 BERREL AVE DEHUNE E LINDEN 4TH LOT 100</v>
      </c>
      <c r="D4774" s="1">
        <v>41.12</v>
      </c>
    </row>
    <row r="4775" spans="1:4" x14ac:dyDescent="0.3">
      <c r="A4775" s="1" t="str">
        <f>"01002374500"</f>
        <v>01002374500</v>
      </c>
      <c r="B4775" s="1" t="str">
        <f>"GERMAN VILLAGE HOTEL LLC"</f>
        <v>GERMAN VILLAGE HOTEL LLC</v>
      </c>
      <c r="C4775" s="1" t="str">
        <f>"31-35 LIVINGSTON AVE MCGOWAN 187.9' WL, 125.69' NL IRR WS/NW COR PT LOT 11"</f>
        <v>31-35 LIVINGSTON AVE MCGOWAN 187.9' WL, 125.69' NL IRR WS/NW COR PT LOT 11</v>
      </c>
      <c r="D4775" s="1">
        <v>21378.26</v>
      </c>
    </row>
    <row r="4776" spans="1:4" x14ac:dyDescent="0.3">
      <c r="A4776" s="1" t="str">
        <f>"01023106800"</f>
        <v>01023106800</v>
      </c>
      <c r="B4776" s="1" t="str">
        <f>"GERMANO ANTHONY J"</f>
        <v>GERMANO ANTHONY J</v>
      </c>
      <c r="C4776" s="1" t="str">
        <f>"THE VILLAS AT EAST POINTE CONDO 1ST AMD BLDG 9 UNIT 77"</f>
        <v>THE VILLAS AT EAST POINTE CONDO 1ST AMD BLDG 9 UNIT 77</v>
      </c>
      <c r="D4776" s="1">
        <v>70.709999999999994</v>
      </c>
    </row>
    <row r="4777" spans="1:4" x14ac:dyDescent="0.3">
      <c r="A4777" s="1" t="str">
        <f>"17000307900"</f>
        <v>17000307900</v>
      </c>
      <c r="B4777" s="1" t="str">
        <f>"GERMICK BRIANNA"</f>
        <v>GERMICK BRIANNA</v>
      </c>
      <c r="C4777" s="1" t="str">
        <f>"CRAFTON TRAIL LOOP BLACKLICK RIDGE SECTION 2 PART 1 LOT 130"</f>
        <v>CRAFTON TRAIL LOOP BLACKLICK RIDGE SECTION 2 PART 1 LOT 130</v>
      </c>
      <c r="D4777" s="1">
        <v>665.12</v>
      </c>
    </row>
    <row r="4778" spans="1:4" x14ac:dyDescent="0.3">
      <c r="A4778" s="1" t="str">
        <f>"01013673900"</f>
        <v>01013673900</v>
      </c>
      <c r="B4778" s="1" t="str">
        <f>"GERTMAN KIMBERLY, POINDEXTER CARR CYNTHIA, POINDEXTER CRYSTAL R"</f>
        <v>GERTMAN KIMBERLY, POINDEXTER CARR CYNTHIA, POINDEXTER CRYSTAL R</v>
      </c>
      <c r="C4778" s="1" t="str">
        <f>"ALVASON AVE ARGYLE PARK LOT 123"</f>
        <v>ALVASON AVE ARGYLE PARK LOT 123</v>
      </c>
      <c r="D4778" s="1">
        <v>320.81</v>
      </c>
    </row>
    <row r="4779" spans="1:4" x14ac:dyDescent="0.3">
      <c r="A4779" s="1" t="str">
        <f>"18000198100"</f>
        <v>18000198100</v>
      </c>
      <c r="B4779" s="1" t="str">
        <f>"GESICK CYNTHIA"</f>
        <v>GESICK CYNTHIA</v>
      </c>
      <c r="C4779" s="1" t="str">
        <f>"BENTLER DR BLACKLICK ESTATES 1 123 "</f>
        <v xml:space="preserve">BENTLER DR BLACKLICK ESTATES 1 123 </v>
      </c>
      <c r="D4779" s="1">
        <v>152.71</v>
      </c>
    </row>
    <row r="4780" spans="1:4" x14ac:dyDescent="0.3">
      <c r="A4780" s="1" t="str">
        <f>"01027496800"</f>
        <v>01027496800</v>
      </c>
      <c r="B4780" s="1" t="str">
        <f>"GETTER MICHAEL A, GETTER ANITA K"</f>
        <v>GETTER MICHAEL A, GETTER ANITA K</v>
      </c>
      <c r="C4780" s="1" t="str">
        <f>"VICTORIAN GATE            CONDOMINIUMS              UNIT 34 VICTORIAN GATE WY"</f>
        <v>VICTORIAN GATE            CONDOMINIUMS              UNIT 34 VICTORIAN GATE WY</v>
      </c>
      <c r="D4780" s="1">
        <v>2259.41</v>
      </c>
    </row>
    <row r="4781" spans="1:4" x14ac:dyDescent="0.3">
      <c r="A4781" s="1" t="str">
        <f>"05000439600"</f>
        <v>05000439600</v>
      </c>
      <c r="B4781" s="1" t="str">
        <f>"GETTINGER SUSAN B"</f>
        <v>GETTINGER SUSAN B</v>
      </c>
      <c r="C4781" s="1" t="str">
        <f>"4555 MARILYN STREET FOXHOLLOW LOT 21"</f>
        <v>4555 MARILYN STREET FOXHOLLOW LOT 21</v>
      </c>
      <c r="D4781" s="1">
        <v>303.98</v>
      </c>
    </row>
    <row r="4782" spans="1:4" x14ac:dyDescent="0.3">
      <c r="A4782" s="1" t="str">
        <f>"27300054900"</f>
        <v>27300054900</v>
      </c>
      <c r="B4782" s="1" t="str">
        <f>"GETZ BRADLEY SCOTT, GETZ ANA LISA"</f>
        <v>GETZ BRADLEY SCOTT, GETZ ANA LISA</v>
      </c>
      <c r="C4782" s="1" t="str">
        <f>"INDIAN HILL RD RIVER FOREST LOT 98"</f>
        <v>INDIAN HILL RD RIVER FOREST LOT 98</v>
      </c>
      <c r="D4782" s="1">
        <v>3377.57</v>
      </c>
    </row>
    <row r="4783" spans="1:4" x14ac:dyDescent="0.3">
      <c r="A4783" s="1" t="str">
        <f>"17000100700"</f>
        <v>17000100700</v>
      </c>
      <c r="B4783" s="1" t="str">
        <f>"GEYER DAFFNEY L"</f>
        <v>GEYER DAFFNEY L</v>
      </c>
      <c r="C4783" s="1" t="str">
        <f>"7372 E BROAD ST R16 T1 1/4T4 0.399 ACRE"</f>
        <v>7372 E BROAD ST R16 T1 1/4T4 0.399 ACRE</v>
      </c>
      <c r="D4783" s="1">
        <v>414.68</v>
      </c>
    </row>
    <row r="4784" spans="1:4" x14ac:dyDescent="0.3">
      <c r="A4784" s="1" t="str">
        <f>"27300830700"</f>
        <v>27300830700</v>
      </c>
      <c r="B4784" s="1" t="str">
        <f>"GFT LLC"</f>
        <v>GFT LLC</v>
      </c>
      <c r="C4784" s="1" t="str">
        <f>"DUBLIN GRANVILLE RD R19 T2 1/4T3 0.547 ACRE"</f>
        <v>DUBLIN GRANVILLE RD R19 T2 1/4T3 0.547 ACRE</v>
      </c>
      <c r="D4784" s="1">
        <v>972.12</v>
      </c>
    </row>
    <row r="4785" spans="1:4" x14ac:dyDescent="0.3">
      <c r="A4785" s="1" t="str">
        <f>"01005115000"</f>
        <v>01005115000</v>
      </c>
      <c r="B4785" s="1" t="str">
        <f>"GHA REALTY LLC"</f>
        <v>GHA REALTY LLC</v>
      </c>
      <c r="C4785" s="1" t="str">
        <f>"357 S RICHARDSON AVE BRONX LOT 134"</f>
        <v>357 S RICHARDSON AVE BRONX LOT 134</v>
      </c>
      <c r="D4785" s="1">
        <v>2076.79</v>
      </c>
    </row>
    <row r="4786" spans="1:4" x14ac:dyDescent="0.3">
      <c r="A4786" s="1" t="str">
        <f>"01001465000"</f>
        <v>01001465000</v>
      </c>
      <c r="B4786" s="1" t="str">
        <f>"GHA REALTY LLC"</f>
        <v>GHA REALTY LLC</v>
      </c>
      <c r="C4786" s="1" t="str">
        <f>"27 STEVENS AVE BELMONT LOT 105"</f>
        <v>27 STEVENS AVE BELMONT LOT 105</v>
      </c>
      <c r="D4786" s="1">
        <v>2824.63</v>
      </c>
    </row>
    <row r="4787" spans="1:4" x14ac:dyDescent="0.3">
      <c r="A4787" s="1" t="str">
        <f>"02501207900"</f>
        <v>02501207900</v>
      </c>
      <c r="B4787" s="1" t="str">
        <f>"GHAZAZWAH MOHAMMED, ALGHZAWI IBTISAM QASIM"</f>
        <v>GHAZAZWAH MOHAMMED, ALGHZAWI IBTISAM QASIM</v>
      </c>
      <c r="C4787" s="1" t="str">
        <f>"PARK AT HARRISON POND VILLAGE AT ROCKY FORK SEC 10 PART 2 LOT 331"</f>
        <v>PARK AT HARRISON POND VILLAGE AT ROCKY FORK SEC 10 PART 2 LOT 331</v>
      </c>
      <c r="D4787" s="1">
        <v>638.77</v>
      </c>
    </row>
    <row r="4788" spans="1:4" x14ac:dyDescent="0.3">
      <c r="A4788" s="1" t="str">
        <f>"01010493900"</f>
        <v>01010493900</v>
      </c>
      <c r="B4788" s="1" t="str">
        <f>"GHENDO REAL ESTATE LLC"</f>
        <v>GHENDO REAL ESTATE LLC</v>
      </c>
      <c r="C4788" s="1" t="str">
        <f>"LINCOLN AVE CHASELAND MANOR LOT 162"</f>
        <v>LINCOLN AVE CHASELAND MANOR LOT 162</v>
      </c>
      <c r="D4788" s="1">
        <v>154.22999999999999</v>
      </c>
    </row>
    <row r="4789" spans="1:4" x14ac:dyDescent="0.3">
      <c r="A4789" s="1" t="str">
        <f>"01003907000"</f>
        <v>01003907000</v>
      </c>
      <c r="B4789" s="1" t="str">
        <f>"GHEY LLC"</f>
        <v>GHEY LLC</v>
      </c>
      <c r="C4789" s="1" t="str">
        <f>"989 S OHIO AVE OLD ORCHARD LOT 78"</f>
        <v>989 S OHIO AVE OLD ORCHARD LOT 78</v>
      </c>
      <c r="D4789" s="1">
        <v>4279.2700000000004</v>
      </c>
    </row>
    <row r="4790" spans="1:4" x14ac:dyDescent="0.3">
      <c r="A4790" s="1" t="str">
        <f>"27200026700"</f>
        <v>27200026700</v>
      </c>
      <c r="B4790" s="1" t="str">
        <f>"GHOLSON BRYAN D TTEE"</f>
        <v>GHOLSON BRYAN D TTEE</v>
      </c>
      <c r="C4790" s="1" t="str">
        <f>"COSGRAY RD ACRES .803 ENTRY 6366"</f>
        <v>COSGRAY RD ACRES .803 ENTRY 6366</v>
      </c>
      <c r="D4790" s="1">
        <v>1748.79</v>
      </c>
    </row>
    <row r="4791" spans="1:4" x14ac:dyDescent="0.3">
      <c r="A4791" s="1" t="str">
        <f>"59023689400"</f>
        <v>59023689400</v>
      </c>
      <c r="B4791" s="1" t="str">
        <f>"GHOSE NABARUN, GHOSH SUSHMITA"</f>
        <v>GHOSE NABARUN, GHOSH SUSHMITA</v>
      </c>
      <c r="C4791" s="1" t="str">
        <f>"DUBLIN GREEN CONDOMINIUM 7TH AMD UNIT 6711-101"</f>
        <v>DUBLIN GREEN CONDOMINIUM 7TH AMD UNIT 6711-101</v>
      </c>
      <c r="D4791" s="1">
        <v>1929.81</v>
      </c>
    </row>
    <row r="4792" spans="1:4" x14ac:dyDescent="0.3">
      <c r="A4792" s="1" t="str">
        <f>"01004535200"</f>
        <v>01004535200</v>
      </c>
      <c r="B4792" s="1" t="str">
        <f>"GHT INVESTMENTS I LLC"</f>
        <v>GHT INVESTMENTS I LLC</v>
      </c>
      <c r="C4792" s="1" t="str">
        <f>"1169 MOUND ST EVANS HRS OAKWOOD AVE LOT 1-2"</f>
        <v>1169 MOUND ST EVANS HRS OAKWOOD AVE LOT 1-2</v>
      </c>
      <c r="D4792" s="1">
        <v>3844.89</v>
      </c>
    </row>
    <row r="4793" spans="1:4" x14ac:dyDescent="0.3">
      <c r="A4793" s="1" t="str">
        <f>"01009556600"</f>
        <v>01009556600</v>
      </c>
      <c r="B4793" s="1" t="str">
        <f>"GIAMMARCO TERESA, BIRCHFIELD JACQUELINE M"</f>
        <v>GIAMMARCO TERESA, BIRCHFIELD JACQUELINE M</v>
      </c>
      <c r="C4793" s="1" t="str">
        <f>"WALMAR DR KARL KNOLLS LOT 89"</f>
        <v>WALMAR DR KARL KNOLLS LOT 89</v>
      </c>
      <c r="D4793" s="1">
        <v>2593.58</v>
      </c>
    </row>
    <row r="4794" spans="1:4" x14ac:dyDescent="0.3">
      <c r="A4794" s="1" t="str">
        <f>"01013940100"</f>
        <v>01013940100</v>
      </c>
      <c r="B4794" s="1" t="str">
        <f>"GIANFORCARO NICHOLAS J, GIANFORCARO PHYLLIS J"</f>
        <v>GIANFORCARO NICHOLAS J, GIANFORCARO PHYLLIS J</v>
      </c>
      <c r="C4794" s="1" t="str">
        <f>"BIRKDALE DR WALNUT HILL PK LOT 65"</f>
        <v>BIRKDALE DR WALNUT HILL PK LOT 65</v>
      </c>
      <c r="D4794" s="1">
        <v>4267.8900000000003</v>
      </c>
    </row>
    <row r="4795" spans="1:4" x14ac:dyDescent="0.3">
      <c r="A4795" s="1" t="str">
        <f>"01001469600"</f>
        <v>01001469600</v>
      </c>
      <c r="B4795" s="1" t="str">
        <f>"GIBBONEY STEWARD G IV"</f>
        <v>GIBBONEY STEWARD G IV</v>
      </c>
      <c r="C4795" s="1" t="str">
        <f>"606 SOUTHWOOD W MERION EXRS LOT 434"</f>
        <v>606 SOUTHWOOD W MERION EXRS LOT 434</v>
      </c>
      <c r="D4795" s="1">
        <v>221.25</v>
      </c>
    </row>
    <row r="4796" spans="1:4" x14ac:dyDescent="0.3">
      <c r="A4796" s="1" t="str">
        <f>"01003244400"</f>
        <v>01003244400</v>
      </c>
      <c r="B4796" s="1" t="str">
        <f>"GIBBS KIMBERLY A TTEE"</f>
        <v>GIBBS KIMBERLY A TTEE</v>
      </c>
      <c r="C4796" s="1" t="str">
        <f>"STUDER AVE ALL LT 16 &amp; N 1/2 LT 17 LOCKBOURNE AVE"</f>
        <v>STUDER AVE ALL LT 16 &amp; N 1/2 LT 17 LOCKBOURNE AVE</v>
      </c>
      <c r="D4796" s="1">
        <v>2200</v>
      </c>
    </row>
    <row r="4797" spans="1:4" x14ac:dyDescent="0.3">
      <c r="A4797" s="1" t="str">
        <f>"01009652000"</f>
        <v>01009652000</v>
      </c>
      <c r="B4797" s="1" t="str">
        <f>"GIBBS TOMECCA"</f>
        <v>GIBBS TOMECCA</v>
      </c>
      <c r="C4797" s="1" t="str">
        <f>"TWENTYSIXTH AVE HAMILTON SCHOOL LOT 40"</f>
        <v>TWENTYSIXTH AVE HAMILTON SCHOOL LOT 40</v>
      </c>
      <c r="D4797" s="1">
        <v>1943.82</v>
      </c>
    </row>
    <row r="4798" spans="1:4" x14ac:dyDescent="0.3">
      <c r="A4798" s="1" t="str">
        <f>"01019098200"</f>
        <v>01019098200</v>
      </c>
      <c r="B4798" s="1" t="str">
        <f>"GIBLIN CASEY P"</f>
        <v>GIBLIN CASEY P</v>
      </c>
      <c r="C4798" s="1" t="str">
        <f>"WORTHINGTON FOREST CONDOMINIUM UNIT 730 BLDG 4"</f>
        <v>WORTHINGTON FOREST CONDOMINIUM UNIT 730 BLDG 4</v>
      </c>
      <c r="D4798" s="1">
        <v>416.38</v>
      </c>
    </row>
    <row r="4799" spans="1:4" x14ac:dyDescent="0.3">
      <c r="A4799" s="1" t="str">
        <f>"08000456900"</f>
        <v>08000456900</v>
      </c>
      <c r="B4799" s="1" t="str">
        <f>"GIBNEY KYLE J, GIBNEY CRYSTAL"</f>
        <v>GIBNEY KYLE J, GIBNEY CRYSTAL</v>
      </c>
      <c r="C4799" s="1" t="str">
        <f>"BURNS DRIVE LAKELAND SUB DIVISION 4 LOT 185"</f>
        <v>BURNS DRIVE LAKELAND SUB DIVISION 4 LOT 185</v>
      </c>
      <c r="D4799" s="1">
        <v>3947.72</v>
      </c>
    </row>
    <row r="4800" spans="1:4" x14ac:dyDescent="0.3">
      <c r="A4800" s="1" t="str">
        <f>"12000131800"</f>
        <v>12000131800</v>
      </c>
      <c r="B4800" s="1" t="str">
        <f>"GIBSON BRIAN M TTEE, GIBSON JENNIFER L TTEE"</f>
        <v>GIBSON BRIAN M TTEE, GIBSON JENNIFER L TTEE</v>
      </c>
      <c r="C4800" s="1" t="str">
        <f>"HAYDEN RUN ROAD ENTRY 1478 9.685ACRES"</f>
        <v>HAYDEN RUN ROAD ENTRY 1478 9.685ACRES</v>
      </c>
      <c r="D4800" s="1">
        <v>3483.45</v>
      </c>
    </row>
    <row r="4801" spans="1:4" x14ac:dyDescent="0.3">
      <c r="A4801" s="1" t="str">
        <f>"01006818700"</f>
        <v>01006818700</v>
      </c>
      <c r="B4801" s="1" t="str">
        <f>"GIBSON DARRYL M, GIBSON LORA K"</f>
        <v>GIBSON DARRYL M, GIBSON LORA K</v>
      </c>
      <c r="C4801" s="1" t="str">
        <f>"CLARK AVE HILLTONIA ANNEX LOT 26 BLK 16"</f>
        <v>CLARK AVE HILLTONIA ANNEX LOT 26 BLK 16</v>
      </c>
      <c r="D4801" s="1">
        <v>522.57000000000005</v>
      </c>
    </row>
    <row r="4802" spans="1:4" x14ac:dyDescent="0.3">
      <c r="A4802" s="1" t="str">
        <f>"01028203800"</f>
        <v>01028203800</v>
      </c>
      <c r="B4802" s="1" t="str">
        <f>"GIBSON MATTHEW W TTEE"</f>
        <v>GIBSON MATTHEW W TTEE</v>
      </c>
      <c r="C4802" s="1" t="str">
        <f>"225 N. FOURTH STREET      CONDOMINIUMS              UNIT 401                 "</f>
        <v xml:space="preserve">225 N. FOURTH STREET      CONDOMINIUMS              UNIT 401                 </v>
      </c>
      <c r="D4802" s="1">
        <v>4710.88</v>
      </c>
    </row>
    <row r="4803" spans="1:4" x14ac:dyDescent="0.3">
      <c r="A4803" s="1" t="str">
        <f>"06000057700"</f>
        <v>06000057700</v>
      </c>
      <c r="B4803" s="1" t="str">
        <f>"GIBSON PAULA M"</f>
        <v>GIBSON PAULA M</v>
      </c>
      <c r="C4803" s="1" t="str">
        <f>"SUNVIEW RD BROOKSIDE PK 2 153 "</f>
        <v xml:space="preserve">SUNVIEW RD BROOKSIDE PK 2 153 </v>
      </c>
      <c r="D4803" s="1">
        <v>3379.96</v>
      </c>
    </row>
    <row r="4804" spans="1:4" x14ac:dyDescent="0.3">
      <c r="A4804" s="1" t="str">
        <f>"04000922300"</f>
        <v>04000922300</v>
      </c>
      <c r="B4804" s="1" t="str">
        <f>"GIBSON RICK, GIBSON SHELLEY"</f>
        <v>GIBSON RICK, GIBSON SHELLEY</v>
      </c>
      <c r="C4804" s="1" t="str">
        <f>"CRNR HOOVER &amp; ORDERS ENTRY 1383 1.919AC(1.89 AC R/W)"</f>
        <v>CRNR HOOVER &amp; ORDERS ENTRY 1383 1.919AC(1.89 AC R/W)</v>
      </c>
      <c r="D4804" s="1">
        <v>15.04</v>
      </c>
    </row>
    <row r="4805" spans="1:4" x14ac:dyDescent="0.3">
      <c r="A4805" s="1" t="str">
        <f>"16000252500"</f>
        <v>16000252500</v>
      </c>
      <c r="B4805" s="1" t="str">
        <f>"GIBSON RICKY L, GIBSON SHELLEY L"</f>
        <v>GIBSON RICKY L, GIBSON SHELLEY L</v>
      </c>
      <c r="C4805" s="1" t="str">
        <f>"HIBBS RD ENTRY 1105-6115 1.812 ACRES"</f>
        <v>HIBBS RD ENTRY 1105-6115 1.812 ACRES</v>
      </c>
      <c r="D4805" s="1">
        <v>2846.06</v>
      </c>
    </row>
    <row r="4806" spans="1:4" x14ac:dyDescent="0.3">
      <c r="A4806" s="1" t="str">
        <f>"14000166600"</f>
        <v>14000166600</v>
      </c>
      <c r="B4806" s="1" t="str">
        <f>"GIBSON ROGER L JR"</f>
        <v>GIBSON ROGER L JR</v>
      </c>
      <c r="C4806" s="1" t="str">
        <f>"2179 HARRISBURG PI OQ1000 ENTRY 1454 .234 ACRE"</f>
        <v>2179 HARRISBURG PI OQ1000 ENTRY 1454 .234 ACRE</v>
      </c>
      <c r="D4806" s="1">
        <v>2335.44</v>
      </c>
    </row>
    <row r="4807" spans="1:4" x14ac:dyDescent="0.3">
      <c r="A4807" s="1" t="str">
        <f>"10000548300"</f>
        <v>10000548300</v>
      </c>
      <c r="B4807" s="1" t="str">
        <f>"GIESLER DAVID, GIESLER NANCY"</f>
        <v>GIESLER DAVID, GIESLER NANCY</v>
      </c>
      <c r="C4807" s="1" t="str">
        <f>"210 ST ANTOINE DR VILLE CHARMANTE PT 4 UNIT 25-D"</f>
        <v>210 ST ANTOINE DR VILLE CHARMANTE PT 4 UNIT 25-D</v>
      </c>
      <c r="D4807" s="1">
        <v>3359.2</v>
      </c>
    </row>
    <row r="4808" spans="1:4" x14ac:dyDescent="0.3">
      <c r="A4808" s="1" t="str">
        <f>"01002364200"</f>
        <v>01002364200</v>
      </c>
      <c r="B4808" s="1" t="str">
        <f>"GIGONDAS ENTERPRISES LLC"</f>
        <v>GIGONDAS ENTERPRISES LLC</v>
      </c>
      <c r="C4808" s="1" t="str">
        <f>"1856 E MAIN ST MARTIN &amp; STAGES LOT 10"</f>
        <v>1856 E MAIN ST MARTIN &amp; STAGES LOT 10</v>
      </c>
      <c r="D4808" s="1">
        <v>102.09</v>
      </c>
    </row>
    <row r="4809" spans="1:4" x14ac:dyDescent="0.3">
      <c r="A4809" s="1" t="str">
        <f>"01006544500"</f>
        <v>01006544500</v>
      </c>
      <c r="B4809" s="1" t="str">
        <f>"GILBERT BILLIE J"</f>
        <v>GILBERT BILLIE J</v>
      </c>
      <c r="C4809" s="1" t="str">
        <f>"N WESTGATE AVE COLUMBIA PARK LOT 8 BLK 2"</f>
        <v>N WESTGATE AVE COLUMBIA PARK LOT 8 BLK 2</v>
      </c>
      <c r="D4809" s="1">
        <v>10.42</v>
      </c>
    </row>
    <row r="4810" spans="1:4" x14ac:dyDescent="0.3">
      <c r="A4810" s="1" t="str">
        <f>"05000102500"</f>
        <v>05000102500</v>
      </c>
      <c r="B4810" s="1" t="str">
        <f>"GILBERT JOHN M, GILBERT TONI L"</f>
        <v>GILBERT JOHN M, GILBERT TONI L</v>
      </c>
      <c r="C4810" s="1" t="str">
        <f>"5226 HERITAGE LANE RONALD K CONKLIN LOT 72"</f>
        <v>5226 HERITAGE LANE RONALD K CONKLIN LOT 72</v>
      </c>
      <c r="D4810" s="1">
        <v>5225.2</v>
      </c>
    </row>
    <row r="4811" spans="1:4" x14ac:dyDescent="0.3">
      <c r="A4811" s="1" t="str">
        <f>"14800063800"</f>
        <v>14800063800</v>
      </c>
      <c r="B4811" s="1" t="str">
        <f>"GILBERT RANDY P, GILBERT KAREN S"</f>
        <v>GILBERT RANDY P, GILBERT KAREN S</v>
      </c>
      <c r="C4811" s="1" t="str">
        <f>"2622 VALLEY VIEW DR VALLEYVIEW 36"</f>
        <v>2622 VALLEY VIEW DR VALLEYVIEW 36</v>
      </c>
      <c r="D4811" s="1">
        <v>4768.7</v>
      </c>
    </row>
    <row r="4812" spans="1:4" x14ac:dyDescent="0.3">
      <c r="A4812" s="1" t="str">
        <f>"27300870300"</f>
        <v>27300870300</v>
      </c>
      <c r="B4812" s="1" t="str">
        <f>"GILBERT SHAD MICHAEL, GILBERT MONICA CLAIRE"</f>
        <v>GILBERT SHAD MICHAEL, GILBERT MONICA CLAIRE</v>
      </c>
      <c r="C4812" s="1" t="str">
        <f>"7143 GRANDEE CLIFFS GRANDEE CLIFFS EST LOT 8"</f>
        <v>7143 GRANDEE CLIFFS GRANDEE CLIFFS EST LOT 8</v>
      </c>
      <c r="D4812" s="1">
        <v>2958.63</v>
      </c>
    </row>
    <row r="4813" spans="1:4" x14ac:dyDescent="0.3">
      <c r="A4813" s="1" t="str">
        <f>"01006825000"</f>
        <v>01006825000</v>
      </c>
      <c r="B4813" s="1" t="str">
        <f>"GILDEN LISA"</f>
        <v>GILDEN LISA</v>
      </c>
      <c r="C4813" s="1" t="str">
        <f>"589 S WARREN AVE HEFFNER HEIGHTS LOT 24"</f>
        <v>589 S WARREN AVE HEFFNER HEIGHTS LOT 24</v>
      </c>
      <c r="D4813" s="1">
        <v>219.47</v>
      </c>
    </row>
    <row r="4814" spans="1:4" x14ac:dyDescent="0.3">
      <c r="A4814" s="1" t="str">
        <f>"24000596500"</f>
        <v>24000596500</v>
      </c>
      <c r="B4814" s="1" t="str">
        <f>"GILL JUDITH LYNN"</f>
        <v>GILL JUDITH LYNN</v>
      </c>
      <c r="C4814" s="1" t="str">
        <f>"GLENFORD VILL CONDMN UNIT 14-A "</f>
        <v xml:space="preserve">GLENFORD VILL CONDMN UNIT 14-A </v>
      </c>
      <c r="D4814" s="1">
        <v>302.61</v>
      </c>
    </row>
    <row r="4815" spans="1:4" x14ac:dyDescent="0.3">
      <c r="A4815" s="1" t="str">
        <f>"01030012500"</f>
        <v>01030012500</v>
      </c>
      <c r="B4815" s="1" t="str">
        <f>"GILL LAWERENCE, GILL MARILYN"</f>
        <v>GILL LAWERENCE, GILL MARILYN</v>
      </c>
      <c r="C4815" s="1" t="str">
        <f>"14TH HOLE CONDOMINIUM 1ST AMD UNIT 702"</f>
        <v>14TH HOLE CONDOMINIUM 1ST AMD UNIT 702</v>
      </c>
      <c r="D4815" s="1">
        <v>4422.18</v>
      </c>
    </row>
    <row r="4816" spans="1:4" x14ac:dyDescent="0.3">
      <c r="A4816" s="1" t="str">
        <f>"07000769900"</f>
        <v>07000769900</v>
      </c>
      <c r="B4816" s="1" t="str">
        <f>"GILL MARY A"</f>
        <v>GILL MARY A</v>
      </c>
      <c r="C4816" s="1" t="str">
        <f>"3978 RIVERSIDE DR RIVER LAWN ALL LOT 6 &amp; NE 5"</f>
        <v>3978 RIVERSIDE DR RIVER LAWN ALL LOT 6 &amp; NE 5</v>
      </c>
      <c r="D4816" s="1">
        <v>552.66</v>
      </c>
    </row>
    <row r="4817" spans="1:4" x14ac:dyDescent="0.3">
      <c r="A4817" s="1" t="str">
        <f>"02000440100"</f>
        <v>02000440100</v>
      </c>
      <c r="B4817" s="1" t="str">
        <f>"GILLER GARY D, GILLER BARBARA E"</f>
        <v>GILLER GARY D, GILLER BARBARA E</v>
      </c>
      <c r="C4817" s="1" t="str">
        <f>"23 SESSIONS DR SESSIONS LOT 23"</f>
        <v>23 SESSIONS DR SESSIONS LOT 23</v>
      </c>
      <c r="D4817" s="1">
        <v>563.86</v>
      </c>
    </row>
    <row r="4818" spans="1:4" x14ac:dyDescent="0.3">
      <c r="A4818" s="1" t="str">
        <f>"01016115200"</f>
        <v>01016115200</v>
      </c>
      <c r="B4818" s="1" t="str">
        <f>"GILLIAM PAMALA"</f>
        <v>GILLIAM PAMALA</v>
      </c>
      <c r="C4818" s="1" t="str">
        <f>"WOODBROOK LANE WOODBROOK VILLAGE CONDO UNIT 186"</f>
        <v>WOODBROOK LANE WOODBROOK VILLAGE CONDO UNIT 186</v>
      </c>
      <c r="D4818" s="1">
        <v>984.8</v>
      </c>
    </row>
    <row r="4819" spans="1:4" x14ac:dyDescent="0.3">
      <c r="A4819" s="1" t="str">
        <f>"56027218000"</f>
        <v>56027218000</v>
      </c>
      <c r="B4819" s="1" t="str">
        <f>"GILLIAM SHARON"</f>
        <v>GILLIAM SHARON</v>
      </c>
      <c r="C4819" s="1" t="str">
        <f>"THE MILLINGTON CONDOMINIUM AT MILL RUN BLDG A-16 UNIT 3410"</f>
        <v>THE MILLINGTON CONDOMINIUM AT MILL RUN BLDG A-16 UNIT 3410</v>
      </c>
      <c r="D4819" s="1">
        <v>1573.84</v>
      </c>
    </row>
    <row r="4820" spans="1:4" x14ac:dyDescent="0.3">
      <c r="A4820" s="1" t="str">
        <f>"07000386400"</f>
        <v>07000386400</v>
      </c>
      <c r="B4820" s="1" t="str">
        <f>"GILLIE CAROLYN W"</f>
        <v>GILLIE CAROLYN W</v>
      </c>
      <c r="C4820" s="1" t="str">
        <f>"FARLEIGH RD CANTERBURY PL 10 BLK .262"</f>
        <v>FARLEIGH RD CANTERBURY PL 10 BLK .262</v>
      </c>
      <c r="D4820" s="1">
        <v>537.87</v>
      </c>
    </row>
    <row r="4821" spans="1:4" x14ac:dyDescent="0.3">
      <c r="A4821" s="1" t="str">
        <f>"11000424700"</f>
        <v>11000424700</v>
      </c>
      <c r="B4821" s="1" t="str">
        <f>"GILLIGAN SARA M"</f>
        <v>GILLIGAN SARA M</v>
      </c>
      <c r="C4821" s="1" t="str">
        <f>"KARIKAL DR GLENGARY HTS LOT 323 &amp; PT RES M"</f>
        <v>KARIKAL DR GLENGARY HTS LOT 323 &amp; PT RES M</v>
      </c>
      <c r="D4821" s="1">
        <v>249.52</v>
      </c>
    </row>
    <row r="4822" spans="1:4" x14ac:dyDescent="0.3">
      <c r="A4822" s="1" t="str">
        <f>"01007422900"</f>
        <v>01007422900</v>
      </c>
      <c r="B4822" s="1" t="str">
        <f>"GILLILAN CHRISTOPHER S"</f>
        <v>GILLILAN CHRISTOPHER S</v>
      </c>
      <c r="C4822" s="1" t="str">
        <f>"HIAWATHIA ST ALMADA LOT 579"</f>
        <v>HIAWATHIA ST ALMADA LOT 579</v>
      </c>
      <c r="D4822" s="1">
        <v>700.1</v>
      </c>
    </row>
    <row r="4823" spans="1:4" x14ac:dyDescent="0.3">
      <c r="A4823" s="1" t="str">
        <f>"01020842200"</f>
        <v>01020842200</v>
      </c>
      <c r="B4823" s="1" t="str">
        <f>"GILLILAN PAUL"</f>
        <v>GILLILAN PAUL</v>
      </c>
      <c r="C4823" s="1" t="str">
        <f>"NORTHLAND SENIOR VILLAGE CONDO 3 UNIT 107"</f>
        <v>NORTHLAND SENIOR VILLAGE CONDO 3 UNIT 107</v>
      </c>
      <c r="D4823" s="1">
        <v>1479.81</v>
      </c>
    </row>
    <row r="4824" spans="1:4" x14ac:dyDescent="0.3">
      <c r="A4824" s="1" t="str">
        <f>"05000923000"</f>
        <v>05000923000</v>
      </c>
      <c r="B4824" s="1" t="str">
        <f>"GILLILAND AMBER"</f>
        <v>GILLILAND AMBER</v>
      </c>
      <c r="C4824" s="1" t="str">
        <f>"DARBY PARK CONDOMINIUM UNIT 10-3999"</f>
        <v>DARBY PARK CONDOMINIUM UNIT 10-3999</v>
      </c>
      <c r="D4824" s="1">
        <v>307.56</v>
      </c>
    </row>
    <row r="4825" spans="1:4" x14ac:dyDescent="0.3">
      <c r="A4825" s="1" t="str">
        <f>"24000419900"</f>
        <v>24000419900</v>
      </c>
      <c r="B4825" s="1" t="str">
        <f>"GILLILAND LILLIE M"</f>
        <v>GILLILAND LILLIE M</v>
      </c>
      <c r="C4825" s="1" t="str">
        <f>"REDMOND RD LINCOLN VILLAGE S LOT 36"</f>
        <v>REDMOND RD LINCOLN VILLAGE S LOT 36</v>
      </c>
      <c r="D4825" s="1">
        <v>2925.54</v>
      </c>
    </row>
    <row r="4826" spans="1:4" x14ac:dyDescent="0.3">
      <c r="A4826" s="1" t="str">
        <f>"01002953100"</f>
        <v>01002953100</v>
      </c>
      <c r="B4826" s="1" t="str">
        <f>"GILLIOM JAMIE C, GILLIOM GREGOR W"</f>
        <v>GILLIOM JAMIE C, GILLIOM GREGOR W</v>
      </c>
      <c r="C4826" s="1" t="str">
        <f>"857-859 CITY PARK JAEGER 35.65'NS  E1/2 LT 84"</f>
        <v>857-859 CITY PARK JAEGER 35.65'NS  E1/2 LT 84</v>
      </c>
      <c r="D4826" s="1">
        <v>580.16</v>
      </c>
    </row>
    <row r="4827" spans="1:4" x14ac:dyDescent="0.3">
      <c r="A4827" s="1" t="str">
        <f>"57016520800"</f>
        <v>57016520800</v>
      </c>
      <c r="B4827" s="1" t="str">
        <f>"GILLUM JARRETT RAYMOND"</f>
        <v>GILLUM JARRETT RAYMOND</v>
      </c>
      <c r="C4827" s="1" t="str">
        <f>"LAUREL GREENE PLACE LAUREL GREENE LOT 41"</f>
        <v>LAUREL GREENE PLACE LAUREL GREENE LOT 41</v>
      </c>
      <c r="D4827" s="1">
        <v>1467.72</v>
      </c>
    </row>
    <row r="4828" spans="1:4" x14ac:dyDescent="0.3">
      <c r="A4828" s="1" t="str">
        <f>"18500174500"</f>
        <v>18500174500</v>
      </c>
      <c r="B4828" s="1" t="str">
        <f>"GILMAN DONNA"</f>
        <v>GILMAN DONNA</v>
      </c>
      <c r="C4828" s="1" t="str">
        <f>"GREENHILL DRIVE NEWPORT VILLAGE SECTION 1 LOT 36"</f>
        <v>GREENHILL DRIVE NEWPORT VILLAGE SECTION 1 LOT 36</v>
      </c>
      <c r="D4828" s="1">
        <v>192.27</v>
      </c>
    </row>
    <row r="4829" spans="1:4" x14ac:dyDescent="0.3">
      <c r="A4829" s="1" t="str">
        <f>"07000151600"</f>
        <v>07000151600</v>
      </c>
      <c r="B4829" s="1" t="str">
        <f>"GILMORE RYAN, GILMORE AMY"</f>
        <v>GILMORE RYAN, GILMORE AMY</v>
      </c>
      <c r="C4829" s="1" t="str">
        <f>"1540 CARDIFF RD UNIVERSITY LOT 12 BLK 3"</f>
        <v>1540 CARDIFF RD UNIVERSITY LOT 12 BLK 3</v>
      </c>
      <c r="D4829" s="1">
        <v>1447.6</v>
      </c>
    </row>
    <row r="4830" spans="1:4" x14ac:dyDescent="0.3">
      <c r="A4830" s="1" t="str">
        <f>"01006714900"</f>
        <v>01006714900</v>
      </c>
      <c r="B4830" s="1" t="str">
        <f>"GILPIN ELIZABETH"</f>
        <v>GILPIN ELIZABETH</v>
      </c>
      <c r="C4830" s="1" t="str">
        <f>"252 PRESTON RD 75FT NS MARION HTS LOT 49"</f>
        <v>252 PRESTON RD 75FT NS MARION HTS LOT 49</v>
      </c>
      <c r="D4830" s="1">
        <v>15687.61</v>
      </c>
    </row>
    <row r="4831" spans="1:4" x14ac:dyDescent="0.3">
      <c r="A4831" s="1" t="str">
        <f>"27300703200"</f>
        <v>27300703200</v>
      </c>
      <c r="B4831" s="1" t="str">
        <f>"GILSON TAMAR J"</f>
        <v>GILSON TAMAR J</v>
      </c>
      <c r="C4831" s="1" t="str">
        <f>"BRIGIDS CLOSE DR DUBLINSHIRE SEC5 PH3 LOT 463"</f>
        <v>BRIGIDS CLOSE DR DUBLINSHIRE SEC5 PH3 LOT 463</v>
      </c>
      <c r="D4831" s="1">
        <v>7425.11</v>
      </c>
    </row>
    <row r="4832" spans="1:4" x14ac:dyDescent="0.3">
      <c r="A4832" s="1" t="str">
        <f>"14000436400"</f>
        <v>14000436400</v>
      </c>
      <c r="B4832" s="1" t="str">
        <f>"GINDS LLC"</f>
        <v>GINDS LLC</v>
      </c>
      <c r="C4832" s="1" t="str">
        <f>"1520 ENGADINE AVE ACRES .191 O Q 1000 ENTRY 717"</f>
        <v>1520 ENGADINE AVE ACRES .191 O Q 1000 ENTRY 717</v>
      </c>
      <c r="D4832" s="1">
        <v>2117.37</v>
      </c>
    </row>
    <row r="4833" spans="1:4" x14ac:dyDescent="0.3">
      <c r="A4833" s="1" t="str">
        <f>"01012442100"</f>
        <v>01012442100</v>
      </c>
      <c r="B4833" s="1" t="str">
        <f>"GINYARD REGINALD, GINYARD KAREN"</f>
        <v>GINYARD REGINALD, GINYARD KAREN</v>
      </c>
      <c r="C4833" s="1" t="str">
        <f>"ELLERY DR WALNUT VILLAGE 2 LOT 58"</f>
        <v>ELLERY DR WALNUT VILLAGE 2 LOT 58</v>
      </c>
      <c r="D4833" s="1">
        <v>3116.15</v>
      </c>
    </row>
    <row r="4834" spans="1:4" x14ac:dyDescent="0.3">
      <c r="A4834" s="1" t="str">
        <f>"02500685400"</f>
        <v>02500685400</v>
      </c>
      <c r="B4834" s="1" t="str">
        <f>"GISSENDANER FRED L TTEE"</f>
        <v>GISSENDANER FRED L TTEE</v>
      </c>
      <c r="C4834" s="1" t="str">
        <f>"520 WHITSON DRIVE RATHBURN WOODS LOT 31"</f>
        <v>520 WHITSON DRIVE RATHBURN WOODS LOT 31</v>
      </c>
      <c r="D4834" s="1">
        <v>8698.16</v>
      </c>
    </row>
    <row r="4835" spans="1:4" x14ac:dyDescent="0.3">
      <c r="A4835" s="1" t="str">
        <f>"02500958000"</f>
        <v>02500958000</v>
      </c>
      <c r="B4835" s="1" t="str">
        <f>"GITTENS LEON O, GITTENS JUANITA L"</f>
        <v>GITTENS LEON O, GITTENS JUANITA L</v>
      </c>
      <c r="C4835" s="1" t="str">
        <f>"RIDENOUR ROAD PINNACLE WOODS LOT 18"</f>
        <v>RIDENOUR ROAD PINNACLE WOODS LOT 18</v>
      </c>
      <c r="D4835" s="1">
        <v>9596.11</v>
      </c>
    </row>
    <row r="4836" spans="1:4" x14ac:dyDescent="0.3">
      <c r="A4836" s="1" t="str">
        <f>"57026060400"</f>
        <v>57026060400</v>
      </c>
      <c r="B4836" s="1" t="str">
        <f>"GIWA SHAMSIDEEN"</f>
        <v>GIWA SHAMSIDEEN</v>
      </c>
      <c r="C4836" s="1" t="str">
        <f>"HARPERS GROVE COURT FOREST GROVE LOT 30"</f>
        <v>HARPERS GROVE COURT FOREST GROVE LOT 30</v>
      </c>
      <c r="D4836" s="1">
        <v>1205.46</v>
      </c>
    </row>
    <row r="4837" spans="1:4" x14ac:dyDescent="0.3">
      <c r="A4837" s="1" t="str">
        <f>"01018275900"</f>
        <v>01018275900</v>
      </c>
      <c r="B4837" s="1" t="str">
        <f>"GIZUNTERMAN DAVID, GIZUNTERMAN BETYA"</f>
        <v>GIZUNTERMAN DAVID, GIZUNTERMAN BETYA</v>
      </c>
      <c r="C4837" s="1" t="str">
        <f>"BIDWELL LN SMITH FARMS II CON 8 BLDG 18 UNIT B"</f>
        <v>BIDWELL LN SMITH FARMS II CON 8 BLDG 18 UNIT B</v>
      </c>
      <c r="D4837" s="1">
        <v>1495.16</v>
      </c>
    </row>
    <row r="4838" spans="1:4" x14ac:dyDescent="0.3">
      <c r="A4838" s="1" t="str">
        <f>"01008861000"</f>
        <v>01008861000</v>
      </c>
      <c r="B4838" s="1" t="str">
        <f>"GJ3413 LLC"</f>
        <v>GJ3413 LLC</v>
      </c>
      <c r="C4838" s="1" t="str">
        <f>"3413 E MAIN ST 2ND MAIN ST TERR LOT 364"</f>
        <v>3413 E MAIN ST 2ND MAIN ST TERR LOT 364</v>
      </c>
      <c r="D4838" s="1">
        <v>1585.2</v>
      </c>
    </row>
    <row r="4839" spans="1:4" x14ac:dyDescent="0.3">
      <c r="A4839" s="1" t="str">
        <f>"01003353200"</f>
        <v>01003353200</v>
      </c>
      <c r="B4839" s="1" t="str">
        <f>"GJ3413 LLC"</f>
        <v>GJ3413 LLC</v>
      </c>
      <c r="C4839" s="1" t="str">
        <f>"3419 E MAIN ST 2ND MAIN ST TERRACE LOT 365"</f>
        <v>3419 E MAIN ST 2ND MAIN ST TERRACE LOT 365</v>
      </c>
      <c r="D4839" s="1">
        <v>1742.04</v>
      </c>
    </row>
    <row r="4840" spans="1:4" x14ac:dyDescent="0.3">
      <c r="A4840" s="1" t="str">
        <f>"01022886400"</f>
        <v>01022886400</v>
      </c>
      <c r="B4840" s="1" t="str">
        <f>"GJURCHINOVSKI BORIS, PETANCESKI SEBASTIAN Z, PETANCESKI JOVANKA"</f>
        <v>GJURCHINOVSKI BORIS, PETANCESKI SEBASTIAN Z, PETANCESKI JOVANKA</v>
      </c>
      <c r="C4840" s="1" t="str">
        <f>"MCNEILL FARMS EAST CONDOMINIUM 1ST AMD UNIT 14E"</f>
        <v>MCNEILL FARMS EAST CONDOMINIUM 1ST AMD UNIT 14E</v>
      </c>
      <c r="D4840" s="1">
        <v>687.48</v>
      </c>
    </row>
    <row r="4841" spans="1:4" x14ac:dyDescent="0.3">
      <c r="A4841" s="1" t="str">
        <f>"03000016100"</f>
        <v>03000016100</v>
      </c>
      <c r="B4841" s="1" t="str">
        <f>"GLADMAN MICHAEL R, DUFFY MARJORIE P"</f>
        <v>GLADMAN MICHAEL R, DUFFY MARJORIE P</v>
      </c>
      <c r="C4841" s="1" t="str">
        <f>"1116 BROADVIEW AVE 40FT 58&amp;15 FT 63 GRANDVIEW 58-63"</f>
        <v>1116 BROADVIEW AVE 40FT 58&amp;15 FT 63 GRANDVIEW 58-63</v>
      </c>
      <c r="D4841" s="1">
        <v>628.04999999999995</v>
      </c>
    </row>
    <row r="4842" spans="1:4" x14ac:dyDescent="0.3">
      <c r="A4842" s="1" t="str">
        <f>"01001235200"</f>
        <v>01001235200</v>
      </c>
      <c r="B4842" s="1" t="str">
        <f>"GLANCY JONATHAN, GLANCY PATRICIA"</f>
        <v>GLANCY JONATHAN, GLANCY PATRICIA</v>
      </c>
      <c r="C4842" s="1" t="str">
        <f>"1411 BRUCK ST HINMANS LOT 48"</f>
        <v>1411 BRUCK ST HINMANS LOT 48</v>
      </c>
      <c r="D4842" s="1">
        <v>3150.99</v>
      </c>
    </row>
    <row r="4843" spans="1:4" x14ac:dyDescent="0.3">
      <c r="A4843" s="1" t="str">
        <f>"01001586800"</f>
        <v>01001586800</v>
      </c>
      <c r="B4843" s="1" t="str">
        <f>"GLASCO ROBERT C, GLASCO ELLA L"</f>
        <v>GLASCO ROBERT C, GLASCO ELLA L</v>
      </c>
      <c r="C4843" s="1" t="str">
        <f>"EUREKA AVE BELLAIRE EX LOT 253-254"</f>
        <v>EUREKA AVE BELLAIRE EX LOT 253-254</v>
      </c>
      <c r="D4843" s="1">
        <v>3.8</v>
      </c>
    </row>
    <row r="4844" spans="1:4" x14ac:dyDescent="0.3">
      <c r="A4844" s="1" t="str">
        <f>"06000030900"</f>
        <v>06000030900</v>
      </c>
      <c r="B4844" s="1" t="str">
        <f>"GLASS DUANE E"</f>
        <v>GLASS DUANE E</v>
      </c>
      <c r="C4844" s="1" t="str">
        <f>"7424 E MAIN STREET OLD REYNOLDSBURG PLT W1/2 LOT 75 &amp;.125 AC"</f>
        <v>7424 E MAIN STREET OLD REYNOLDSBURG PLT W1/2 LOT 75 &amp;.125 AC</v>
      </c>
      <c r="D4844" s="1">
        <v>119.97</v>
      </c>
    </row>
    <row r="4845" spans="1:4" x14ac:dyDescent="0.3">
      <c r="A4845" s="1" t="str">
        <f>"61017815000"</f>
        <v>61017815000</v>
      </c>
      <c r="B4845" s="1" t="str">
        <f>"GLASSBURN NANCY T"</f>
        <v>GLASSBURN NANCY T</v>
      </c>
      <c r="C4845" s="1" t="str">
        <f>"MINTURN DR SMOKY RIDGE ESTATE 4 LOT 374"</f>
        <v>MINTURN DR SMOKY RIDGE ESTATE 4 LOT 374</v>
      </c>
      <c r="D4845" s="1">
        <v>7092.35</v>
      </c>
    </row>
    <row r="4846" spans="1:4" x14ac:dyDescent="0.3">
      <c r="A4846" s="1" t="str">
        <f>"25415187200"</f>
        <v>25415187200</v>
      </c>
      <c r="B4846" s="1" t="str">
        <f>"GLASSCOCK JEFFREY A, GLASSCOCK LYNDA L"</f>
        <v>GLASSCOCK JEFFREY A, GLASSCOCK LYNDA L</v>
      </c>
      <c r="C4846" s="1" t="str">
        <f>"264 WESTVIEW AVE 2 1/2 HOMEDALE LOT 48"</f>
        <v>264 WESTVIEW AVE 2 1/2 HOMEDALE LOT 48</v>
      </c>
      <c r="D4846" s="1">
        <v>3351.92</v>
      </c>
    </row>
    <row r="4847" spans="1:4" x14ac:dyDescent="0.3">
      <c r="A4847" s="1" t="str">
        <f>"10000112100"</f>
        <v>10000112100</v>
      </c>
      <c r="B4847" s="1" t="str">
        <f>"GLAZE LLC"</f>
        <v>GLAZE LLC</v>
      </c>
      <c r="C4847" s="1" t="str">
        <f>"1012 N HIGH ST .498 ACRES MAIN ST ACRES"</f>
        <v>1012 N HIGH ST .498 ACRES MAIN ST ACRES</v>
      </c>
      <c r="D4847" s="1">
        <v>1252.18</v>
      </c>
    </row>
    <row r="4848" spans="1:4" x14ac:dyDescent="0.3">
      <c r="A4848" s="1" t="str">
        <f>"59021300400"</f>
        <v>59021300400</v>
      </c>
      <c r="B4848" s="1" t="str">
        <f>"GLEASON HOLLY ANNE"</f>
        <v>GLEASON HOLLY ANNE</v>
      </c>
      <c r="C4848" s="1" t="str">
        <f>"GRAYSTONE MANOR CONDOMINIUM 1ST AMD BLDG 10 UNIT 3839"</f>
        <v>GRAYSTONE MANOR CONDOMINIUM 1ST AMD BLDG 10 UNIT 3839</v>
      </c>
      <c r="D4848" s="1">
        <v>2223.36</v>
      </c>
    </row>
    <row r="4849" spans="1:4" x14ac:dyDescent="0.3">
      <c r="A4849" s="1" t="str">
        <f>"61019382900"</f>
        <v>61019382900</v>
      </c>
      <c r="B4849" s="1" t="str">
        <f>"GLEICH SUSAN"</f>
        <v>GLEICH SUSAN</v>
      </c>
      <c r="C4849" s="1" t="str">
        <f>"PACIFIC CT WORTHINGTON WOODS 4 LOT 77"</f>
        <v>PACIFIC CT WORTHINGTON WOODS 4 LOT 77</v>
      </c>
      <c r="D4849" s="1">
        <v>293.19</v>
      </c>
    </row>
    <row r="4850" spans="1:4" x14ac:dyDescent="0.3">
      <c r="A4850" s="1" t="str">
        <f>"18000175400"</f>
        <v>18000175400</v>
      </c>
      <c r="B4850" s="1" t="str">
        <f>"GLEICH SUZANNE"</f>
        <v>GLEICH SUZANNE</v>
      </c>
      <c r="C4850" s="1" t="str">
        <f>"JOHNANNE DRIVE CENTURY ACRES LOT 23"</f>
        <v>JOHNANNE DRIVE CENTURY ACRES LOT 23</v>
      </c>
      <c r="D4850" s="1">
        <v>2498.7399999999998</v>
      </c>
    </row>
    <row r="4851" spans="1:4" x14ac:dyDescent="0.3">
      <c r="A4851" s="1" t="str">
        <f>"01001036800"</f>
        <v>01001036800</v>
      </c>
      <c r="B4851" s="1" t="str">
        <f>"GLENN BRITTANY"</f>
        <v>GLENN BRITTANY</v>
      </c>
      <c r="C4851" s="1" t="str">
        <f>"337 LINWOOD AVE SHARP PARCELS SUB 8 1/2 SEC 23"</f>
        <v>337 LINWOOD AVE SHARP PARCELS SUB 8 1/2 SEC 23</v>
      </c>
      <c r="D4851" s="1">
        <v>5987.61</v>
      </c>
    </row>
    <row r="4852" spans="1:4" x14ac:dyDescent="0.3">
      <c r="A4852" s="1" t="str">
        <f>"04001361700"</f>
        <v>04001361700</v>
      </c>
      <c r="B4852" s="1" t="str">
        <f>"GLENN DEBRA M"</f>
        <v>GLENN DEBRA M</v>
      </c>
      <c r="C4852" s="1" t="str">
        <f>"FOUNTAINVIEW AT PARKWAY   CONDOMINIUM 6TH AMD       UNIT 28-1426             "</f>
        <v xml:space="preserve">FOUNTAINVIEW AT PARKWAY   CONDOMINIUM 6TH AMD       UNIT 28-1426             </v>
      </c>
      <c r="D4852" s="1">
        <v>2551.59</v>
      </c>
    </row>
    <row r="4853" spans="1:4" x14ac:dyDescent="0.3">
      <c r="A4853" s="1" t="str">
        <f>"01009386600"</f>
        <v>01009386600</v>
      </c>
      <c r="B4853" s="1" t="str">
        <f>"GLENN DEMETRIUS L TR"</f>
        <v>GLENN DEMETRIUS L TR</v>
      </c>
      <c r="C4853" s="1" t="str">
        <f>"EISENHOWER RD OAKLAND PK 2 AMD LOT 12"</f>
        <v>EISENHOWER RD OAKLAND PK 2 AMD LOT 12</v>
      </c>
      <c r="D4853" s="1">
        <v>1755.92</v>
      </c>
    </row>
    <row r="4854" spans="1:4" x14ac:dyDescent="0.3">
      <c r="A4854" s="1" t="str">
        <f>"11300018600"</f>
        <v>11300018600</v>
      </c>
      <c r="B4854" s="1" t="str">
        <f>"GLENN FONG H, GLENN DELMAR M"</f>
        <v>GLENN FONG H, GLENN DELMAR M</v>
      </c>
      <c r="C4854" s="1" t="str">
        <f>"2643 JORDAN RD 120.25 FT E PT JORDAN LOT 6"</f>
        <v>2643 JORDAN RD 120.25 FT E PT JORDAN LOT 6</v>
      </c>
      <c r="D4854" s="1">
        <v>217.16</v>
      </c>
    </row>
    <row r="4855" spans="1:4" x14ac:dyDescent="0.3">
      <c r="A4855" s="1" t="str">
        <f>"53018405300"</f>
        <v>53018405300</v>
      </c>
      <c r="B4855" s="1" t="str">
        <f>"GLENN LOUIS C"</f>
        <v>GLENN LOUIS C</v>
      </c>
      <c r="C4855" s="1" t="str">
        <f>"SPRINGTIME CT MADISON MILLS SEC 6 LOT 398"</f>
        <v>SPRINGTIME CT MADISON MILLS SEC 6 LOT 398</v>
      </c>
      <c r="D4855" s="1">
        <v>623.84</v>
      </c>
    </row>
    <row r="4856" spans="1:4" x14ac:dyDescent="0.3">
      <c r="A4856" s="1" t="str">
        <f>"01008066300"</f>
        <v>01008066300</v>
      </c>
      <c r="B4856" s="1" t="str">
        <f>"GLENN MARGARITA R TOD"</f>
        <v>GLENN MARGARITA R TOD</v>
      </c>
      <c r="C4856" s="1" t="str">
        <f>"986 KELTON AVE DRIVING PARK LOT 164"</f>
        <v>986 KELTON AVE DRIVING PARK LOT 164</v>
      </c>
      <c r="D4856" s="1">
        <v>1580.8</v>
      </c>
    </row>
    <row r="4857" spans="1:4" x14ac:dyDescent="0.3">
      <c r="A4857" s="1" t="str">
        <f>"01003514800"</f>
        <v>01003514800</v>
      </c>
      <c r="B4857" s="1" t="str">
        <f>"GLOBAL COMMUNITY UNITED METHODIST CHURCH"</f>
        <v>GLOBAL COMMUNITY UNITED METHODIST CHURCH</v>
      </c>
      <c r="C4857" s="1" t="str">
        <f>"32 TOMPKINS AVE KINNEAR LOT 13-14-15"</f>
        <v>32 TOMPKINS AVE KINNEAR LOT 13-14-15</v>
      </c>
      <c r="D4857" s="1">
        <v>2702.12</v>
      </c>
    </row>
    <row r="4858" spans="1:4" x14ac:dyDescent="0.3">
      <c r="A4858" s="1" t="str">
        <f>"01011513400"</f>
        <v>01011513400</v>
      </c>
      <c r="B4858" s="1" t="str">
        <f>"GLOBAL SEVEN STAR LLC"</f>
        <v>GLOBAL SEVEN STAR LLC</v>
      </c>
      <c r="C4858" s="1" t="str">
        <f>"COLLINGWOOD RD HOME ACRES LOT 109"</f>
        <v>COLLINGWOOD RD HOME ACRES LOT 109</v>
      </c>
      <c r="D4858" s="1">
        <v>1472.83</v>
      </c>
    </row>
    <row r="4859" spans="1:4" x14ac:dyDescent="0.3">
      <c r="A4859" s="1" t="str">
        <f>"01011947900"</f>
        <v>01011947900</v>
      </c>
      <c r="B4859" s="1" t="str">
        <f>"GLOBAL SEVEN STAR LLC"</f>
        <v>GLOBAL SEVEN STAR LLC</v>
      </c>
      <c r="C4859" s="1" t="str">
        <f>"GIBSON DR SCIOTO VILLAGE LOT 128"</f>
        <v>GIBSON DR SCIOTO VILLAGE LOT 128</v>
      </c>
      <c r="D4859" s="1">
        <v>1225.6300000000001</v>
      </c>
    </row>
    <row r="4860" spans="1:4" x14ac:dyDescent="0.3">
      <c r="A4860" s="1" t="str">
        <f>"15200092400"</f>
        <v>15200092400</v>
      </c>
      <c r="B4860" s="1" t="str">
        <f>"GLOBAL SEVEN STAR LLC"</f>
        <v>GLOBAL SEVEN STAR LLC</v>
      </c>
      <c r="C4860" s="1" t="str">
        <f>"SEDAN AVE R22 T1 S13 0.667 ACRE"</f>
        <v>SEDAN AVE R22 T1 S13 0.667 ACRE</v>
      </c>
      <c r="D4860" s="1">
        <v>1809.54</v>
      </c>
    </row>
    <row r="4861" spans="1:4" x14ac:dyDescent="0.3">
      <c r="A4861" s="1" t="str">
        <f>"60018804700"</f>
        <v>60018804700</v>
      </c>
      <c r="B4861" s="1" t="str">
        <f>"GLOBAL SEVEN STAR LLC"</f>
        <v>GLOBAL SEVEN STAR LLC</v>
      </c>
      <c r="C4861" s="1" t="str">
        <f>"GREAT HALL CT SHERWOOD COL CONDO 3 BLDG 8 UNIT E"</f>
        <v>GREAT HALL CT SHERWOOD COL CONDO 3 BLDG 8 UNIT E</v>
      </c>
      <c r="D4861" s="1">
        <v>1355.27</v>
      </c>
    </row>
    <row r="4862" spans="1:4" x14ac:dyDescent="0.3">
      <c r="A4862" s="1" t="str">
        <f>"01014695000"</f>
        <v>01014695000</v>
      </c>
      <c r="B4862" s="1" t="str">
        <f>"GLOVER BRET A"</f>
        <v>GLOVER BRET A</v>
      </c>
      <c r="C4862" s="1" t="str">
        <f>"FOREST PK EAST SEC 3 LOT 341 "</f>
        <v xml:space="preserve">FOREST PK EAST SEC 3 LOT 341 </v>
      </c>
      <c r="D4862" s="1">
        <v>1766.15</v>
      </c>
    </row>
    <row r="4863" spans="1:4" x14ac:dyDescent="0.3">
      <c r="A4863" s="1" t="str">
        <f>"01002114400"</f>
        <v>01002114400</v>
      </c>
      <c r="B4863" s="1" t="str">
        <f>"GMG CAPITAL INC"</f>
        <v>GMG CAPITAL INC</v>
      </c>
      <c r="C4863" s="1" t="str">
        <f>"WATKINS RD .551 ACRE R22 T4 S1"</f>
        <v>WATKINS RD .551 ACRE R22 T4 S1</v>
      </c>
      <c r="D4863" s="1">
        <v>5359.01</v>
      </c>
    </row>
    <row r="4864" spans="1:4" x14ac:dyDescent="0.3">
      <c r="A4864" s="1" t="str">
        <f>"01026296500"</f>
        <v>01026296500</v>
      </c>
      <c r="B4864" s="1" t="str">
        <f>"GMH"</f>
        <v>GMH</v>
      </c>
      <c r="C4864" s="1" t="str">
        <f>"ROSETTE DRIVE ALKIRE PLACE SECTION 2 LOT 128"</f>
        <v>ROSETTE DRIVE ALKIRE PLACE SECTION 2 LOT 128</v>
      </c>
      <c r="D4864" s="1">
        <v>2420.56</v>
      </c>
    </row>
    <row r="4865" spans="1:4" x14ac:dyDescent="0.3">
      <c r="A4865" s="1" t="str">
        <f>"03000044300"</f>
        <v>03000044300</v>
      </c>
      <c r="B4865" s="1" t="str">
        <f>"GML REAL ESTATE HOLDING LLC"</f>
        <v>GML REAL ESTATE HOLDING LLC</v>
      </c>
      <c r="C4865" s="1" t="str">
        <f>"F.S. WAGEN(T)HALS ET AL'S AMENDED SUBDIVISION OF LOTS IN J.R. TILTON'S GLADDINGTON HEIGHTS SUBDIVISION LOT 381"</f>
        <v>F.S. WAGEN(T)HALS ET AL'S AMENDED SUBDIVISION OF LOTS IN J.R. TILTON'S GLADDINGTON HEIGHTS SUBDIVISION LOT 381</v>
      </c>
      <c r="D4865" s="1">
        <v>9301.17</v>
      </c>
    </row>
    <row r="4866" spans="1:4" x14ac:dyDescent="0.3">
      <c r="A4866" s="1" t="str">
        <f>"06000876500"</f>
        <v>06000876500</v>
      </c>
      <c r="B4866" s="1" t="str">
        <f>"GMN CONGLOMERATE"</f>
        <v>GMN CONGLOMERATE</v>
      </c>
      <c r="C4866" s="1" t="str">
        <f>"1755 LANCASTER AV R20 T16 S18 1/4S29 0.371 ACRE"</f>
        <v>1755 LANCASTER AV R20 T16 S18 1/4S29 0.371 ACRE</v>
      </c>
      <c r="D4866" s="1">
        <v>9811.2099999999991</v>
      </c>
    </row>
    <row r="4867" spans="1:4" x14ac:dyDescent="0.3">
      <c r="A4867" s="1" t="str">
        <f>"18500155800"</f>
        <v>18500155800</v>
      </c>
      <c r="B4867" s="1" t="str">
        <f>"GNC TRUCK SERVICES LLC"</f>
        <v>GNC TRUCK SERVICES LLC</v>
      </c>
      <c r="C4867" s="1" t="str">
        <f>"SHADEVILLE&amp;WINCHESTR RDS 1.5 ACRES R21 T11 S31"</f>
        <v>SHADEVILLE&amp;WINCHESTR RDS 1.5 ACRES R21 T11 S31</v>
      </c>
      <c r="D4867" s="1">
        <v>1341.86</v>
      </c>
    </row>
    <row r="4868" spans="1:4" x14ac:dyDescent="0.3">
      <c r="A4868" s="1" t="str">
        <f>"01009447700"</f>
        <v>01009447700</v>
      </c>
      <c r="B4868" s="1" t="str">
        <f>"GO ELITE ACQUISITION LLC"</f>
        <v>GO ELITE ACQUISITION LLC</v>
      </c>
      <c r="C4868" s="1" t="str">
        <f>"HIGHLAND AVE TONTI AMD LOT 7"</f>
        <v>HIGHLAND AVE TONTI AMD LOT 7</v>
      </c>
      <c r="D4868" s="1">
        <v>1230.07</v>
      </c>
    </row>
    <row r="4869" spans="1:4" x14ac:dyDescent="0.3">
      <c r="A4869" s="1" t="str">
        <f>"01005932800"</f>
        <v>01005932800</v>
      </c>
      <c r="B4869" s="1" t="str">
        <f>"GO FREIGHT INC"</f>
        <v>GO FREIGHT INC</v>
      </c>
      <c r="C4869" s="1" t="str">
        <f>"MANCHESTER AVE LINDEN LOT 245"</f>
        <v>MANCHESTER AVE LINDEN LOT 245</v>
      </c>
      <c r="D4869" s="1">
        <v>472</v>
      </c>
    </row>
    <row r="4870" spans="1:4" x14ac:dyDescent="0.3">
      <c r="A4870" s="1" t="str">
        <f>"11000055900"</f>
        <v>11000055900</v>
      </c>
      <c r="B4870" s="1" t="str">
        <f>"GO FREIGHT INC"</f>
        <v>GO FREIGHT INC</v>
      </c>
      <c r="C4870" s="1" t="str">
        <f>"ASHBURY RD CLEVELAND HEIGHTS 50"</f>
        <v>ASHBURY RD CLEVELAND HEIGHTS 50</v>
      </c>
      <c r="D4870" s="1">
        <v>92.59</v>
      </c>
    </row>
    <row r="4871" spans="1:4" x14ac:dyDescent="0.3">
      <c r="A4871" s="1" t="str">
        <f>"01001900600"</f>
        <v>01001900600</v>
      </c>
      <c r="B4871" s="1" t="str">
        <f>"GO MAINTENANCE SOLUTIONS LLC"</f>
        <v>GO MAINTENANCE SOLUTIONS LLC</v>
      </c>
      <c r="C4871" s="1" t="str">
        <f>"859 LOCKBOURNE AVE STUDER AMD LOT 66"</f>
        <v>859 LOCKBOURNE AVE STUDER AMD LOT 66</v>
      </c>
      <c r="D4871" s="1">
        <v>1709.19</v>
      </c>
    </row>
    <row r="4872" spans="1:4" x14ac:dyDescent="0.3">
      <c r="A4872" s="1" t="str">
        <f>"01028819200"</f>
        <v>01028819200</v>
      </c>
      <c r="B4872" s="1" t="str">
        <f>"GOAD KEITH, PLACE-GOAD STEPHANIE"</f>
        <v>GOAD KEITH, PLACE-GOAD STEPHANIE</v>
      </c>
      <c r="C4872" s="1" t="str">
        <f>"87 W 2ND AVE              87-93 W 2ND AVE           CONDOMINIUM UNIT 87      "</f>
        <v xml:space="preserve">87 W 2ND AVE              87-93 W 2ND AVE           CONDOMINIUM UNIT 87      </v>
      </c>
      <c r="D4872" s="1">
        <v>433.32</v>
      </c>
    </row>
    <row r="4873" spans="1:4" x14ac:dyDescent="0.3">
      <c r="A4873" s="1" t="str">
        <f>"09000815900"</f>
        <v>09000815900</v>
      </c>
      <c r="B4873" s="1" t="str">
        <f>"GOBEZAI GOITOM"</f>
        <v>GOBEZAI GOITOM</v>
      </c>
      <c r="C4873" s="1" t="str">
        <f>"403 E SHELL CT FOXFIRE VILLAGE COND BLDG L UNIT 403"</f>
        <v>403 E SHELL CT FOXFIRE VILLAGE COND BLDG L UNIT 403</v>
      </c>
      <c r="D4873" s="1">
        <v>160.63999999999999</v>
      </c>
    </row>
    <row r="4874" spans="1:4" x14ac:dyDescent="0.3">
      <c r="A4874" s="1" t="str">
        <f>"24000594000"</f>
        <v>24000594000</v>
      </c>
      <c r="B4874" s="1" t="str">
        <f>"GODBY-RENSCH LOUISE B"</f>
        <v>GODBY-RENSCH LOUISE B</v>
      </c>
      <c r="C4874" s="1" t="str">
        <f>"GLENFORD VILL CONDMN UNIT 10-B 70 E TARRYTON CT"</f>
        <v>GLENFORD VILL CONDMN UNIT 10-B 70 E TARRYTON CT</v>
      </c>
      <c r="D4874" s="1">
        <v>410.23</v>
      </c>
    </row>
    <row r="4875" spans="1:4" x14ac:dyDescent="0.3">
      <c r="A4875" s="1" t="str">
        <f>"01011885400"</f>
        <v>01011885400</v>
      </c>
      <c r="B4875" s="1" t="str">
        <f>"GODWIN DANIEL G, KING THOMAS E"</f>
        <v>GODWIN DANIEL G, KING THOMAS E</v>
      </c>
      <c r="C4875" s="1" t="str">
        <f>"CATALPA PARK 2 LOT 142 "</f>
        <v xml:space="preserve">CATALPA PARK 2 LOT 142 </v>
      </c>
      <c r="D4875" s="1">
        <v>3.34</v>
      </c>
    </row>
    <row r="4876" spans="1:4" x14ac:dyDescent="0.3">
      <c r="A4876" s="1" t="str">
        <f>"01011885500"</f>
        <v>01011885500</v>
      </c>
      <c r="B4876" s="1" t="str">
        <f>"GODWIN DANIEL G, KING THOMAS E"</f>
        <v>GODWIN DANIEL G, KING THOMAS E</v>
      </c>
      <c r="C4876" s="1" t="str">
        <f>"EVERGREEN DR CATALPA PARK 2 LOT 143"</f>
        <v>EVERGREEN DR CATALPA PARK 2 LOT 143</v>
      </c>
      <c r="D4876" s="1">
        <v>3.34</v>
      </c>
    </row>
    <row r="4877" spans="1:4" x14ac:dyDescent="0.3">
      <c r="A4877" s="1" t="str">
        <f>"01001003300"</f>
        <v>01001003300</v>
      </c>
      <c r="B4877" s="1" t="str">
        <f>"GODWIN DANIEL G, KING THOMAS E"</f>
        <v>GODWIN DANIEL G, KING THOMAS E</v>
      </c>
      <c r="C4877" s="1" t="str">
        <f>"CONDON DR 0.280 ACRE "</f>
        <v xml:space="preserve">CONDON DR 0.280 ACRE </v>
      </c>
      <c r="D4877" s="1">
        <v>4.07</v>
      </c>
    </row>
    <row r="4878" spans="1:4" x14ac:dyDescent="0.3">
      <c r="A4878" s="1" t="str">
        <f>"01015066100"</f>
        <v>01015066100</v>
      </c>
      <c r="B4878" s="1" t="str">
        <f>"GOERTEMILLER SHANNON LEE ANN, GOERTEMILLER JEFFREY"</f>
        <v>GOERTEMILLER SHANNON LEE ANN, GOERTEMILLER JEFFREY</v>
      </c>
      <c r="C4878" s="1" t="str">
        <f>"2118 HONEYTREE COURT FOREST PARK E SEC 8 LOT 757"</f>
        <v>2118 HONEYTREE COURT FOREST PARK E SEC 8 LOT 757</v>
      </c>
      <c r="D4878" s="1">
        <v>2737</v>
      </c>
    </row>
    <row r="4879" spans="1:4" x14ac:dyDescent="0.3">
      <c r="A4879" s="1" t="str">
        <f>"07000536500"</f>
        <v>07000536500</v>
      </c>
      <c r="B4879" s="1" t="str">
        <f>"GOETTLER KRISTINA, GOETTLER DAVID"</f>
        <v>GOETTLER KRISTINA, GOETTLER DAVID</v>
      </c>
      <c r="C4879" s="1" t="str">
        <f>"DERBY RD 3087 64FT SS EAST CLEFT LOT 384"</f>
        <v>DERBY RD 3087 64FT SS EAST CLEFT LOT 384</v>
      </c>
      <c r="D4879" s="1">
        <v>330.97</v>
      </c>
    </row>
    <row r="4880" spans="1:4" x14ac:dyDescent="0.3">
      <c r="A4880" s="1" t="str">
        <f>"01013211900"</f>
        <v>01013211900</v>
      </c>
      <c r="B4880" s="1" t="str">
        <f>"GOETZ BERTHA I TTEE, GOETZ JOHN A TTEE"</f>
        <v>GOETZ BERTHA I TTEE, GOETZ JOHN A TTEE</v>
      </c>
      <c r="C4880" s="1" t="str">
        <f>"OLD ORACHARD 2 LOT 49 "</f>
        <v xml:space="preserve">OLD ORACHARD 2 LOT 49 </v>
      </c>
      <c r="D4880" s="1">
        <v>462.3</v>
      </c>
    </row>
    <row r="4881" spans="1:4" x14ac:dyDescent="0.3">
      <c r="A4881" s="1" t="str">
        <f>"55015386300"</f>
        <v>55015386300</v>
      </c>
      <c r="B4881" s="1" t="str">
        <f>"GOETZ LIANA M"</f>
        <v>GOETZ LIANA M</v>
      </c>
      <c r="C4881" s="1" t="str">
        <f>"BORR AVE KINGS RIDGE LOT 51"</f>
        <v>BORR AVE KINGS RIDGE LOT 51</v>
      </c>
      <c r="D4881" s="1">
        <v>6.39</v>
      </c>
    </row>
    <row r="4882" spans="1:4" x14ac:dyDescent="0.3">
      <c r="A4882" s="1" t="str">
        <f>"01024508100"</f>
        <v>01024508100</v>
      </c>
      <c r="B4882" s="1" t="str">
        <f>"GOGO WINIFRED"</f>
        <v>GOGO WINIFRED</v>
      </c>
      <c r="C4882" s="1" t="str">
        <f>"HICKORY RIDGE CONDOMINIUM 2ND AMD UNIT 1-2506"</f>
        <v>HICKORY RIDGE CONDOMINIUM 2ND AMD UNIT 1-2506</v>
      </c>
      <c r="D4882" s="1">
        <v>436.3</v>
      </c>
    </row>
    <row r="4883" spans="1:4" x14ac:dyDescent="0.3">
      <c r="A4883" s="1" t="str">
        <f>"01017888300"</f>
        <v>01017888300</v>
      </c>
      <c r="B4883" s="1" t="str">
        <f>"GOGOLSKI JEAN S"</f>
        <v>GOGOLSKI JEAN S</v>
      </c>
      <c r="C4883" s="1" t="str">
        <f>"SUTTON PLACE COND UNIT 5029 "</f>
        <v xml:space="preserve">SUTTON PLACE COND UNIT 5029 </v>
      </c>
      <c r="D4883" s="1">
        <v>545.45000000000005</v>
      </c>
    </row>
    <row r="4884" spans="1:4" x14ac:dyDescent="0.3">
      <c r="A4884" s="1" t="str">
        <f>"01012649600"</f>
        <v>01012649600</v>
      </c>
      <c r="B4884" s="1" t="str">
        <f>"GOHRING STEVEN A TTEE, GOHRING PENNY J TTEE"</f>
        <v>GOHRING STEVEN A TTEE, GOHRING PENNY J TTEE</v>
      </c>
      <c r="C4884" s="1" t="str">
        <f>"WINDSOR AVE LEA CREST LOTS 101-103"</f>
        <v>WINDSOR AVE LEA CREST LOTS 101-103</v>
      </c>
      <c r="D4884" s="1">
        <v>3077.72</v>
      </c>
    </row>
    <row r="4885" spans="1:4" x14ac:dyDescent="0.3">
      <c r="A4885" s="1" t="str">
        <f>"14000116300"</f>
        <v>14000116300</v>
      </c>
      <c r="B4885" s="1" t="str">
        <f>"GOINS EDWIN M III"</f>
        <v>GOINS EDWIN M III</v>
      </c>
      <c r="C4885" s="1" t="str">
        <f>"1763 LINNET AVE GIBSON PARK PLACE LOT 242"</f>
        <v>1763 LINNET AVE GIBSON PARK PLACE LOT 242</v>
      </c>
      <c r="D4885" s="1">
        <v>154.81</v>
      </c>
    </row>
    <row r="4886" spans="1:4" x14ac:dyDescent="0.3">
      <c r="A4886" s="1" t="str">
        <f>"01016738800"</f>
        <v>01016738800</v>
      </c>
      <c r="B4886" s="1" t="str">
        <f>"GOINS MARY D"</f>
        <v>GOINS MARY D</v>
      </c>
      <c r="C4886" s="1" t="str">
        <f>"BRENTNELL AVE AMVET HOMESTEAD 2 LOT 21 BLK S"</f>
        <v>BRENTNELL AVE AMVET HOMESTEAD 2 LOT 21 BLK S</v>
      </c>
      <c r="D4886" s="1">
        <v>115.37</v>
      </c>
    </row>
    <row r="4887" spans="1:4" x14ac:dyDescent="0.3">
      <c r="A4887" s="1" t="str">
        <f>"07001436300"</f>
        <v>07001436300</v>
      </c>
      <c r="B4887" s="1" t="str">
        <f>"GOLDEN BEAR DEVELOPMENT LLC"</f>
        <v>GOLDEN BEAR DEVELOPMENT LLC</v>
      </c>
      <c r="C4887" s="1" t="str">
        <f>"RIVERSIDE DR R19 T1 1/4T4 3.994 ACRES"</f>
        <v>RIVERSIDE DR R19 T1 1/4T4 3.994 ACRES</v>
      </c>
      <c r="D4887" s="1">
        <v>49655.65</v>
      </c>
    </row>
    <row r="4888" spans="1:4" x14ac:dyDescent="0.3">
      <c r="A4888" s="1" t="str">
        <f>"07000455800"</f>
        <v>07000455800</v>
      </c>
      <c r="B4888" s="1" t="str">
        <f>"GOLDEN BEAR DEVELOPMENT LLC"</f>
        <v>GOLDEN BEAR DEVELOPMENT LLC</v>
      </c>
      <c r="C4888" s="1" t="str">
        <f>"RIVERSIDE DRIVE R19T1 1/4T4 .776 ACRE"</f>
        <v>RIVERSIDE DRIVE R19T1 1/4T4 .776 ACRE</v>
      </c>
      <c r="D4888" s="1">
        <v>38975.160000000003</v>
      </c>
    </row>
    <row r="4889" spans="1:4" x14ac:dyDescent="0.3">
      <c r="A4889" s="1" t="str">
        <f>"01010150000"</f>
        <v>01010150000</v>
      </c>
      <c r="B4889" s="1" t="str">
        <f>"GOLDEN HARP INVESTMENTS LLC"</f>
        <v>GOLDEN HARP INVESTMENTS LLC</v>
      </c>
      <c r="C4889" s="1" t="str">
        <f>"VILARDO LAND VILARDO AMD LOT 32"</f>
        <v>VILARDO LAND VILARDO AMD LOT 32</v>
      </c>
      <c r="D4889" s="1">
        <v>626.76</v>
      </c>
    </row>
    <row r="4890" spans="1:4" x14ac:dyDescent="0.3">
      <c r="A4890" s="1" t="str">
        <f>"05001010400"</f>
        <v>05001010400</v>
      </c>
      <c r="B4890" s="1" t="str">
        <f>"GOLDEN SADDLE INVESTMENTS LLC"</f>
        <v>GOLDEN SADDLE INVESTMENTS LLC</v>
      </c>
      <c r="C4890" s="1" t="str">
        <f>"THE VININGS CONDOMINIUM COMMUNITY 8TH AMD UNIT 5129"</f>
        <v>THE VININGS CONDOMINIUM COMMUNITY 8TH AMD UNIT 5129</v>
      </c>
      <c r="D4890" s="1">
        <v>3355.25</v>
      </c>
    </row>
    <row r="4891" spans="1:4" x14ac:dyDescent="0.3">
      <c r="A4891" s="1" t="str">
        <f>"07000393800"</f>
        <v>07000393800</v>
      </c>
      <c r="B4891" s="1" t="str">
        <f>"GOLDEN SANDRA K, GOLDEN CHARLES"</f>
        <v>GOLDEN SANDRA K, GOLDEN CHARLES</v>
      </c>
      <c r="C4891" s="1" t="str">
        <f>"INCHCLIFF RD MOUNTVIEW PL EXT 2 3 BLK 227"</f>
        <v>INCHCLIFF RD MOUNTVIEW PL EXT 2 3 BLK 227</v>
      </c>
      <c r="D4891" s="1">
        <v>7878.76</v>
      </c>
    </row>
    <row r="4892" spans="1:4" x14ac:dyDescent="0.3">
      <c r="A4892" s="1" t="str">
        <f>"23400002100"</f>
        <v>23400002100</v>
      </c>
      <c r="B4892" s="1" t="str">
        <f>"GOLDHARDT PATTY J"</f>
        <v>GOLDHARDT PATTY J</v>
      </c>
      <c r="C4892" s="1" t="str">
        <f>"SECOND ST CHENOWETH 8 "</f>
        <v xml:space="preserve">SECOND ST CHENOWETH 8 </v>
      </c>
      <c r="D4892" s="1">
        <v>87.17</v>
      </c>
    </row>
    <row r="4893" spans="1:4" x14ac:dyDescent="0.3">
      <c r="A4893" s="1" t="str">
        <f>"23000122300"</f>
        <v>23000122300</v>
      </c>
      <c r="B4893" s="1" t="str">
        <f>"GOLDHARDT PATTY L"</f>
        <v>GOLDHARDT PATTY L</v>
      </c>
      <c r="C4893" s="1" t="str">
        <f>"2805 SANDUSKY ST 11 FT SS OF 65 &amp; ALL 66 -67 J L MOORE 65-6-7"</f>
        <v>2805 SANDUSKY ST 11 FT SS OF 65 &amp; ALL 66 -67 J L MOORE 65-6-7</v>
      </c>
      <c r="D4893" s="1">
        <v>1642.57</v>
      </c>
    </row>
    <row r="4894" spans="1:4" x14ac:dyDescent="0.3">
      <c r="A4894" s="1" t="str">
        <f>"27301225800"</f>
        <v>27301225800</v>
      </c>
      <c r="B4894" s="1" t="str">
        <f>"GOLDMEMBER LLC"</f>
        <v>GOLDMEMBER LLC</v>
      </c>
      <c r="C4894" s="1" t="str">
        <f>"CAMDEN PROFESIONAL CENTER CONDOMINIUM 3RD AMD       UNIT 6195                "</f>
        <v xml:space="preserve">CAMDEN PROFESIONAL CENTER CONDOMINIUM 3RD AMD       UNIT 6195                </v>
      </c>
      <c r="D4894" s="1">
        <v>1278.76</v>
      </c>
    </row>
    <row r="4895" spans="1:4" x14ac:dyDescent="0.3">
      <c r="A4895" s="1" t="str">
        <f>"16000267100"</f>
        <v>16000267100</v>
      </c>
      <c r="B4895" s="1" t="str">
        <f>"GOLDSMITH HEATH L, GOLDSMITH CHRISTINA L"</f>
        <v>GOLDSMITH HEATH L, GOLDSMITH CHRISTINA L</v>
      </c>
      <c r="C4895" s="1" t="str">
        <f>"SEEDS RD 4.659 ACRES 0.1380 ACS IN R W"</f>
        <v>SEEDS RD 4.659 ACRES 0.1380 ACS IN R W</v>
      </c>
      <c r="D4895" s="1">
        <v>2637.6</v>
      </c>
    </row>
    <row r="4896" spans="1:4" x14ac:dyDescent="0.3">
      <c r="A4896" s="1" t="str">
        <f>"07000603600"</f>
        <v>07000603600</v>
      </c>
      <c r="B4896" s="1" t="str">
        <f>"GOLDSTEIN DAVID, LISKA BETSY A"</f>
        <v>GOLDSTEIN DAVID, LISKA BETSY A</v>
      </c>
      <c r="C4896" s="1" t="str">
        <f>"OAKMOUNT ROAD SCIOTANGY HTS AMD LOTS 120 &amp; 121 &amp; PT VAC ALY"</f>
        <v>OAKMOUNT ROAD SCIOTANGY HTS AMD LOTS 120 &amp; 121 &amp; PT VAC ALY</v>
      </c>
      <c r="D4896" s="1">
        <v>4936.5600000000004</v>
      </c>
    </row>
    <row r="4897" spans="1:4" x14ac:dyDescent="0.3">
      <c r="A4897" s="1" t="str">
        <f>"57017245800"</f>
        <v>57017245800</v>
      </c>
      <c r="B4897" s="1" t="str">
        <f>"GOMBERG GENE"</f>
        <v>GOMBERG GENE</v>
      </c>
      <c r="C4897" s="1" t="str">
        <f>"RUDON LANE WILSON OAKS LOT 27"</f>
        <v>RUDON LANE WILSON OAKS LOT 27</v>
      </c>
      <c r="D4897" s="1">
        <v>1703.06</v>
      </c>
    </row>
    <row r="4898" spans="1:4" x14ac:dyDescent="0.3">
      <c r="A4898" s="1" t="str">
        <f>"01021211700"</f>
        <v>01021211700</v>
      </c>
      <c r="B4898" s="1" t="str">
        <f>"GOMEZ PERAZA ILIANA GABRIELLA"</f>
        <v>GOMEZ PERAZA ILIANA GABRIELLA</v>
      </c>
      <c r="C4898" s="1" t="str">
        <f>"FAIRWOOD AVENUE R22 T4 S2 0.9669 ACRES"</f>
        <v>FAIRWOOD AVENUE R22 T4 S2 0.9669 ACRES</v>
      </c>
      <c r="D4898" s="1">
        <v>87.63</v>
      </c>
    </row>
    <row r="4899" spans="1:4" x14ac:dyDescent="0.3">
      <c r="A4899" s="1" t="str">
        <f>"01002826900"</f>
        <v>01002826900</v>
      </c>
      <c r="B4899" s="1" t="str">
        <f>"GOMEZ RONAL"</f>
        <v>GOMEZ RONAL</v>
      </c>
      <c r="C4899" s="1" t="str">
        <f>"1943 S 9TH ST 20TH CENTURY LOT 164"</f>
        <v>1943 S 9TH ST 20TH CENTURY LOT 164</v>
      </c>
      <c r="D4899" s="1">
        <v>1478.51</v>
      </c>
    </row>
    <row r="4900" spans="1:4" x14ac:dyDescent="0.3">
      <c r="A4900" s="1" t="str">
        <f>"14000502600"</f>
        <v>14000502600</v>
      </c>
      <c r="B4900" s="1" t="str">
        <f>"GOMEZ-ARIZMENDI AZUCENA, LAGUNAS JOSE LUIS, DOMINGUEZ JOSE LUIS LUGUNAS"</f>
        <v>GOMEZ-ARIZMENDI AZUCENA, LAGUNAS JOSE LUIS, DOMINGUEZ JOSE LUIS LUGUNAS</v>
      </c>
      <c r="C4900" s="1" t="str">
        <f>"3535 GLORIOUS RD PTS LOTS 7 8 ROSARY 2 BLK 11"</f>
        <v>3535 GLORIOUS RD PTS LOTS 7 8 ROSARY 2 BLK 11</v>
      </c>
      <c r="D4900" s="1">
        <v>3167.93</v>
      </c>
    </row>
    <row r="4901" spans="1:4" x14ac:dyDescent="0.3">
      <c r="A4901" s="1" t="str">
        <f>"05000775300"</f>
        <v>05000775300</v>
      </c>
      <c r="B4901" s="1" t="str">
        <f>"GONCE DANIEL K, GONCE PAULA K"</f>
        <v>GONCE DANIEL K, GONCE PAULA K</v>
      </c>
      <c r="C4901" s="1" t="str">
        <f>"PATCON WAY DARBY GLEN SECTION 3 PHASE 2 LOT 239"</f>
        <v>PATCON WAY DARBY GLEN SECTION 3 PHASE 2 LOT 239</v>
      </c>
      <c r="D4901" s="1">
        <v>1158.8499999999999</v>
      </c>
    </row>
    <row r="4902" spans="1:4" x14ac:dyDescent="0.3">
      <c r="A4902" s="1" t="str">
        <f>"08001101200"</f>
        <v>08001101200</v>
      </c>
      <c r="B4902" s="1" t="str">
        <f>"GONZALES JOHN M, GONZALES ANNE H"</f>
        <v>GONZALES JOHN M, GONZALES ANNE H</v>
      </c>
      <c r="C4902" s="1" t="str">
        <f>"WILDWOOD DRIVE HAMPTON SECTION 1 LOT 48"</f>
        <v>WILDWOOD DRIVE HAMPTON SECTION 1 LOT 48</v>
      </c>
      <c r="D4902" s="1">
        <v>4935.43</v>
      </c>
    </row>
    <row r="4903" spans="1:4" x14ac:dyDescent="0.3">
      <c r="A4903" s="1" t="str">
        <f>"05000177800"</f>
        <v>05000177800</v>
      </c>
      <c r="B4903" s="1" t="str">
        <f>"GONZALEZ CHARLES"</f>
        <v>GONZALEZ CHARLES</v>
      </c>
      <c r="C4903" s="1" t="str">
        <f>"5149 WYANDOT PLACE LUXAIR 3 LOT 72"</f>
        <v>5149 WYANDOT PLACE LUXAIR 3 LOT 72</v>
      </c>
      <c r="D4903" s="1">
        <v>4299.42</v>
      </c>
    </row>
    <row r="4904" spans="1:4" x14ac:dyDescent="0.3">
      <c r="A4904" s="1" t="str">
        <f>"01010584500"</f>
        <v>01010584500</v>
      </c>
      <c r="B4904" s="1" t="str">
        <f>"GONZALEZ ELMER"</f>
        <v>GONZALEZ ELMER</v>
      </c>
      <c r="C4904" s="1" t="str">
        <f>"MANFELD DRIVE WILLIS PARK 2 LOT 365"</f>
        <v>MANFELD DRIVE WILLIS PARK 2 LOT 365</v>
      </c>
      <c r="D4904" s="1">
        <v>149.56</v>
      </c>
    </row>
    <row r="4905" spans="1:4" x14ac:dyDescent="0.3">
      <c r="A4905" s="1" t="str">
        <f>"01010557800"</f>
        <v>01010557800</v>
      </c>
      <c r="B4905" s="1" t="str">
        <f>"GONZALEZ ELMER A"</f>
        <v>GONZALEZ ELMER A</v>
      </c>
      <c r="C4905" s="1" t="str">
        <f>"JUSTIN ROAD WILLIS PARK 2 LOT 98"</f>
        <v>JUSTIN ROAD WILLIS PARK 2 LOT 98</v>
      </c>
      <c r="D4905" s="1">
        <v>141.77000000000001</v>
      </c>
    </row>
    <row r="4906" spans="1:4" x14ac:dyDescent="0.3">
      <c r="A4906" s="1" t="str">
        <f>"01010758100"</f>
        <v>01010758100</v>
      </c>
      <c r="B4906" s="1" t="str">
        <f>"GONZALEZ ELMER ANTONIO"</f>
        <v>GONZALEZ ELMER ANTONIO</v>
      </c>
      <c r="C4906" s="1" t="str">
        <f>"CONWAY DR BERWICK MANOR 2 LOT 64"</f>
        <v>CONWAY DR BERWICK MANOR 2 LOT 64</v>
      </c>
      <c r="D4906" s="1">
        <v>159.96</v>
      </c>
    </row>
    <row r="4907" spans="1:4" x14ac:dyDescent="0.3">
      <c r="A4907" s="1" t="str">
        <f>"06000396700"</f>
        <v>06000396700</v>
      </c>
      <c r="B4907" s="1" t="str">
        <f>"GONZALEZ ELMER ANTONIO"</f>
        <v>GONZALEZ ELMER ANTONIO</v>
      </c>
      <c r="C4907" s="1" t="str">
        <f>"6890 LAIRD AVE H C HUBER PLAT 36 SEC 7 LOT 1965"</f>
        <v>6890 LAIRD AVE H C HUBER PLAT 36 SEC 7 LOT 1965</v>
      </c>
      <c r="D4907" s="1">
        <v>226.66</v>
      </c>
    </row>
    <row r="4908" spans="1:4" x14ac:dyDescent="0.3">
      <c r="A4908" s="1" t="str">
        <f>"01006785100"</f>
        <v>01006785100</v>
      </c>
      <c r="B4908" s="1" t="str">
        <f>"GONZALEZ ERICK A, RUIZ ELISABET"</f>
        <v>GONZALEZ ERICK A, RUIZ ELISABET</v>
      </c>
      <c r="C4908" s="1" t="str">
        <f>"HILLTONIA LOT 203 "</f>
        <v xml:space="preserve">HILLTONIA LOT 203 </v>
      </c>
      <c r="D4908" s="1">
        <v>2111.0700000000002</v>
      </c>
    </row>
    <row r="4909" spans="1:4" x14ac:dyDescent="0.3">
      <c r="A4909" s="1" t="str">
        <f>"61018622000"</f>
        <v>61018622000</v>
      </c>
      <c r="B4909" s="1" t="str">
        <f>"GONZALEZ GERMAN ANDRES, PETRICK GONZALEZ EMILY"</f>
        <v>GONZALEZ GERMAN ANDRES, PETRICK GONZALEZ EMILY</v>
      </c>
      <c r="C4909" s="1" t="str">
        <f>"LYNN GAY CIR SMOKY RIDGE EST 6 LOT 578"</f>
        <v>LYNN GAY CIR SMOKY RIDGE EST 6 LOT 578</v>
      </c>
      <c r="D4909" s="1">
        <v>2159.8200000000002</v>
      </c>
    </row>
    <row r="4910" spans="1:4" x14ac:dyDescent="0.3">
      <c r="A4910" s="1" t="str">
        <f>"01008721400"</f>
        <v>01008721400</v>
      </c>
      <c r="B4910" s="1" t="str">
        <f>"GONZALEZ JAILENE"</f>
        <v>GONZALEZ JAILENE</v>
      </c>
      <c r="C4910" s="1" t="str">
        <f>"814 S RICHARDSON AVE WESTLAND EXT 1 LOT 388"</f>
        <v>814 S RICHARDSON AVE WESTLAND EXT 1 LOT 388</v>
      </c>
      <c r="D4910" s="1">
        <v>2122.4699999999998</v>
      </c>
    </row>
    <row r="4911" spans="1:4" x14ac:dyDescent="0.3">
      <c r="A4911" s="1" t="str">
        <f>"01002771200"</f>
        <v>01002771200</v>
      </c>
      <c r="B4911" s="1" t="str">
        <f>"GONZALEZ MEGAN G, GONZALEZ CHRISTIAN"</f>
        <v>GONZALEZ MEGAN G, GONZALEZ CHRISTIAN</v>
      </c>
      <c r="C4911" s="1" t="str">
        <f>"1805 FRANKLIN PARK FRANKLIN PARK PL LOT 4"</f>
        <v>1805 FRANKLIN PARK FRANKLIN PARK PL LOT 4</v>
      </c>
      <c r="D4911" s="1">
        <v>6087.73</v>
      </c>
    </row>
    <row r="4912" spans="1:4" x14ac:dyDescent="0.3">
      <c r="A4912" s="1" t="str">
        <f>"06000185900"</f>
        <v>06000185900</v>
      </c>
      <c r="B4912" s="1" t="str">
        <f>"GONZALEZ MENDEZ ESTEFANI DIANA"</f>
        <v>GONZALEZ MENDEZ ESTEFANI DIANA</v>
      </c>
      <c r="C4912" s="1" t="str">
        <f>"RADEKIN RD IDLEWILD MANOR LOT 136"</f>
        <v>RADEKIN RD IDLEWILD MANOR LOT 136</v>
      </c>
      <c r="D4912" s="1">
        <v>360.11</v>
      </c>
    </row>
    <row r="4913" spans="1:4" x14ac:dyDescent="0.3">
      <c r="A4913" s="1" t="str">
        <f>"06000186000"</f>
        <v>06000186000</v>
      </c>
      <c r="B4913" s="1" t="str">
        <f>"GONZALEZ MENDEZ ESTEFANI DIANA"</f>
        <v>GONZALEZ MENDEZ ESTEFANI DIANA</v>
      </c>
      <c r="C4913" s="1" t="str">
        <f>"RADEKIN RD IDLEWILD MANOR LOT 137"</f>
        <v>RADEKIN RD IDLEWILD MANOR LOT 137</v>
      </c>
      <c r="D4913" s="1">
        <v>360.11</v>
      </c>
    </row>
    <row r="4914" spans="1:4" x14ac:dyDescent="0.3">
      <c r="A4914" s="1" t="str">
        <f>"01005915500"</f>
        <v>01005915500</v>
      </c>
      <c r="B4914" s="1" t="str">
        <f>"GONZALEZ MIRELES YEIMI"</f>
        <v>GONZALEZ MIRELES YEIMI</v>
      </c>
      <c r="C4914" s="1" t="str">
        <f>"1668 GENESSEE AVE LINDEN LOT 719"</f>
        <v>1668 GENESSEE AVE LINDEN LOT 719</v>
      </c>
      <c r="D4914" s="1">
        <v>2721.54</v>
      </c>
    </row>
    <row r="4915" spans="1:4" x14ac:dyDescent="0.3">
      <c r="A4915" s="1" t="str">
        <f>"01002487800"</f>
        <v>01002487800</v>
      </c>
      <c r="B4915" s="1" t="str">
        <f>"GONZALEZ RAMIREZ MARTIN, MARTINEZ ISABEL G"</f>
        <v>GONZALEZ RAMIREZ MARTIN, MARTINEZ ISABEL G</v>
      </c>
      <c r="C4915" s="1" t="str">
        <f>"74 RODGERS AVE COTTAGE PLACE LOT 94"</f>
        <v>74 RODGERS AVE COTTAGE PLACE LOT 94</v>
      </c>
      <c r="D4915" s="1">
        <v>3675.82</v>
      </c>
    </row>
    <row r="4916" spans="1:4" x14ac:dyDescent="0.3">
      <c r="A4916" s="1" t="str">
        <f>"01009143700"</f>
        <v>01009143700</v>
      </c>
      <c r="B4916" s="1" t="str">
        <f>"GONZALEZ SALMA"</f>
        <v>GONZALEZ SALMA</v>
      </c>
      <c r="C4916" s="1" t="str">
        <f>"HAMPTON RD EASTHAMPTON LOT 213"</f>
        <v>HAMPTON RD EASTHAMPTON LOT 213</v>
      </c>
      <c r="D4916" s="1">
        <v>701.21</v>
      </c>
    </row>
    <row r="4917" spans="1:4" x14ac:dyDescent="0.3">
      <c r="A4917" s="1" t="str">
        <f>"01012158800"</f>
        <v>01012158800</v>
      </c>
      <c r="B4917" s="1" t="str">
        <f>"GONZALEZ SANDOVAL JOSE M, GONZALEZ MENDEZ GYSI ROXANA, GONZALEZ MENDEZ ESTEFANI DIANA"</f>
        <v>GONZALEZ SANDOVAL JOSE M, GONZALEZ MENDEZ GYSI ROXANA, GONZALEZ MENDEZ ESTEFANI DIANA</v>
      </c>
      <c r="C4917" s="1" t="str">
        <f>"DUNDEE PLACE THUNDERBIRDACRES2 LOT 320"</f>
        <v>DUNDEE PLACE THUNDERBIRDACRES2 LOT 320</v>
      </c>
      <c r="D4917" s="1">
        <v>2423.9499999999998</v>
      </c>
    </row>
    <row r="4918" spans="1:4" x14ac:dyDescent="0.3">
      <c r="A4918" s="1" t="str">
        <f>"57022063800"</f>
        <v>57022063800</v>
      </c>
      <c r="B4918" s="1" t="str">
        <f>"GONZALEZ VICTOR, VALDOVINOS MARIA"</f>
        <v>GONZALEZ VICTOR, VALDOVINOS MARIA</v>
      </c>
      <c r="C4918" s="1" t="str">
        <f>"DEMOREST HIGHLANDS LOT 8"</f>
        <v>DEMOREST HIGHLANDS LOT 8</v>
      </c>
      <c r="D4918" s="1">
        <v>4208.08</v>
      </c>
    </row>
    <row r="4919" spans="1:4" x14ac:dyDescent="0.3">
      <c r="A4919" s="1" t="str">
        <f>"05000515300"</f>
        <v>05000515300</v>
      </c>
      <c r="B4919" s="1" t="str">
        <f>"GOOCH DOROTHY A, MONNIG JOHN E, GOOCH REBECCA A"</f>
        <v>GOOCH DOROTHY A, MONNIG JOHN E, GOOCH REBECCA A</v>
      </c>
      <c r="C4919" s="1" t="str">
        <f>"BAYBERRY CREEK CONDOMINIUM 1ST AMD BLDG 11 UNIT 4878"</f>
        <v>BAYBERRY CREEK CONDOMINIUM 1ST AMD BLDG 11 UNIT 4878</v>
      </c>
      <c r="D4919" s="1">
        <v>249.03</v>
      </c>
    </row>
    <row r="4920" spans="1:4" x14ac:dyDescent="0.3">
      <c r="A4920" s="1" t="str">
        <f>"01000991500"</f>
        <v>01000991500</v>
      </c>
      <c r="B4920" s="1" t="str">
        <f>"GOOCH HEATHER, GOOCH ALFRED"</f>
        <v>GOOCH HEATHER, GOOCH ALFRED</v>
      </c>
      <c r="C4920" s="1" t="str">
        <f>"1182 OAKWOOD AVE AUBURNDALE LOT 428"</f>
        <v>1182 OAKWOOD AVE AUBURNDALE LOT 428</v>
      </c>
      <c r="D4920" s="1">
        <v>3501.43</v>
      </c>
    </row>
    <row r="4921" spans="1:4" x14ac:dyDescent="0.3">
      <c r="A4921" s="1" t="str">
        <f>"01006760200"</f>
        <v>01006760200</v>
      </c>
      <c r="B4921" s="1" t="str">
        <f>"GOOD CAROL"</f>
        <v>GOOD CAROL</v>
      </c>
      <c r="C4921" s="1" t="str">
        <f>"UNION AVE FOREST HILL LOT 8-9"</f>
        <v>UNION AVE FOREST HILL LOT 8-9</v>
      </c>
      <c r="D4921" s="1">
        <v>1485.88</v>
      </c>
    </row>
    <row r="4922" spans="1:4" x14ac:dyDescent="0.3">
      <c r="A4922" s="1" t="str">
        <f>"57024354900"</f>
        <v>57024354900</v>
      </c>
      <c r="B4922" s="1" t="str">
        <f>"GOOD DIANA"</f>
        <v>GOOD DIANA</v>
      </c>
      <c r="C4922" s="1" t="str">
        <f>"MUSTANG CANYON DRIVE WESTCHESTER SECTION 9 LOT 643"</f>
        <v>MUSTANG CANYON DRIVE WESTCHESTER SECTION 9 LOT 643</v>
      </c>
      <c r="D4922" s="1">
        <v>170.95</v>
      </c>
    </row>
    <row r="4923" spans="1:4" x14ac:dyDescent="0.3">
      <c r="A4923" s="1" t="str">
        <f>"01005770200"</f>
        <v>01005770200</v>
      </c>
      <c r="B4923" s="1" t="str">
        <f>"GOOD FORTKAMP BARBARA JEAN TTEE, GOOD PRITCHARD ELIZABETH ANN TTEE"</f>
        <v>GOOD FORTKAMP BARBARA JEAN TTEE, GOOD PRITCHARD ELIZABETH ANN TTEE</v>
      </c>
      <c r="C4923" s="1" t="str">
        <f>"41 E CALIFORNIA AVE BELMONT AVE LOT 18-1-2-10"</f>
        <v>41 E CALIFORNIA AVE BELMONT AVE LOT 18-1-2-10</v>
      </c>
      <c r="D4923" s="1">
        <v>2767.6</v>
      </c>
    </row>
    <row r="4924" spans="1:4" x14ac:dyDescent="0.3">
      <c r="A4924" s="1" t="str">
        <f>"01024967200"</f>
        <v>01024967200</v>
      </c>
      <c r="B4924" s="1" t="str">
        <f>"GOOD FORTKAMP BARBARA JEAN TTEE, GOOD PRITCHARD ELIZABETTH ANN TTEE"</f>
        <v>GOOD FORTKAMP BARBARA JEAN TTEE, GOOD PRITCHARD ELIZABETTH ANN TTEE</v>
      </c>
      <c r="C4924" s="1" t="str">
        <f>"WALHALLA RD WALHALLA PARK PLACE 0.230 ACRE"</f>
        <v>WALHALLA RD WALHALLA PARK PLACE 0.230 ACRE</v>
      </c>
      <c r="D4924" s="1">
        <v>4996.8599999999997</v>
      </c>
    </row>
    <row r="4925" spans="1:4" x14ac:dyDescent="0.3">
      <c r="A4925" s="1" t="str">
        <f>"52027754200"</f>
        <v>52027754200</v>
      </c>
      <c r="B4925" s="1" t="str">
        <f>"GOOD HOMES LLC"</f>
        <v>GOOD HOMES LLC</v>
      </c>
      <c r="C4925" s="1" t="str">
        <f>"3919 HOFFMAN VALLEY DRIVE TOWNE PARK SECTION 1 LOT 126"</f>
        <v>3919 HOFFMAN VALLEY DRIVE TOWNE PARK SECTION 1 LOT 126</v>
      </c>
      <c r="D4925" s="1">
        <v>245.41</v>
      </c>
    </row>
    <row r="4926" spans="1:4" x14ac:dyDescent="0.3">
      <c r="A4926" s="1" t="str">
        <f>"01009486900"</f>
        <v>01009486900</v>
      </c>
      <c r="B4926" s="1" t="str">
        <f>"GOOD SAMARITAN BAPTIST CHURCH"</f>
        <v>GOOD SAMARITAN BAPTIST CHURCH</v>
      </c>
      <c r="C4926" s="1" t="str">
        <f>"RR E FULTON ST SEYMOUR LOT 7"</f>
        <v>RR E FULTON ST SEYMOUR LOT 7</v>
      </c>
      <c r="D4926" s="1">
        <v>20.72</v>
      </c>
    </row>
    <row r="4927" spans="1:4" x14ac:dyDescent="0.3">
      <c r="A4927" s="1" t="str">
        <f>"01001517700"</f>
        <v>01001517700</v>
      </c>
      <c r="B4927" s="1" t="str">
        <f>"GOOD SAMARITAN BAPTIST CHURCH OF COLS OH INC"</f>
        <v>GOOD SAMARITAN BAPTIST CHURCH OF COLS OH INC</v>
      </c>
      <c r="C4927" s="1" t="str">
        <f>"586 SEYMOUR AVE 31.5 X 120 FT SEYMOUR LOT SUB 7"</f>
        <v>586 SEYMOUR AVE 31.5 X 120 FT SEYMOUR LOT SUB 7</v>
      </c>
      <c r="D4927" s="1">
        <v>460.85</v>
      </c>
    </row>
    <row r="4928" spans="1:4" x14ac:dyDescent="0.3">
      <c r="A4928" s="1" t="str">
        <f>"01006098000"</f>
        <v>01006098000</v>
      </c>
      <c r="B4928" s="1" t="str">
        <f>"GOOD SHEPHERD BAPTIST CHURCH INC"</f>
        <v>GOOD SHEPHERD BAPTIST CHURCH INC</v>
      </c>
      <c r="C4928" s="1" t="str">
        <f>"1542 KOHR PL MAPLE VIEW LOT 28"</f>
        <v>1542 KOHR PL MAPLE VIEW LOT 28</v>
      </c>
      <c r="D4928" s="1">
        <v>15.7</v>
      </c>
    </row>
    <row r="4929" spans="1:4" x14ac:dyDescent="0.3">
      <c r="A4929" s="1" t="str">
        <f>"03000287600"</f>
        <v>03000287600</v>
      </c>
      <c r="B4929" s="1" t="str">
        <f>"GOODALE IV LLC"</f>
        <v>GOODALE IV LLC</v>
      </c>
      <c r="C4929" s="1" t="str">
        <f>"W GOODALE ST              R21 T1 S12                0.838 ACRE               "</f>
        <v xml:space="preserve">W GOODALE ST              R21 T1 S12                0.838 ACRE               </v>
      </c>
      <c r="D4929" s="1">
        <v>36302.18</v>
      </c>
    </row>
    <row r="4930" spans="1:4" x14ac:dyDescent="0.3">
      <c r="A4930" s="1" t="str">
        <f>"15000173100"</f>
        <v>15000173100</v>
      </c>
      <c r="B4930" s="1" t="str">
        <f>"GOODE WAYNETTE, MATHEWS JULIE A"</f>
        <v>GOODE WAYNETTE, MATHEWS JULIE A</v>
      </c>
      <c r="C4930" s="1" t="str">
        <f>"1032 LANGTRY AVE HAMILTON MEADOWS LOT 109"</f>
        <v>1032 LANGTRY AVE HAMILTON MEADOWS LOT 109</v>
      </c>
      <c r="D4930" s="1">
        <v>48.98</v>
      </c>
    </row>
    <row r="4931" spans="1:4" x14ac:dyDescent="0.3">
      <c r="A4931" s="1" t="str">
        <f>"01005615200"</f>
        <v>01005615200</v>
      </c>
      <c r="B4931" s="1" t="str">
        <f>"GOODE WILLIAM H C IV"</f>
        <v>GOODE WILLIAM H C IV</v>
      </c>
      <c r="C4931" s="1" t="str">
        <f>"2080 IUKA AVE INDIANOLA SUMMIT LOT 8-9 BLK 1-4"</f>
        <v>2080 IUKA AVE INDIANOLA SUMMIT LOT 8-9 BLK 1-4</v>
      </c>
      <c r="D4931" s="1">
        <v>1859</v>
      </c>
    </row>
    <row r="4932" spans="1:4" x14ac:dyDescent="0.3">
      <c r="A4932" s="1" t="str">
        <f>"05001050500"</f>
        <v>05001050500</v>
      </c>
      <c r="B4932" s="1" t="str">
        <f>"GOODLIVE THOMAS L TR, GOODLIVE KAREN R TR"</f>
        <v>GOODLIVE THOMAS L TR, GOODLIVE KAREN R TR</v>
      </c>
      <c r="C4932" s="1" t="str">
        <f>"VILLAS AT RAYS CROSSING CONDOMINIUM (4TH AMD) UNIT 4815"</f>
        <v>VILLAS AT RAYS CROSSING CONDOMINIUM (4TH AMD) UNIT 4815</v>
      </c>
      <c r="D4932" s="1">
        <v>1726.8</v>
      </c>
    </row>
    <row r="4933" spans="1:4" x14ac:dyDescent="0.3">
      <c r="A4933" s="1" t="str">
        <f>"02000008300"</f>
        <v>02000008300</v>
      </c>
      <c r="B4933" s="1" t="str">
        <f>"GOODMAN HEATHER E, GOODMAN DAVID"</f>
        <v>GOODMAN HEATHER E, GOODMAN DAVID</v>
      </c>
      <c r="C4933" s="1" t="str">
        <f>"436 PARKVIEW AVE PARKVIEW PT LOT 18"</f>
        <v>436 PARKVIEW AVE PARKVIEW PT LOT 18</v>
      </c>
      <c r="D4933" s="1">
        <v>8535.43</v>
      </c>
    </row>
    <row r="4934" spans="1:4" x14ac:dyDescent="0.3">
      <c r="A4934" s="1" t="str">
        <f>"26000017700"</f>
        <v>26000017700</v>
      </c>
      <c r="B4934" s="1" t="str">
        <f>"GOODRICH MICHAEL L, GRIMM DARLA J"</f>
        <v>GOODRICH MICHAEL L, GRIMM DARLA J</v>
      </c>
      <c r="C4934" s="1" t="str">
        <f>"FLEET RD QUALSTAN EAST 320 "</f>
        <v xml:space="preserve">FLEET RD QUALSTAN EAST 320 </v>
      </c>
      <c r="D4934" s="1">
        <v>3440.35</v>
      </c>
    </row>
    <row r="4935" spans="1:4" x14ac:dyDescent="0.3">
      <c r="A4935" s="1" t="str">
        <f>"01027848700"</f>
        <v>01027848700</v>
      </c>
      <c r="B4935" s="1" t="str">
        <f>"GOODSITE TODD"</f>
        <v>GOODSITE TODD</v>
      </c>
      <c r="C4935" s="1" t="str">
        <f>"THE TRADITIONS AT ROCKY FORK CONDOMINIUMS BLDG 39 UNIT 5761"</f>
        <v>THE TRADITIONS AT ROCKY FORK CONDOMINIUMS BLDG 39 UNIT 5761</v>
      </c>
      <c r="D4935" s="1">
        <v>181.92</v>
      </c>
    </row>
    <row r="4936" spans="1:4" x14ac:dyDescent="0.3">
      <c r="A4936" s="1" t="str">
        <f>"01027851200"</f>
        <v>01027851200</v>
      </c>
      <c r="B4936" s="1" t="str">
        <f>"GOODSITE TODD"</f>
        <v>GOODSITE TODD</v>
      </c>
      <c r="C4936" s="1" t="str">
        <f>"THE TRADITIONS AT ROCKY FORK CONDOMINIUMS GARAGE UNIT G-81"</f>
        <v>THE TRADITIONS AT ROCKY FORK CONDOMINIUMS GARAGE UNIT G-81</v>
      </c>
      <c r="D4936" s="1">
        <v>7.59</v>
      </c>
    </row>
    <row r="4937" spans="1:4" x14ac:dyDescent="0.3">
      <c r="A4937" s="1" t="str">
        <f>"01003147700"</f>
        <v>01003147700</v>
      </c>
      <c r="B4937" s="1" t="str">
        <f>"GOODSON LYLE W"</f>
        <v>GOODSON LYLE W</v>
      </c>
      <c r="C4937" s="1" t="str">
        <f>"197 S BREHL AVE DORENS CENTRAL AVE LOT 128-129"</f>
        <v>197 S BREHL AVE DORENS CENTRAL AVE LOT 128-129</v>
      </c>
      <c r="D4937" s="1">
        <v>824.21</v>
      </c>
    </row>
    <row r="4938" spans="1:4" x14ac:dyDescent="0.3">
      <c r="A4938" s="1" t="str">
        <f>"01010877900"</f>
        <v>01010877900</v>
      </c>
      <c r="B4938" s="1" t="str">
        <f>"GOODWIN CLINTON"</f>
        <v>GOODWIN CLINTON</v>
      </c>
      <c r="C4938" s="1" t="str">
        <f>".664 ACRES WOODLAND AVE "</f>
        <v xml:space="preserve">.664 ACRES WOODLAND AVE </v>
      </c>
      <c r="D4938" s="1">
        <v>2629.96</v>
      </c>
    </row>
    <row r="4939" spans="1:4" x14ac:dyDescent="0.3">
      <c r="A4939" s="1" t="str">
        <f>"01010282600"</f>
        <v>01010282600</v>
      </c>
      <c r="B4939" s="1" t="str">
        <f>"GOODWIN DONNA M"</f>
        <v>GOODWIN DONNA M</v>
      </c>
      <c r="C4939" s="1" t="str">
        <f>"BERKLEY RD 147.79 FT E END F J MOELLERD NEW ADD LOT 13"</f>
        <v>BERKLEY RD 147.79 FT E END F J MOELLERD NEW ADD LOT 13</v>
      </c>
      <c r="D4939" s="1">
        <v>2889.98</v>
      </c>
    </row>
    <row r="4940" spans="1:4" x14ac:dyDescent="0.3">
      <c r="A4940" s="1" t="str">
        <f>"01012013000"</f>
        <v>01012013000</v>
      </c>
      <c r="B4940" s="1" t="str">
        <f>"GOODWIN JOHN MARK"</f>
        <v>GOODWIN JOHN MARK</v>
      </c>
      <c r="C4940" s="1" t="str">
        <f>"OKELL RD MAIZE MEADOWS LOT 200"</f>
        <v>OKELL RD MAIZE MEADOWS LOT 200</v>
      </c>
      <c r="D4940" s="1">
        <v>199.67</v>
      </c>
    </row>
    <row r="4941" spans="1:4" x14ac:dyDescent="0.3">
      <c r="A4941" s="1" t="str">
        <f>"22200269200"</f>
        <v>22200269200</v>
      </c>
      <c r="B4941" s="1" t="str">
        <f>"GOODWIN KEITH D TR, GOODWIN DIANNE R TR"</f>
        <v>GOODWIN KEITH D TR, GOODWIN DIANNE R TR</v>
      </c>
      <c r="C4941" s="1" t="str">
        <f>"CAMDEN DRIVE NEW ALBANY LINKS SECTION 6 LOT 154"</f>
        <v>CAMDEN DRIVE NEW ALBANY LINKS SECTION 6 LOT 154</v>
      </c>
      <c r="D4941" s="1">
        <v>396.18</v>
      </c>
    </row>
    <row r="4942" spans="1:4" x14ac:dyDescent="0.3">
      <c r="A4942" s="1" t="str">
        <f>"01021497700"</f>
        <v>01021497700</v>
      </c>
      <c r="B4942" s="1" t="str">
        <f>"GOODWIN ROBERT, GOODWIN MARY L"</f>
        <v>GOODWIN ROBERT, GOODWIN MARY L</v>
      </c>
      <c r="C4942" s="1" t="str">
        <f>"MARSDALE AVE MARSDALE LOT 50"</f>
        <v>MARSDALE AVE MARSDALE LOT 50</v>
      </c>
      <c r="D4942" s="1">
        <v>479.47</v>
      </c>
    </row>
    <row r="4943" spans="1:4" x14ac:dyDescent="0.3">
      <c r="A4943" s="1" t="str">
        <f>"01008438000"</f>
        <v>01008438000</v>
      </c>
      <c r="B4943" s="1" t="str">
        <f>"GOOSE FOX LLC"</f>
        <v>GOOSE FOX LLC</v>
      </c>
      <c r="C4943" s="1" t="str">
        <f>"3517-3511 10TH AVE DUNHAMS 1ST LOT 50"</f>
        <v>3517-3511 10TH AVE DUNHAMS 1ST LOT 50</v>
      </c>
      <c r="D4943" s="1">
        <v>215.92</v>
      </c>
    </row>
    <row r="4944" spans="1:4" x14ac:dyDescent="0.3">
      <c r="A4944" s="1" t="str">
        <f>"01002070200"</f>
        <v>01002070200</v>
      </c>
      <c r="B4944" s="1" t="str">
        <f>"GOOSE FOX LLC"</f>
        <v>GOOSE FOX LLC</v>
      </c>
      <c r="C4944" s="1" t="str">
        <f>"10TH AVE DUNHAMS 1ST LOT 48"</f>
        <v>10TH AVE DUNHAMS 1ST LOT 48</v>
      </c>
      <c r="D4944" s="1">
        <v>163.88</v>
      </c>
    </row>
    <row r="4945" spans="1:4" x14ac:dyDescent="0.3">
      <c r="A4945" s="1" t="str">
        <f>"22200159400"</f>
        <v>22200159400</v>
      </c>
      <c r="B4945" s="1" t="str">
        <f>"GORDON JOHN G"</f>
        <v>GORDON JOHN G</v>
      </c>
      <c r="C4945" s="1" t="str">
        <f>"DRAYTON HALL NORTH N ALBANY COUNTRY CL SECTION 11 LOT 48"</f>
        <v>DRAYTON HALL NORTH N ALBANY COUNTRY CL SECTION 11 LOT 48</v>
      </c>
      <c r="D4945" s="1">
        <v>21075.66</v>
      </c>
    </row>
    <row r="4946" spans="1:4" x14ac:dyDescent="0.3">
      <c r="A4946" s="1" t="str">
        <f>"60016781400"</f>
        <v>60016781400</v>
      </c>
      <c r="B4946" s="1" t="str">
        <f>"GORDON RALPH"</f>
        <v>GORDON RALPH</v>
      </c>
      <c r="C4946" s="1" t="str">
        <f>"CHIPPEWILL CONDOMINIUM BLDG 41 UNIT 8"</f>
        <v>CHIPPEWILL CONDOMINIUM BLDG 41 UNIT 8</v>
      </c>
      <c r="D4946" s="1">
        <v>195.3</v>
      </c>
    </row>
    <row r="4947" spans="1:4" x14ac:dyDescent="0.3">
      <c r="A4947" s="1" t="str">
        <f>"60014768000"</f>
        <v>60014768000</v>
      </c>
      <c r="B4947" s="1" t="str">
        <f>"GORDON ROBERT D, GORDON KAREN L"</f>
        <v>GORDON ROBERT D, GORDON KAREN L</v>
      </c>
      <c r="C4947" s="1" t="str">
        <f>"KILBOURNE AVE LOT 85 BLK 2 VILLA PARK"</f>
        <v>KILBOURNE AVE LOT 85 BLK 2 VILLA PARK</v>
      </c>
      <c r="D4947" s="1">
        <v>2272.16</v>
      </c>
    </row>
    <row r="4948" spans="1:4" x14ac:dyDescent="0.3">
      <c r="A4948" s="1" t="str">
        <f>"60014768100"</f>
        <v>60014768100</v>
      </c>
      <c r="B4948" s="1" t="str">
        <f>"GORDON ROBERT D, GORDON KAREN L"</f>
        <v>GORDON ROBERT D, GORDON KAREN L</v>
      </c>
      <c r="C4948" s="1" t="str">
        <f>"KILBOURNE AVE LOT 86 BLK 2 VILLA PARK"</f>
        <v>KILBOURNE AVE LOT 86 BLK 2 VILLA PARK</v>
      </c>
      <c r="D4948" s="1">
        <v>168.19</v>
      </c>
    </row>
    <row r="4949" spans="1:4" x14ac:dyDescent="0.3">
      <c r="A4949" s="1" t="str">
        <f>"60014768200"</f>
        <v>60014768200</v>
      </c>
      <c r="B4949" s="1" t="str">
        <f>"GORDON ROBERT D, GORDON KAREN L"</f>
        <v>GORDON ROBERT D, GORDON KAREN L</v>
      </c>
      <c r="C4949" s="1" t="str">
        <f>"KILBOURNE AVE LOT 87 BLK 2 VILLA PARK"</f>
        <v>KILBOURNE AVE LOT 87 BLK 2 VILLA PARK</v>
      </c>
      <c r="D4949" s="1">
        <v>168.19</v>
      </c>
    </row>
    <row r="4950" spans="1:4" x14ac:dyDescent="0.3">
      <c r="A4950" s="1" t="str">
        <f>"11000526100"</f>
        <v>11000526100</v>
      </c>
      <c r="B4950" s="1" t="str">
        <f>"GORDON UTAUPHIA M, GORDON VALDEZ C"</f>
        <v>GORDON UTAUPHIA M, GORDON VALDEZ C</v>
      </c>
      <c r="C4950" s="1" t="str">
        <f>"JESSAMINE COURT SUNBURY WOODS LOT 19"</f>
        <v>JESSAMINE COURT SUNBURY WOODS LOT 19</v>
      </c>
      <c r="D4950" s="1">
        <v>561.29</v>
      </c>
    </row>
    <row r="4951" spans="1:4" x14ac:dyDescent="0.3">
      <c r="A4951" s="1" t="str">
        <f>"01007857900"</f>
        <v>01007857900</v>
      </c>
      <c r="B4951" s="1" t="str">
        <f>"GORE LEONARD P, GORE SHERYL L"</f>
        <v>GORE LEONARD P, GORE SHERYL L</v>
      </c>
      <c r="C4951" s="1" t="str">
        <f>"POWHATAN AVE WESTGATE PARK LOT 65"</f>
        <v>POWHATAN AVE WESTGATE PARK LOT 65</v>
      </c>
      <c r="D4951" s="1">
        <v>1144</v>
      </c>
    </row>
    <row r="4952" spans="1:4" x14ac:dyDescent="0.3">
      <c r="A4952" s="1" t="str">
        <f>"01010356500"</f>
        <v>01010356500</v>
      </c>
      <c r="B4952" s="1" t="str">
        <f>"GOREE-DAVIES KATHERINE"</f>
        <v>GOREE-DAVIES KATHERINE</v>
      </c>
      <c r="C4952" s="1" t="str">
        <f>"903 GARDEN RD BABY FARMS L 210-1-2-3 BLK 81"</f>
        <v>903 GARDEN RD BABY FARMS L 210-1-2-3 BLK 81</v>
      </c>
      <c r="D4952" s="1">
        <v>1741.89</v>
      </c>
    </row>
    <row r="4953" spans="1:4" x14ac:dyDescent="0.3">
      <c r="A4953" s="1" t="str">
        <f>"01018313100"</f>
        <v>01018313100</v>
      </c>
      <c r="B4953" s="1" t="str">
        <f>"GOREY K THOMAS JR TR"</f>
        <v>GOREY K THOMAS JR TR</v>
      </c>
      <c r="C4953" s="1" t="str">
        <f>"SCOTLAND YARD CONDO UNIT 1659   BLDG 14 "</f>
        <v xml:space="preserve">SCOTLAND YARD CONDO UNIT 1659   BLDG 14 </v>
      </c>
      <c r="D4953" s="1">
        <v>86.03</v>
      </c>
    </row>
    <row r="4954" spans="1:4" x14ac:dyDescent="0.3">
      <c r="A4954" s="1" t="str">
        <f>"01006437600"</f>
        <v>01006437600</v>
      </c>
      <c r="B4954" s="1" t="str">
        <f>"GORMAN ROGER JR"</f>
        <v>GORMAN ROGER JR</v>
      </c>
      <c r="C4954" s="1" t="str">
        <f>"2942 CRESCENT DRIVE BROADVIEW LOT 16 BLK 2"</f>
        <v>2942 CRESCENT DRIVE BROADVIEW LOT 16 BLK 2</v>
      </c>
      <c r="D4954" s="1">
        <v>1788.68</v>
      </c>
    </row>
    <row r="4955" spans="1:4" x14ac:dyDescent="0.3">
      <c r="A4955" s="1" t="str">
        <f>"01009768900"</f>
        <v>01009768900</v>
      </c>
      <c r="B4955" s="1" t="str">
        <f>"GOSHAY ROBERT, PATTERSON MAHOGANY"</f>
        <v>GOSHAY ROBERT, PATTERSON MAHOGANY</v>
      </c>
      <c r="C4955" s="1" t="str">
        <f>"TWENTY SECOND AVE HAMILTON PARK 4 LOT 4"</f>
        <v>TWENTY SECOND AVE HAMILTON PARK 4 LOT 4</v>
      </c>
      <c r="D4955" s="1">
        <v>1499.4</v>
      </c>
    </row>
    <row r="4956" spans="1:4" x14ac:dyDescent="0.3">
      <c r="A4956" s="1" t="str">
        <f>"07000697200"</f>
        <v>07000697200</v>
      </c>
      <c r="B4956" s="1" t="str">
        <f>"GOSNELL SCOTT W TTEE"</f>
        <v>GOSNELL SCOTT W TTEE</v>
      </c>
      <c r="C4956" s="1" t="str">
        <f>"LEEDS RD LAKIN WOODS 9 BLK 258"</f>
        <v>LEEDS RD LAKIN WOODS 9 BLK 258</v>
      </c>
      <c r="D4956" s="1">
        <v>469.39</v>
      </c>
    </row>
    <row r="4957" spans="1:4" x14ac:dyDescent="0.3">
      <c r="A4957" s="1" t="str">
        <f>"08000862300"</f>
        <v>08000862300</v>
      </c>
      <c r="B4957" s="1" t="str">
        <f>"GOSSETT JAMES M, PEER SUSAN E"</f>
        <v>GOSSETT JAMES M, PEER SUSAN E</v>
      </c>
      <c r="C4957" s="1" t="str">
        <f>"THREE FORKS DR S FALLEN TIMBERS SEC 1 LOT 8"</f>
        <v>THREE FORKS DR S FALLEN TIMBERS SEC 1 LOT 8</v>
      </c>
      <c r="D4957" s="1">
        <v>396.35</v>
      </c>
    </row>
    <row r="4958" spans="1:4" x14ac:dyDescent="0.3">
      <c r="A4958" s="1" t="str">
        <f>"06000821400"</f>
        <v>06000821400</v>
      </c>
      <c r="B4958" s="1" t="str">
        <f>"GOSSETT LISA V"</f>
        <v>GOSSETT LISA V</v>
      </c>
      <c r="C4958" s="1" t="str">
        <f>"FARMINGTON MEADOWS CONDOMINIUM 2ND AMD BLDG 6 UNIT 7808"</f>
        <v>FARMINGTON MEADOWS CONDOMINIUM 2ND AMD BLDG 6 UNIT 7808</v>
      </c>
      <c r="D4958" s="1">
        <v>1571.22</v>
      </c>
    </row>
    <row r="4959" spans="1:4" x14ac:dyDescent="0.3">
      <c r="A4959" s="1" t="str">
        <f>"24000654200"</f>
        <v>24000654200</v>
      </c>
      <c r="B4959" s="1" t="str">
        <f>"GOSSMAN ROBERT F SR"</f>
        <v>GOSSMAN ROBERT F SR</v>
      </c>
      <c r="C4959" s="1" t="str">
        <f>"ALTON ROAD OQ450-300 ENTRY12837 5.0573 ACRES"</f>
        <v>ALTON ROAD OQ450-300 ENTRY12837 5.0573 ACRES</v>
      </c>
      <c r="D4959" s="1">
        <v>286.04000000000002</v>
      </c>
    </row>
    <row r="4960" spans="1:4" x14ac:dyDescent="0.3">
      <c r="A4960" s="1" t="str">
        <f>"01016108700"</f>
        <v>01016108700</v>
      </c>
      <c r="B4960" s="1" t="str">
        <f>"GOSTEL JANINE K"</f>
        <v>GOSTEL JANINE K</v>
      </c>
      <c r="C4960" s="1" t="str">
        <f>"WOODBROOK CR N WOODBROOK VILLAGE CONDO UNIT 121"</f>
        <v>WOODBROOK CR N WOODBROOK VILLAGE CONDO UNIT 121</v>
      </c>
      <c r="D4960" s="1">
        <v>40.86</v>
      </c>
    </row>
    <row r="4961" spans="1:4" x14ac:dyDescent="0.3">
      <c r="A4961" s="1" t="str">
        <f>"14000053100"</f>
        <v>14000053100</v>
      </c>
      <c r="B4961" s="1" t="str">
        <f>"GOUDA ABDELKARIM"</f>
        <v>GOUDA ABDELKARIM</v>
      </c>
      <c r="C4961" s="1" t="str">
        <f>"BROWN RD OQ 1000 ENT 422 .242 ACRES"</f>
        <v>BROWN RD OQ 1000 ENT 422 .242 ACRES</v>
      </c>
      <c r="D4961" s="1">
        <v>1964.66</v>
      </c>
    </row>
    <row r="4962" spans="1:4" x14ac:dyDescent="0.3">
      <c r="A4962" s="1" t="str">
        <f>"01007016900"</f>
        <v>01007016900</v>
      </c>
      <c r="B4962" s="1" t="str">
        <f>"GOUHR MOAMEN"</f>
        <v>GOUHR MOAMEN</v>
      </c>
      <c r="C4962" s="1" t="str">
        <f>"3250 FIFTH AVE REAR .244 ACRE "</f>
        <v xml:space="preserve">3250 FIFTH AVE REAR .244 ACRE </v>
      </c>
      <c r="D4962" s="1">
        <v>35.75</v>
      </c>
    </row>
    <row r="4963" spans="1:4" x14ac:dyDescent="0.3">
      <c r="A4963" s="1" t="str">
        <f>"05001044400"</f>
        <v>05001044400</v>
      </c>
      <c r="B4963" s="1" t="str">
        <f>"GOVINE DEIDRA L"</f>
        <v>GOVINE DEIDRA L</v>
      </c>
      <c r="C4963" s="1" t="str">
        <f>"6159 ACACIA DRIVE ESTATES AT HOFFMAN FARMS SECTION 2 PHASE 5 LOT 117"</f>
        <v>6159 ACACIA DRIVE ESTATES AT HOFFMAN FARMS SECTION 2 PHASE 5 LOT 117</v>
      </c>
      <c r="D4963" s="1">
        <v>569.79999999999995</v>
      </c>
    </row>
    <row r="4964" spans="1:4" x14ac:dyDescent="0.3">
      <c r="A4964" s="1" t="str">
        <f>"01010844600"</f>
        <v>01010844600</v>
      </c>
      <c r="B4964" s="1" t="str">
        <f>"GP REMODELING EXPERTS LLC"</f>
        <v>GP REMODELING EXPERTS LLC</v>
      </c>
      <c r="C4964" s="1" t="str">
        <f>"17TH AVE LINDALE LOT 7 EX NW COR"</f>
        <v>17TH AVE LINDALE LOT 7 EX NW COR</v>
      </c>
      <c r="D4964" s="1">
        <v>28.7</v>
      </c>
    </row>
    <row r="4965" spans="1:4" x14ac:dyDescent="0.3">
      <c r="A4965" s="1" t="str">
        <f>"01010844700"</f>
        <v>01010844700</v>
      </c>
      <c r="B4965" s="1" t="str">
        <f>"GP REMODELING EXPERTS LLC"</f>
        <v>GP REMODELING EXPERTS LLC</v>
      </c>
      <c r="C4965" s="1" t="str">
        <f>"17TH AVE LINDALE LOT 8"</f>
        <v>17TH AVE LINDALE LOT 8</v>
      </c>
      <c r="D4965" s="1">
        <v>6.86</v>
      </c>
    </row>
    <row r="4966" spans="1:4" x14ac:dyDescent="0.3">
      <c r="A4966" s="1" t="str">
        <f>"09000352000"</f>
        <v>09000352000</v>
      </c>
      <c r="B4966" s="1" t="str">
        <f>"GRABOVICH CHRISTINA M"</f>
        <v>GRABOVICH CHRISTINA M</v>
      </c>
      <c r="C4966" s="1" t="str">
        <f>"5001 WINSLOW DR TRURO ESTATES 290 "</f>
        <v xml:space="preserve">5001 WINSLOW DR TRURO ESTATES 290 </v>
      </c>
      <c r="D4966" s="1">
        <v>1324.37</v>
      </c>
    </row>
    <row r="4967" spans="1:4" x14ac:dyDescent="0.3">
      <c r="A4967" s="1" t="str">
        <f>"56018504100"</f>
        <v>56018504100</v>
      </c>
      <c r="B4967" s="1" t="str">
        <f>"GRACE MARIE DESIGNS LLC"</f>
        <v>GRACE MARIE DESIGNS LLC</v>
      </c>
      <c r="C4967" s="1" t="str">
        <f>"SUMMERDALE LN CHAPEL HILL CONDO UNIT 71 BLDG 16"</f>
        <v>SUMMERDALE LN CHAPEL HILL CONDO UNIT 71 BLDG 16</v>
      </c>
      <c r="D4967" s="1">
        <v>3726.26</v>
      </c>
    </row>
    <row r="4968" spans="1:4" x14ac:dyDescent="0.3">
      <c r="A4968" s="1" t="str">
        <f>"01010981000"</f>
        <v>01010981000</v>
      </c>
      <c r="B4968" s="1" t="str">
        <f>"GRACELAND SHOPPERS LIMITED PARTNERSHIP"</f>
        <v>GRACELAND SHOPPERS LIMITED PARTNERSHIP</v>
      </c>
      <c r="C4968" s="1" t="str">
        <f>"GIRARD ROAD DELAWANDA LOT 175"</f>
        <v>GIRARD ROAD DELAWANDA LOT 175</v>
      </c>
      <c r="D4968" s="1">
        <v>724.21</v>
      </c>
    </row>
    <row r="4969" spans="1:4" x14ac:dyDescent="0.3">
      <c r="A4969" s="1" t="str">
        <f>"01002775500"</f>
        <v>01002775500</v>
      </c>
      <c r="B4969" s="1" t="str">
        <f>"GRACES BEND LLC"</f>
        <v>GRACES BEND LLC</v>
      </c>
      <c r="C4969" s="1" t="str">
        <f>"3RD &amp; OLENTANGY BLV WM NEIL EXRS PT LOT 8 (2.670 ACRES)"</f>
        <v>3RD &amp; OLENTANGY BLV WM NEIL EXRS PT LOT 8 (2.670 ACRES)</v>
      </c>
      <c r="D4969" s="1">
        <v>201307.08</v>
      </c>
    </row>
    <row r="4970" spans="1:4" x14ac:dyDescent="0.3">
      <c r="A4970" s="1" t="str">
        <f>"01030605200"</f>
        <v>01030605200</v>
      </c>
      <c r="B4970" s="1" t="str">
        <f>"GRACES BEND LLC"</f>
        <v>GRACES BEND LLC</v>
      </c>
      <c r="C4970" s="1" t="str">
        <f>"3RD &amp; OLENTANGY BLV WM NEIL EXRS PT LOT 8 (0.477ACRES)"</f>
        <v>3RD &amp; OLENTANGY BLV WM NEIL EXRS PT LOT 8 (0.477ACRES)</v>
      </c>
      <c r="D4970" s="1">
        <v>43773.71</v>
      </c>
    </row>
    <row r="4971" spans="1:4" x14ac:dyDescent="0.3">
      <c r="A4971" s="1" t="str">
        <f>"01016440300"</f>
        <v>01016440300</v>
      </c>
      <c r="B4971" s="1" t="str">
        <f>"GRACZYK MARGARET L, GRACZYK MARK A"</f>
        <v>GRACZYK MARGARET L, GRACZYK MARK A</v>
      </c>
      <c r="C4971" s="1" t="str">
        <f>"WILLOWICK CONDO PHASE 1 BLDG 4 UNIT B"</f>
        <v>WILLOWICK CONDO PHASE 1 BLDG 4 UNIT B</v>
      </c>
      <c r="D4971" s="1">
        <v>1453.42</v>
      </c>
    </row>
    <row r="4972" spans="1:4" x14ac:dyDescent="0.3">
      <c r="A4972" s="1" t="str">
        <f>"01022886600"</f>
        <v>01022886600</v>
      </c>
      <c r="B4972" s="1" t="str">
        <f>"GRAF DANIEL T"</f>
        <v>GRAF DANIEL T</v>
      </c>
      <c r="C4972" s="1" t="str">
        <f>"MCNEILL FARMS EAST CONDOMINIUM 1ST AMD UNIT 15A"</f>
        <v>MCNEILL FARMS EAST CONDOMINIUM 1ST AMD UNIT 15A</v>
      </c>
      <c r="D4972" s="1">
        <v>123.22</v>
      </c>
    </row>
    <row r="4973" spans="1:4" x14ac:dyDescent="0.3">
      <c r="A4973" s="1" t="str">
        <f>"27300446300"</f>
        <v>27300446300</v>
      </c>
      <c r="B4973" s="1" t="str">
        <f>"GRAFF FREDERICK M, GRAFF KATHLEEN W"</f>
        <v>GRAFF FREDERICK M, GRAFF KATHLEEN W</v>
      </c>
      <c r="C4973" s="1" t="str">
        <f>"NEWGRANGE DRIVE LOWELL TRACE LOT 26"</f>
        <v>NEWGRANGE DRIVE LOWELL TRACE LOT 26</v>
      </c>
      <c r="D4973" s="1">
        <v>4981.6499999999996</v>
      </c>
    </row>
    <row r="4974" spans="1:4" x14ac:dyDescent="0.3">
      <c r="A4974" s="1" t="str">
        <f>"01001092500"</f>
        <v>01001092500</v>
      </c>
      <c r="B4974" s="1" t="str">
        <f>"GRAFTON JAMES W, GRAFTON SARAH"</f>
        <v>GRAFTON JAMES W, GRAFTON SARAH</v>
      </c>
      <c r="C4974" s="1" t="str">
        <f>"165 S HARRIS AVE WICKLOW EXT LOT 697 "</f>
        <v xml:space="preserve">165 S HARRIS AVE WICKLOW EXT LOT 697 </v>
      </c>
      <c r="D4974" s="1">
        <v>102.26</v>
      </c>
    </row>
    <row r="4975" spans="1:4" x14ac:dyDescent="0.3">
      <c r="A4975" s="1" t="str">
        <f>"01000525000"</f>
        <v>01000525000</v>
      </c>
      <c r="B4975" s="1" t="str">
        <f>"GRAFTON JAMES W, GRAFTON SARAH J"</f>
        <v>GRAFTON JAMES W, GRAFTON SARAH J</v>
      </c>
      <c r="C4975" s="1" t="str">
        <f>"167 S HARRIS AVE WICKLOW EXT LOT 696"</f>
        <v>167 S HARRIS AVE WICKLOW EXT LOT 696</v>
      </c>
      <c r="D4975" s="1">
        <v>110.24</v>
      </c>
    </row>
    <row r="4976" spans="1:4" x14ac:dyDescent="0.3">
      <c r="A4976" s="1" t="str">
        <f>"61020749800"</f>
        <v>61020749800</v>
      </c>
      <c r="B4976" s="1" t="str">
        <f>"GRAHAM JANICE A TOD"</f>
        <v>GRAHAM JANICE A TOD</v>
      </c>
      <c r="C4976" s="1" t="str">
        <f>"VILLAGE AT WORTHINGTON SEC 1 LOT 61"</f>
        <v>VILLAGE AT WORTHINGTON SEC 1 LOT 61</v>
      </c>
      <c r="D4976" s="1">
        <v>323.45999999999998</v>
      </c>
    </row>
    <row r="4977" spans="1:4" x14ac:dyDescent="0.3">
      <c r="A4977" s="1" t="str">
        <f>"01001941900"</f>
        <v>01001941900</v>
      </c>
      <c r="B4977" s="1" t="str">
        <f>"GRAHAM SALEM B"</f>
        <v>GRAHAM SALEM B</v>
      </c>
      <c r="C4977" s="1" t="str">
        <f>"385 S WHEATLAND AVE ARLINGTON LOT 127"</f>
        <v>385 S WHEATLAND AVE ARLINGTON LOT 127</v>
      </c>
      <c r="D4977" s="1">
        <v>751.13</v>
      </c>
    </row>
    <row r="4978" spans="1:4" x14ac:dyDescent="0.3">
      <c r="A4978" s="1" t="str">
        <f>"06000811500"</f>
        <v>06000811500</v>
      </c>
      <c r="B4978" s="1" t="str">
        <f>"GRAMBY TALIB, GRAMBY SHAMAR"</f>
        <v>GRAMBY TALIB, GRAMBY SHAMAR</v>
      </c>
      <c r="C4978" s="1" t="str">
        <f>"LEIGHTON VILLAGE SECTION 4 LOT 95"</f>
        <v>LEIGHTON VILLAGE SECTION 4 LOT 95</v>
      </c>
      <c r="D4978" s="1">
        <v>1600.1</v>
      </c>
    </row>
    <row r="4979" spans="1:4" x14ac:dyDescent="0.3">
      <c r="A4979" s="1" t="str">
        <f>"14000128500"</f>
        <v>14000128500</v>
      </c>
      <c r="B4979" s="1" t="str">
        <f>"GRAMELT STEVE"</f>
        <v>GRAMELT STEVE</v>
      </c>
      <c r="C4979" s="1" t="str">
        <f>"1823 BELMEAD AVE GIBSON PARK PLACE LOT 319"</f>
        <v>1823 BELMEAD AVE GIBSON PARK PLACE LOT 319</v>
      </c>
      <c r="D4979" s="1">
        <v>62.6</v>
      </c>
    </row>
    <row r="4980" spans="1:4" x14ac:dyDescent="0.3">
      <c r="A4980" s="1" t="str">
        <f>"04001794600"</f>
        <v>04001794600</v>
      </c>
      <c r="B4980" s="1" t="str">
        <f>"GRAND COMMUNITES LLC"</f>
        <v>GRAND COMMUNITES LLC</v>
      </c>
      <c r="C4980" s="1" t="str">
        <f>"FARMSTEAD SUB AREA H-PHASE 4 RESERVE H-G"</f>
        <v>FARMSTEAD SUB AREA H-PHASE 4 RESERVE H-G</v>
      </c>
      <c r="D4980" s="1">
        <v>3.76</v>
      </c>
    </row>
    <row r="4981" spans="1:4" x14ac:dyDescent="0.3">
      <c r="A4981" s="1" t="str">
        <f>"04001789600"</f>
        <v>04001789600</v>
      </c>
      <c r="B4981" s="1" t="str">
        <f>"GRAND COMMUNITIES LLC"</f>
        <v>GRAND COMMUNITIES LLC</v>
      </c>
      <c r="C4981" s="1" t="str">
        <f>"FARMSTEAD PHASE 5A RESERVE L "</f>
        <v xml:space="preserve">FARMSTEAD PHASE 5A RESERVE L </v>
      </c>
      <c r="D4981" s="1">
        <v>105.27</v>
      </c>
    </row>
    <row r="4982" spans="1:4" x14ac:dyDescent="0.3">
      <c r="A4982" s="1" t="str">
        <f>"04001609700"</f>
        <v>04001609700</v>
      </c>
      <c r="B4982" s="1" t="str">
        <f>"GRAND COMMUNITIES LLC"</f>
        <v>GRAND COMMUNITIES LLC</v>
      </c>
      <c r="C4982" s="1" t="str">
        <f>"JACKSON PIKE OQ 3900-610 ENTRY 1105-6115 4 47.983 ACRES"</f>
        <v>JACKSON PIKE OQ 3900-610 ENTRY 1105-6115 4 47.983 ACRES</v>
      </c>
      <c r="D4982" s="1">
        <v>119.23</v>
      </c>
    </row>
    <row r="4983" spans="1:4" x14ac:dyDescent="0.3">
      <c r="A4983" s="1" t="str">
        <f>"04001791900"</f>
        <v>04001791900</v>
      </c>
      <c r="B4983" s="1" t="str">
        <f>"GRAND COMMUNITIES LLC"</f>
        <v>GRAND COMMUNITIES LLC</v>
      </c>
      <c r="C4983" s="1" t="str">
        <f>"FARMSTEAD PHASE 11 RESERVE Q"</f>
        <v>FARMSTEAD PHASE 11 RESERVE Q</v>
      </c>
      <c r="D4983" s="1">
        <v>62.3</v>
      </c>
    </row>
    <row r="4984" spans="1:4" x14ac:dyDescent="0.3">
      <c r="A4984" s="1" t="str">
        <f>"57021623800"</f>
        <v>57021623800</v>
      </c>
      <c r="B4984" s="1" t="str">
        <f>"GRANDISON ANTHONY L, GRANDISON BARBARA"</f>
        <v>GRANDISON ANTHONY L, GRANDISON BARBARA</v>
      </c>
      <c r="C4984" s="1" t="str">
        <f>"VILLAGE PARK COURT BIG RUN VILLAGE SECTION 3 LOT 172"</f>
        <v>VILLAGE PARK COURT BIG RUN VILLAGE SECTION 3 LOT 172</v>
      </c>
      <c r="D4984" s="1">
        <v>1996.83</v>
      </c>
    </row>
    <row r="4985" spans="1:4" x14ac:dyDescent="0.3">
      <c r="A4985" s="1" t="str">
        <f>"01010207100"</f>
        <v>01010207100</v>
      </c>
      <c r="B4985" s="1" t="str">
        <f>"GRANITE TOPS &amp; MORE LLC"</f>
        <v>GRANITE TOPS &amp; MORE LLC</v>
      </c>
      <c r="C4985" s="1" t="str">
        <f>"ZETTLER RD LIV-MOR HTS LOT 13"</f>
        <v>ZETTLER RD LIV-MOR HTS LOT 13</v>
      </c>
      <c r="D4985" s="1">
        <v>2201.41</v>
      </c>
    </row>
    <row r="4986" spans="1:4" x14ac:dyDescent="0.3">
      <c r="A4986" s="1" t="str">
        <f>"01007445800"</f>
        <v>01007445800</v>
      </c>
      <c r="B4986" s="1" t="str">
        <f>"GRANT AVENUE PROPERTIES LTD"</f>
        <v>GRANT AVENUE PROPERTIES LTD</v>
      </c>
      <c r="C4986" s="1" t="str">
        <f>"E HUDSON ST HIGHWAY PARK LOT 4"</f>
        <v>E HUDSON ST HIGHWAY PARK LOT 4</v>
      </c>
      <c r="D4986" s="1">
        <v>19.14</v>
      </c>
    </row>
    <row r="4987" spans="1:4" x14ac:dyDescent="0.3">
      <c r="A4987" s="1" t="str">
        <f>"01007445900"</f>
        <v>01007445900</v>
      </c>
      <c r="B4987" s="1" t="str">
        <f>"GRANT AVENUE PROPERTIES LTD"</f>
        <v>GRANT AVENUE PROPERTIES LTD</v>
      </c>
      <c r="C4987" s="1" t="str">
        <f>"E HUDSON ST HIGHWAY PARK LOT 5"</f>
        <v>E HUDSON ST HIGHWAY PARK LOT 5</v>
      </c>
      <c r="D4987" s="1">
        <v>83.67</v>
      </c>
    </row>
    <row r="4988" spans="1:4" x14ac:dyDescent="0.3">
      <c r="A4988" s="1" t="str">
        <f>"59022669500"</f>
        <v>59022669500</v>
      </c>
      <c r="B4988" s="1" t="str">
        <f>"GRANT CAROL J"</f>
        <v>GRANT CAROL J</v>
      </c>
      <c r="C4988" s="1" t="str">
        <f>"BETHEL COMMONS CONDOMINIUM 3RD AMD UNIT 10A"</f>
        <v>BETHEL COMMONS CONDOMINIUM 3RD AMD UNIT 10A</v>
      </c>
      <c r="D4988" s="1">
        <v>23.46</v>
      </c>
    </row>
    <row r="4989" spans="1:4" x14ac:dyDescent="0.3">
      <c r="A4989" s="1" t="str">
        <f>"01010717000"</f>
        <v>01010717000</v>
      </c>
      <c r="B4989" s="1" t="str">
        <f>"GRANT JANE E"</f>
        <v>GRANT JANE E</v>
      </c>
      <c r="C4989" s="1" t="str">
        <f>"KENLWN ST KENMORE KNOLLS 2 LOT 97"</f>
        <v>KENLWN ST KENMORE KNOLLS 2 LOT 97</v>
      </c>
      <c r="D4989" s="1">
        <v>99.86</v>
      </c>
    </row>
    <row r="4990" spans="1:4" x14ac:dyDescent="0.3">
      <c r="A4990" s="1" t="str">
        <f>"19100065600"</f>
        <v>19100065600</v>
      </c>
      <c r="B4990" s="1" t="str">
        <f>"GRANT REBECCA"</f>
        <v>GRANT REBECCA</v>
      </c>
      <c r="C4990" s="1" t="str">
        <f>"MISSOURIA AVE LEONARD PARK 7 BLK H"</f>
        <v>MISSOURIA AVE LEONARD PARK 7 BLK H</v>
      </c>
      <c r="D4990" s="1">
        <v>791.8</v>
      </c>
    </row>
    <row r="4991" spans="1:4" x14ac:dyDescent="0.3">
      <c r="A4991" s="1" t="str">
        <f>"19100065800"</f>
        <v>19100065800</v>
      </c>
      <c r="B4991" s="1" t="str">
        <f>"GRANT REBECCA"</f>
        <v>GRANT REBECCA</v>
      </c>
      <c r="C4991" s="1" t="str">
        <f>"E MISSOURI AVE LEONARD PARK LOTS 9-10 &amp; PT LOT 54 &amp; PT AL"</f>
        <v>E MISSOURI AVE LEONARD PARK LOTS 9-10 &amp; PT LOT 54 &amp; PT AL</v>
      </c>
      <c r="D4991" s="1">
        <v>1504.92</v>
      </c>
    </row>
    <row r="4992" spans="1:4" x14ac:dyDescent="0.3">
      <c r="A4992" s="1" t="str">
        <f>"02500361100"</f>
        <v>02500361100</v>
      </c>
      <c r="B4992" s="1" t="str">
        <f>"GRANT ROBERT B, GRANT DIANE L"</f>
        <v>GRANT ROBERT B, GRANT DIANE L</v>
      </c>
      <c r="C4992" s="1" t="str">
        <f>"272 RUGBY LANE IMPERIAL RISE 2 LOT 148"</f>
        <v>272 RUGBY LANE IMPERIAL RISE 2 LOT 148</v>
      </c>
      <c r="D4992" s="1">
        <v>277.72000000000003</v>
      </c>
    </row>
    <row r="4993" spans="1:4" x14ac:dyDescent="0.3">
      <c r="A4993" s="1" t="str">
        <f>"08000881000"</f>
        <v>08000881000</v>
      </c>
      <c r="B4993" s="1" t="str">
        <f>"GRANT TIMOTHY, GRANT MARTHA"</f>
        <v>GRANT TIMOTHY, GRANT MARTHA</v>
      </c>
      <c r="C4993" s="1" t="str">
        <f>"VINE ST DAVID SQUARE CONDO UNIT 115"</f>
        <v>VINE ST DAVID SQUARE CONDO UNIT 115</v>
      </c>
      <c r="D4993" s="1">
        <v>3607.25</v>
      </c>
    </row>
    <row r="4994" spans="1:4" x14ac:dyDescent="0.3">
      <c r="A4994" s="1" t="str">
        <f>"01024325800"</f>
        <v>01024325800</v>
      </c>
      <c r="B4994" s="1" t="str">
        <f>"GRANTER SHARON S TR"</f>
        <v>GRANTER SHARON S TR</v>
      </c>
      <c r="C4994" s="1" t="str">
        <f>"MARBLE CLIFF CROSSING SECTION 1 LOT 56"</f>
        <v>MARBLE CLIFF CROSSING SECTION 1 LOT 56</v>
      </c>
      <c r="D4994" s="1">
        <v>14268.39</v>
      </c>
    </row>
    <row r="4995" spans="1:4" x14ac:dyDescent="0.3">
      <c r="A4995" s="1" t="str">
        <f>"61013274300"</f>
        <v>61013274300</v>
      </c>
      <c r="B4995" s="1" t="str">
        <f>"GRASKL HOLDINGS LLC"</f>
        <v>GRASKL HOLDINGS LLC</v>
      </c>
      <c r="C4995" s="1" t="str">
        <f>"6525 KINGSMILL CT BUSCH CORPORATE CNTR .9207 ACRE"</f>
        <v>6525 KINGSMILL CT BUSCH CORPORATE CNTR .9207 ACRE</v>
      </c>
      <c r="D4995" s="1">
        <v>976.82</v>
      </c>
    </row>
    <row r="4996" spans="1:4" x14ac:dyDescent="0.3">
      <c r="A4996" s="1" t="str">
        <f>"53021395300"</f>
        <v>53021395300</v>
      </c>
      <c r="B4996" s="1" t="str">
        <f>"GRASSELLI CAROL S"</f>
        <v>GRASSELLI CAROL S</v>
      </c>
      <c r="C4996" s="1" t="str">
        <f>"GURTIS DR INDEPEND SQ. SEC 4 PT 2A   LOT 213"</f>
        <v>GURTIS DR INDEPEND SQ. SEC 4 PT 2A   LOT 213</v>
      </c>
      <c r="D4996" s="1">
        <v>2919.73</v>
      </c>
    </row>
    <row r="4997" spans="1:4" x14ac:dyDescent="0.3">
      <c r="A4997" s="1" t="str">
        <f>"01010217900"</f>
        <v>01010217900</v>
      </c>
      <c r="B4997" s="1" t="str">
        <f>"GRAVELEY ALICE M P"</f>
        <v>GRAVELEY ALICE M P</v>
      </c>
      <c r="C4997" s="1" t="str">
        <f>"ZETTLER RD LIV-MOOR HTS LOT 121"</f>
        <v>ZETTLER RD LIV-MOOR HTS LOT 121</v>
      </c>
      <c r="D4997" s="1">
        <v>128.88999999999999</v>
      </c>
    </row>
    <row r="4998" spans="1:4" x14ac:dyDescent="0.3">
      <c r="A4998" s="1" t="str">
        <f>"01013821800"</f>
        <v>01013821800</v>
      </c>
      <c r="B4998" s="1" t="str">
        <f>"GRAVELY DEWAYNE, GRAVELY MARIA"</f>
        <v>GRAVELY DEWAYNE, GRAVELY MARIA</v>
      </c>
      <c r="C4998" s="1" t="str">
        <f>"EASTHAVEN DR S GLENBROOK SEC 2 LOT 134"</f>
        <v>EASTHAVEN DR S GLENBROOK SEC 2 LOT 134</v>
      </c>
      <c r="D4998" s="1">
        <v>1253.52</v>
      </c>
    </row>
    <row r="4999" spans="1:4" x14ac:dyDescent="0.3">
      <c r="A4999" s="1" t="str">
        <f>"01003119200"</f>
        <v>01003119200</v>
      </c>
      <c r="B4999" s="1" t="str">
        <f>"GRAVES EDWARD C"</f>
        <v>GRAVES EDWARD C</v>
      </c>
      <c r="C4999" s="1" t="str">
        <f>"321 E MORRILL AVE SS TERRACE LOT 8"</f>
        <v>321 E MORRILL AVE SS TERRACE LOT 8</v>
      </c>
      <c r="D4999" s="1">
        <v>2222.06</v>
      </c>
    </row>
    <row r="5000" spans="1:4" x14ac:dyDescent="0.3">
      <c r="A5000" s="1" t="str">
        <f>"27300934600"</f>
        <v>27300934600</v>
      </c>
      <c r="B5000" s="1" t="str">
        <f>"GRAVES ERIKA"</f>
        <v>GRAVES ERIKA</v>
      </c>
      <c r="C5000" s="1" t="str">
        <f>"GLENLOCH CIRCLE BRAELINN GREEN CONDO UNIT 3067"</f>
        <v>GLENLOCH CIRCLE BRAELINN GREEN CONDO UNIT 3067</v>
      </c>
      <c r="D5000" s="1">
        <v>6381.9</v>
      </c>
    </row>
    <row r="5001" spans="1:4" x14ac:dyDescent="0.3">
      <c r="A5001" s="1" t="str">
        <f>"13000692900"</f>
        <v>13000692900</v>
      </c>
      <c r="B5001" s="1" t="str">
        <f>"GRAY MICHAEL E, GRAY JACQUELINE A"</f>
        <v>GRAY MICHAEL E, GRAY JACQUELINE A</v>
      </c>
      <c r="C5001" s="1" t="str">
        <f>"ELMORE AVE ELMORE LOT 58 "</f>
        <v xml:space="preserve">ELMORE AVE ELMORE LOT 58 </v>
      </c>
      <c r="D5001" s="1">
        <v>687.69</v>
      </c>
    </row>
    <row r="5002" spans="1:4" x14ac:dyDescent="0.3">
      <c r="A5002" s="1" t="str">
        <f>"01019457400"</f>
        <v>01019457400</v>
      </c>
      <c r="B5002" s="1" t="str">
        <f>"GRAY PAULA"</f>
        <v>GRAY PAULA</v>
      </c>
      <c r="C5002" s="1" t="str">
        <f>"KARL RD NRTHLND SEN VIL COND BLDG B UNIT 103"</f>
        <v>KARL RD NRTHLND SEN VIL COND BLDG B UNIT 103</v>
      </c>
      <c r="D5002" s="1">
        <v>33.450000000000003</v>
      </c>
    </row>
    <row r="5003" spans="1:4" x14ac:dyDescent="0.3">
      <c r="A5003" s="1" t="str">
        <f>"01014427100"</f>
        <v>01014427100</v>
      </c>
      <c r="B5003" s="1" t="str">
        <f>"GRAY RAY K, GRAY CONNIE S"</f>
        <v>GRAY RAY K, GRAY CONNIE S</v>
      </c>
      <c r="C5003" s="1" t="str">
        <f>"LINDORA DR MAYBURY LOT 28"</f>
        <v>LINDORA DR MAYBURY LOT 28</v>
      </c>
      <c r="D5003" s="1">
        <v>2737.08</v>
      </c>
    </row>
    <row r="5004" spans="1:4" x14ac:dyDescent="0.3">
      <c r="A5004" s="1" t="str">
        <f>"06000486300"</f>
        <v>06000486300</v>
      </c>
      <c r="B5004" s="1" t="str">
        <f>"GRAY SABRINA"</f>
        <v>GRAY SABRINA</v>
      </c>
      <c r="C5004" s="1" t="str">
        <f>"6969 TANYA TERRACE BRIARCLIFF 9 LOT 566"</f>
        <v>6969 TANYA TERRACE BRIARCLIFF 9 LOT 566</v>
      </c>
      <c r="D5004" s="1">
        <v>13028.15</v>
      </c>
    </row>
    <row r="5005" spans="1:4" x14ac:dyDescent="0.3">
      <c r="A5005" s="1" t="str">
        <f>"61019422300"</f>
        <v>61019422300</v>
      </c>
      <c r="B5005" s="1" t="str">
        <f>"GRAY VERNON M, GRAY ROSEMARY C"</f>
        <v>GRAY VERNON M, GRAY ROSEMARY C</v>
      </c>
      <c r="C5005" s="1" t="str">
        <f>"SHADMILL CT OLDE SAWMILL SEC 7 LOT 927"</f>
        <v>SHADMILL CT OLDE SAWMILL SEC 7 LOT 927</v>
      </c>
      <c r="D5005" s="1">
        <v>400.36</v>
      </c>
    </row>
    <row r="5006" spans="1:4" x14ac:dyDescent="0.3">
      <c r="A5006" s="1" t="str">
        <f>"05001012100"</f>
        <v>05001012100</v>
      </c>
      <c r="B5006" s="1" t="str">
        <f>"GRAYSON CHERYL SEVITZ"</f>
        <v>GRAYSON CHERYL SEVITZ</v>
      </c>
      <c r="C5006" s="1" t="str">
        <f>"THE VININGS CONDOMINIUM COMMUNITY 9TH AMD UNIT 5237"</f>
        <v>THE VININGS CONDOMINIUM COMMUNITY 9TH AMD UNIT 5237</v>
      </c>
      <c r="D5006" s="1">
        <v>2908.84</v>
      </c>
    </row>
    <row r="5007" spans="1:4" x14ac:dyDescent="0.3">
      <c r="A5007" s="1" t="str">
        <f>"01000110300"</f>
        <v>01000110300</v>
      </c>
      <c r="B5007" s="1" t="str">
        <f>"GRB FAMILY RENTALS LLC"</f>
        <v>GRB FAMILY RENTALS LLC</v>
      </c>
      <c r="C5007" s="1" t="str">
        <f>"1830-32 BUCHER ST LINTON &amp; MCLARREN'S PARCELS PT OF LOT 31"</f>
        <v>1830-32 BUCHER ST LINTON &amp; MCLARREN'S PARCELS PT OF LOT 31</v>
      </c>
      <c r="D5007" s="1">
        <v>1445.2</v>
      </c>
    </row>
    <row r="5008" spans="1:4" x14ac:dyDescent="0.3">
      <c r="A5008" s="1" t="str">
        <f>"01006264600"</f>
        <v>01006264600</v>
      </c>
      <c r="B5008" s="1" t="str">
        <f>"GRB FAMILY RENTALS LLC"</f>
        <v>GRB FAMILY RENTALS LLC</v>
      </c>
      <c r="C5008" s="1" t="str">
        <f>"100 REEB AVE 111 FT S E REEB LOT 61"</f>
        <v>100 REEB AVE 111 FT S E REEB LOT 61</v>
      </c>
      <c r="D5008" s="1">
        <v>1248.75</v>
      </c>
    </row>
    <row r="5009" spans="1:4" x14ac:dyDescent="0.3">
      <c r="A5009" s="1" t="str">
        <f>"01005659800"</f>
        <v>01005659800</v>
      </c>
      <c r="B5009" s="1" t="str">
        <f>"GRB FAMILY RENTALS LLC"</f>
        <v>GRB FAMILY RENTALS LLC</v>
      </c>
      <c r="C5009" s="1" t="str">
        <f>"96 REEB AVE LT 60 EX 10X39FT N E COR REEB LOT 60"</f>
        <v>96 REEB AVE LT 60 EX 10X39FT N E COR REEB LOT 60</v>
      </c>
      <c r="D5009" s="1">
        <v>1548.61</v>
      </c>
    </row>
    <row r="5010" spans="1:4" x14ac:dyDescent="0.3">
      <c r="A5010" s="1" t="str">
        <f>"01002646600"</f>
        <v>01002646600</v>
      </c>
      <c r="B5010" s="1" t="str">
        <f>"GRB FAMILY RENTALS LLC"</f>
        <v>GRB FAMILY RENTALS LLC</v>
      </c>
      <c r="C5010" s="1" t="str">
        <f>"1834-36 BUCHER ST LINTON &amp; MCLARREN'S PARCELS PT OF LOT 32"</f>
        <v>1834-36 BUCHER ST LINTON &amp; MCLARREN'S PARCELS PT OF LOT 32</v>
      </c>
      <c r="D5010" s="1">
        <v>74.33</v>
      </c>
    </row>
    <row r="5011" spans="1:4" x14ac:dyDescent="0.3">
      <c r="A5011" s="1" t="str">
        <f>"01000230400"</f>
        <v>01000230400</v>
      </c>
      <c r="B5011" s="1" t="str">
        <f>"GRB FAMILY RENTALS LLC"</f>
        <v>GRB FAMILY RENTALS LLC</v>
      </c>
      <c r="C5011" s="1" t="str">
        <f>"90-92 REEB AVE REEB LOT 59"</f>
        <v>90-92 REEB AVE REEB LOT 59</v>
      </c>
      <c r="D5011" s="1">
        <v>1461.13</v>
      </c>
    </row>
    <row r="5012" spans="1:4" x14ac:dyDescent="0.3">
      <c r="A5012" s="1" t="str">
        <f>"01007978800"</f>
        <v>01007978800</v>
      </c>
      <c r="B5012" s="1" t="str">
        <f>"GRC REALTY LLC"</f>
        <v>GRC REALTY LLC</v>
      </c>
      <c r="C5012" s="1" t="str">
        <f>"CLEVELAND AVE KENMORE PARK LOT 10 BLK 1"</f>
        <v>CLEVELAND AVE KENMORE PARK LOT 10 BLK 1</v>
      </c>
      <c r="D5012" s="1">
        <v>825.34</v>
      </c>
    </row>
    <row r="5013" spans="1:4" x14ac:dyDescent="0.3">
      <c r="A5013" s="1" t="str">
        <f>"01007978900"</f>
        <v>01007978900</v>
      </c>
      <c r="B5013" s="1" t="str">
        <f>"GRC REALTY LLC"</f>
        <v>GRC REALTY LLC</v>
      </c>
      <c r="C5013" s="1" t="str">
        <f>"CLEVELAND AVE KENMORE PARK LOT 11 BLK 1"</f>
        <v>CLEVELAND AVE KENMORE PARK LOT 11 BLK 1</v>
      </c>
      <c r="D5013" s="1">
        <v>10560.42</v>
      </c>
    </row>
    <row r="5014" spans="1:4" x14ac:dyDescent="0.3">
      <c r="A5014" s="1" t="str">
        <f>"01007979000"</f>
        <v>01007979000</v>
      </c>
      <c r="B5014" s="1" t="str">
        <f>"GRC REALTY LLC"</f>
        <v>GRC REALTY LLC</v>
      </c>
      <c r="C5014" s="1" t="str">
        <f>"CLEVELAND AVE KENMORE PARK LOT 12 BLK 1"</f>
        <v>CLEVELAND AVE KENMORE PARK LOT 12 BLK 1</v>
      </c>
      <c r="D5014" s="1">
        <v>1036.6400000000001</v>
      </c>
    </row>
    <row r="5015" spans="1:4" x14ac:dyDescent="0.3">
      <c r="A5015" s="1" t="str">
        <f>"01000877600"</f>
        <v>01000877600</v>
      </c>
      <c r="B5015" s="1" t="str">
        <f>"GREAR YEJIDE HN"</f>
        <v>GREAR YEJIDE HN</v>
      </c>
      <c r="C5015" s="1" t="str">
        <f>"2217 WILLAMONT AVE HAYDENS PARK PLACE LOT 78"</f>
        <v>2217 WILLAMONT AVE HAYDENS PARK PLACE LOT 78</v>
      </c>
      <c r="D5015" s="1">
        <v>1418.77</v>
      </c>
    </row>
    <row r="5016" spans="1:4" x14ac:dyDescent="0.3">
      <c r="A5016" s="1" t="str">
        <f>"01028139700"</f>
        <v>01028139700</v>
      </c>
      <c r="B5016" s="1" t="str">
        <f>"GREAT OAK HOMEOWNERS ASSOCIATION INC"</f>
        <v>GREAT OAK HOMEOWNERS ASSOCIATION INC</v>
      </c>
      <c r="C5016" s="1" t="s">
        <v>27</v>
      </c>
      <c r="D5016" s="1">
        <v>199.1</v>
      </c>
    </row>
    <row r="5017" spans="1:4" x14ac:dyDescent="0.3">
      <c r="A5017" s="1" t="str">
        <f>"01028139800"</f>
        <v>01028139800</v>
      </c>
      <c r="B5017" s="1" t="str">
        <f>"GREAT OAK HOMEOWNERS ASSOCIATION INC"</f>
        <v>GREAT OAK HOMEOWNERS ASSOCIATION INC</v>
      </c>
      <c r="C5017" s="1" t="s">
        <v>28</v>
      </c>
      <c r="D5017" s="1">
        <v>390.23</v>
      </c>
    </row>
    <row r="5018" spans="1:4" x14ac:dyDescent="0.3">
      <c r="A5018" s="1" t="str">
        <f>"01011224400"</f>
        <v>01011224400</v>
      </c>
      <c r="B5018" s="1" t="str">
        <f>"GREATER EBENEZER CATHEDRAL OF PRAISE INC"</f>
        <v>GREATER EBENEZER CATHEDRAL OF PRAISE INC</v>
      </c>
      <c r="C5018" s="1" t="str">
        <f>"2313 FAIRWOOD AVE R22 T4 S2 0.3475 ACRE"</f>
        <v>2313 FAIRWOOD AVE R22 T4 S2 0.3475 ACRE</v>
      </c>
      <c r="D5018" s="1">
        <v>118.35</v>
      </c>
    </row>
    <row r="5019" spans="1:4" x14ac:dyDescent="0.3">
      <c r="A5019" s="1" t="str">
        <f>"01003492100"</f>
        <v>01003492100</v>
      </c>
      <c r="B5019" s="1" t="str">
        <f>"GREATER HOMES OF AMERICA LLC"</f>
        <v>GREATER HOMES OF AMERICA LLC</v>
      </c>
      <c r="C5019" s="1" t="str">
        <f>"1512 MT VERNON AVE E 1/2 COM OF COURT LOT 25"</f>
        <v>1512 MT VERNON AVE E 1/2 COM OF COURT LOT 25</v>
      </c>
      <c r="D5019" s="1">
        <v>51.55</v>
      </c>
    </row>
    <row r="5020" spans="1:4" x14ac:dyDescent="0.3">
      <c r="A5020" s="1" t="str">
        <f>"01017601300"</f>
        <v>01017601300</v>
      </c>
      <c r="B5020" s="1" t="str">
        <f>"GREATER HOMES OF AMERICA LLC"</f>
        <v>GREATER HOMES OF AMERICA LLC</v>
      </c>
      <c r="C5020" s="1" t="str">
        <f>"CLAIRPOINT WAY CLAIRPOINT VILL COND UNIT 10-B"</f>
        <v>CLAIRPOINT WAY CLAIRPOINT VILL COND UNIT 10-B</v>
      </c>
      <c r="D5020" s="1">
        <v>45.71</v>
      </c>
    </row>
    <row r="5021" spans="1:4" x14ac:dyDescent="0.3">
      <c r="A5021" s="1" t="str">
        <f>"04000893900"</f>
        <v>04000893900</v>
      </c>
      <c r="B5021" s="1" t="str">
        <f>"GREEN AMANDA N"</f>
        <v>GREEN AMANDA N</v>
      </c>
      <c r="C5021" s="1" t="str">
        <f>"HOOVER RD JEN-ARL ESTATES 3 "</f>
        <v xml:space="preserve">HOOVER RD JEN-ARL ESTATES 3 </v>
      </c>
      <c r="D5021" s="1">
        <v>562.13</v>
      </c>
    </row>
    <row r="5022" spans="1:4" x14ac:dyDescent="0.3">
      <c r="A5022" s="1" t="str">
        <f>"04000894000"</f>
        <v>04000894000</v>
      </c>
      <c r="B5022" s="1" t="str">
        <f>"GREEN AMANDA N"</f>
        <v>GREEN AMANDA N</v>
      </c>
      <c r="C5022" s="1" t="str">
        <f>"HOOVER RD JEN-ARL ESTATES 4 "</f>
        <v xml:space="preserve">HOOVER RD JEN-ARL ESTATES 4 </v>
      </c>
      <c r="D5022" s="1">
        <v>2218.23</v>
      </c>
    </row>
    <row r="5023" spans="1:4" x14ac:dyDescent="0.3">
      <c r="A5023" s="1" t="str">
        <f>"55027440600"</f>
        <v>55027440600</v>
      </c>
      <c r="B5023" s="1" t="str">
        <f>"GREEN BARBARA J TTEE"</f>
        <v>GREEN BARBARA J TTEE</v>
      </c>
      <c r="C5023" s="1" t="str">
        <f>"KINVER EDGE WAY RESERVE AT McNAUGHTEN LOT 7A"</f>
        <v>KINVER EDGE WAY RESERVE AT McNAUGHTEN LOT 7A</v>
      </c>
      <c r="D5023" s="1">
        <v>2809.96</v>
      </c>
    </row>
    <row r="5024" spans="1:4" x14ac:dyDescent="0.3">
      <c r="A5024" s="1" t="str">
        <f>"01016153900"</f>
        <v>01016153900</v>
      </c>
      <c r="B5024" s="1" t="str">
        <f>"GREEN BENJAMIN CLAYTON"</f>
        <v>GREEN BENJAMIN CLAYTON</v>
      </c>
      <c r="C5024" s="1" t="str">
        <f>"KIMBERLY VILLAS COND PHASE 2 UNIT 7-B"</f>
        <v>KIMBERLY VILLAS COND PHASE 2 UNIT 7-B</v>
      </c>
      <c r="D5024" s="1">
        <v>649.95000000000005</v>
      </c>
    </row>
    <row r="5025" spans="1:4" x14ac:dyDescent="0.3">
      <c r="A5025" s="1" t="str">
        <f>"01009701100"</f>
        <v>01009701100</v>
      </c>
      <c r="B5025" s="1" t="str">
        <f>"GREEN BRUCE MARK, GREEN BECKY JO"</f>
        <v>GREEN BRUCE MARK, GREEN BECKY JO</v>
      </c>
      <c r="C5025" s="1" t="str">
        <f>"RITTENHOUSE SQ COND NO VI C UNIT 37-54"</f>
        <v>RITTENHOUSE SQ COND NO VI C UNIT 37-54</v>
      </c>
      <c r="D5025" s="1">
        <v>3903.9</v>
      </c>
    </row>
    <row r="5026" spans="1:4" x14ac:dyDescent="0.3">
      <c r="A5026" s="1" t="str">
        <f>"01007240200"</f>
        <v>01007240200</v>
      </c>
      <c r="B5026" s="1" t="str">
        <f>"GREEN HAROLD N"</f>
        <v>GREEN HAROLD N</v>
      </c>
      <c r="C5026" s="1" t="str">
        <f>"1816 MYRTLE AVE MULBUR PARK LOT 178"</f>
        <v>1816 MYRTLE AVE MULBUR PARK LOT 178</v>
      </c>
      <c r="D5026" s="1">
        <v>119.38</v>
      </c>
    </row>
    <row r="5027" spans="1:4" x14ac:dyDescent="0.3">
      <c r="A5027" s="1" t="str">
        <f>"01005972500"</f>
        <v>01005972500</v>
      </c>
      <c r="B5027" s="1" t="str">
        <f>"GREEN HAUL TRUCKING LLC"</f>
        <v>GREEN HAUL TRUCKING LLC</v>
      </c>
      <c r="C5027" s="1" t="str">
        <f>"2760 CLEVELAND AVE 35 FT NS ELM DALE LOT 14"</f>
        <v>2760 CLEVELAND AVE 35 FT NS ELM DALE LOT 14</v>
      </c>
      <c r="D5027" s="1">
        <v>1704.68</v>
      </c>
    </row>
    <row r="5028" spans="1:4" x14ac:dyDescent="0.3">
      <c r="A5028" s="1" t="str">
        <f>"18000277000"</f>
        <v>18000277000</v>
      </c>
      <c r="B5028" s="1" t="str">
        <f>"GREEN JAMES E, GREEN ARRETTA V"</f>
        <v>GREEN JAMES E, GREEN ARRETTA V</v>
      </c>
      <c r="C5028" s="1" t="str">
        <f>"WADE RD BLACKLICK ESTATES 2 379 "</f>
        <v xml:space="preserve">WADE RD BLACKLICK ESTATES 2 379 </v>
      </c>
      <c r="D5028" s="1">
        <v>1548.46</v>
      </c>
    </row>
    <row r="5029" spans="1:4" x14ac:dyDescent="0.3">
      <c r="A5029" s="1" t="str">
        <f>"01014175200"</f>
        <v>01014175200</v>
      </c>
      <c r="B5029" s="1" t="str">
        <f>"GREEN NICK L, GREEN BEVERLEY A"</f>
        <v>GREEN NICK L, GREEN BEVERLEY A</v>
      </c>
      <c r="C5029" s="1" t="str">
        <f>"RAYNOR DR SOMERSET 1 LOT 284"</f>
        <v>RAYNOR DR SOMERSET 1 LOT 284</v>
      </c>
      <c r="D5029" s="1">
        <v>2647.14</v>
      </c>
    </row>
    <row r="5030" spans="1:4" x14ac:dyDescent="0.3">
      <c r="A5030" s="1" t="str">
        <f>"53022502400"</f>
        <v>53022502400</v>
      </c>
      <c r="B5030" s="1" t="str">
        <f>"GREEN OAKS OF CANAL WINCHESTER LLC"</f>
        <v>GREEN OAKS OF CANAL WINCHESTER LLC</v>
      </c>
      <c r="C5030" s="1" t="str">
        <f>"GENDER ROAD R21 T11 S1 3.960 ACRES"</f>
        <v>GENDER ROAD R21 T11 S1 3.960 ACRES</v>
      </c>
      <c r="D5030" s="1">
        <v>1568.78</v>
      </c>
    </row>
    <row r="5031" spans="1:4" x14ac:dyDescent="0.3">
      <c r="A5031" s="1" t="str">
        <f>"01002608700"</f>
        <v>01002608700</v>
      </c>
      <c r="B5031" s="1" t="str">
        <f>"GREEN OPAL STUDIOS LLC"</f>
        <v>GREEN OPAL STUDIOS LLC</v>
      </c>
      <c r="C5031" s="1" t="str">
        <f>"102-104 E WHITTIER JAEGER PT LOT 95"</f>
        <v>102-104 E WHITTIER JAEGER PT LOT 95</v>
      </c>
      <c r="D5031" s="1">
        <v>8090.41</v>
      </c>
    </row>
    <row r="5032" spans="1:4" x14ac:dyDescent="0.3">
      <c r="A5032" s="1" t="str">
        <f>"27200036500"</f>
        <v>27200036500</v>
      </c>
      <c r="B5032" s="1" t="str">
        <f>"GREEN RONNY CORNELL TTEE"</f>
        <v>GREEN RONNY CORNELL TTEE</v>
      </c>
      <c r="C5032" s="1" t="str">
        <f>"SHIER-RINGS ROAD OAK-SHIER ESTATES LOT 9"</f>
        <v>SHIER-RINGS ROAD OAK-SHIER ESTATES LOT 9</v>
      </c>
      <c r="D5032" s="1">
        <v>378.77</v>
      </c>
    </row>
    <row r="5033" spans="1:4" x14ac:dyDescent="0.3">
      <c r="A5033" s="1" t="str">
        <f>"05000666200"</f>
        <v>05000666200</v>
      </c>
      <c r="B5033" s="1" t="str">
        <f>"GREEN TROY, GREEN EMILY"</f>
        <v>GREEN TROY, GREEN EMILY</v>
      </c>
      <c r="C5033" s="1" t="str">
        <f>"DUBLIN RD ACRES 1.637 ENTRY 1406 PAR 3 URP"</f>
        <v>DUBLIN RD ACRES 1.637 ENTRY 1406 PAR 3 URP</v>
      </c>
      <c r="D5033" s="1">
        <v>764.76</v>
      </c>
    </row>
    <row r="5034" spans="1:4" x14ac:dyDescent="0.3">
      <c r="A5034" s="1" t="str">
        <f>"01006938400"</f>
        <v>01006938400</v>
      </c>
      <c r="B5034" s="1" t="str">
        <f>"GREENBLUE PROPERTIES LLC"</f>
        <v>GREENBLUE PROPERTIES LLC</v>
      </c>
      <c r="C5034" s="1" t="str">
        <f>"2033 DENUNE AVE 50 FT E S OF W 1/2 LOT 21 EAST LINDEN"</f>
        <v>2033 DENUNE AVE 50 FT E S OF W 1/2 LOT 21 EAST LINDEN</v>
      </c>
      <c r="D5034" s="1">
        <v>980.83</v>
      </c>
    </row>
    <row r="5035" spans="1:4" x14ac:dyDescent="0.3">
      <c r="A5035" s="1" t="str">
        <f>"01010038200"</f>
        <v>01010038200</v>
      </c>
      <c r="B5035" s="1" t="str">
        <f>"GREENE BARBARA M"</f>
        <v>GREENE BARBARA M</v>
      </c>
      <c r="C5035" s="1" t="str">
        <f>"THURSTON DR SHADY LANE PARK LOT 330"</f>
        <v>THURSTON DR SHADY LANE PARK LOT 330</v>
      </c>
      <c r="D5035" s="1">
        <v>3609.87</v>
      </c>
    </row>
    <row r="5036" spans="1:4" x14ac:dyDescent="0.3">
      <c r="A5036" s="1" t="str">
        <f>"01016785700"</f>
        <v>01016785700</v>
      </c>
      <c r="B5036" s="1" t="str">
        <f>"GREENE C FRED, GREENE MELODY"</f>
        <v>GREENE C FRED, GREENE MELODY</v>
      </c>
      <c r="C5036" s="1" t="str">
        <f>"CORTONA WOODS CORTONA ROAD LOT 29"</f>
        <v>CORTONA WOODS CORTONA ROAD LOT 29</v>
      </c>
      <c r="D5036" s="1">
        <v>123.11</v>
      </c>
    </row>
    <row r="5037" spans="1:4" x14ac:dyDescent="0.3">
      <c r="A5037" s="1" t="str">
        <f>"07000605700"</f>
        <v>07000605700</v>
      </c>
      <c r="B5037" s="1" t="str">
        <f>"GREENFIELD ELIZABETH D"</f>
        <v>GREENFIELD ELIZABETH D</v>
      </c>
      <c r="C5037" s="1" t="str">
        <f>"WESLEYAN DR SCIOTANGY HTS AMD LT 143-144&amp;PT VAC AL"</f>
        <v>WESLEYAN DR SCIOTANGY HTS AMD LT 143-144&amp;PT VAC AL</v>
      </c>
      <c r="D5037" s="1">
        <v>3026.69</v>
      </c>
    </row>
    <row r="5038" spans="1:4" x14ac:dyDescent="0.3">
      <c r="A5038" s="1" t="str">
        <f>"01011936200"</f>
        <v>01011936200</v>
      </c>
      <c r="B5038" s="1" t="str">
        <f>"GREENWALD CHARLES R"</f>
        <v>GREENWALD CHARLES R</v>
      </c>
      <c r="C5038" s="1" t="str">
        <f>"PHELPS RD SCIOTO VILLAGE LOT 11"</f>
        <v>PHELPS RD SCIOTO VILLAGE LOT 11</v>
      </c>
      <c r="D5038" s="1">
        <v>3211.18</v>
      </c>
    </row>
    <row r="5039" spans="1:4" x14ac:dyDescent="0.3">
      <c r="A5039" s="1" t="str">
        <f>"59020123100"</f>
        <v>59020123100</v>
      </c>
      <c r="B5039" s="1" t="str">
        <f>"GREENWOOD MARY E"</f>
        <v>GREENWOOD MARY E</v>
      </c>
      <c r="C5039" s="1" t="str">
        <f>"RENFIELD DR RIVERSIDE GREEN S SECTION 19 LOT 715"</f>
        <v>RENFIELD DR RIVERSIDE GREEN S SECTION 19 LOT 715</v>
      </c>
      <c r="D5039" s="1">
        <v>303.24</v>
      </c>
    </row>
    <row r="5040" spans="1:4" x14ac:dyDescent="0.3">
      <c r="A5040" s="1" t="str">
        <f>"01010152400"</f>
        <v>01010152400</v>
      </c>
      <c r="B5040" s="1" t="str">
        <f>"GREER EARL F JR, GREER JACQUELINE L"</f>
        <v>GREER EARL F JR, GREER JACQUELINE L</v>
      </c>
      <c r="C5040" s="1" t="str">
        <f>"SCOTTWOOD RD BERWICK HTS 2 LOT 167"</f>
        <v>SCOTTWOOD RD BERWICK HTS 2 LOT 167</v>
      </c>
      <c r="D5040" s="1">
        <v>2796.07</v>
      </c>
    </row>
    <row r="5041" spans="1:4" x14ac:dyDescent="0.3">
      <c r="A5041" s="1" t="str">
        <f>"61016636400"</f>
        <v>61016636400</v>
      </c>
      <c r="B5041" s="1" t="str">
        <f>"GREER PHILLIP L"</f>
        <v>GREER PHILLIP L</v>
      </c>
      <c r="C5041" s="1" t="str">
        <f>"ADANAC PLACE WORTHINGVIEW SEC 2 LOT 81"</f>
        <v>ADANAC PLACE WORTHINGVIEW SEC 2 LOT 81</v>
      </c>
      <c r="D5041" s="1">
        <v>408.24</v>
      </c>
    </row>
    <row r="5042" spans="1:4" x14ac:dyDescent="0.3">
      <c r="A5042" s="1" t="str">
        <f>"01012435200"</f>
        <v>01012435200</v>
      </c>
      <c r="B5042" s="1" t="str">
        <f>"GREEVER NOLA M"</f>
        <v>GREEVER NOLA M</v>
      </c>
      <c r="C5042" s="1" t="str">
        <f>"INNIS AVE INNIS GARDENS LOT 4"</f>
        <v>INNIS AVE INNIS GARDENS LOT 4</v>
      </c>
      <c r="D5042" s="1">
        <v>101.78</v>
      </c>
    </row>
    <row r="5043" spans="1:4" x14ac:dyDescent="0.3">
      <c r="A5043" s="1" t="str">
        <f>"56022776900"</f>
        <v>56022776900</v>
      </c>
      <c r="B5043" s="1" t="str">
        <f>"GREGAN DALE A TR"</f>
        <v>GREGAN DALE A TR</v>
      </c>
      <c r="C5043" s="1" t="str">
        <f>"BARCLAY DRIVE THORNAPPLE GROVE SEC 2 LOT 130"</f>
        <v>BARCLAY DRIVE THORNAPPLE GROVE SEC 2 LOT 130</v>
      </c>
      <c r="D5043" s="1">
        <v>3529.08</v>
      </c>
    </row>
    <row r="5044" spans="1:4" x14ac:dyDescent="0.3">
      <c r="A5044" s="1" t="str">
        <f>"27301227200"</f>
        <v>27301227200</v>
      </c>
      <c r="B5044" s="1" t="str">
        <f>"GREGAN DALE A TTEE (ELITE REAL ESTATE TRUST), MILAS BRENDA K TTEE (ELITE REAL ESTATE TRUST)"</f>
        <v>GREGAN DALE A TTEE (ELITE REAL ESTATE TRUST), MILAS BRENDA K TTEE (ELITE REAL ESTATE TRUST)</v>
      </c>
      <c r="C5044" s="1" t="str">
        <f>"4204 CLIFTON COURT WYANDOTTE WOODS SECTION 6 LOT 159"</f>
        <v>4204 CLIFTON COURT WYANDOTTE WOODS SECTION 6 LOT 159</v>
      </c>
      <c r="D5044" s="1">
        <v>7981.02</v>
      </c>
    </row>
    <row r="5045" spans="1:4" x14ac:dyDescent="0.3">
      <c r="A5045" s="1" t="str">
        <f>"01004279100"</f>
        <v>01004279100</v>
      </c>
      <c r="B5045" s="1" t="str">
        <f>"GREGAN PROPERTIES LLC"</f>
        <v>GREGAN PROPERTIES LLC</v>
      </c>
      <c r="C5045" s="1" t="str">
        <f>"1188-90 S FOURTH ST MITHOFF 52' SE LOT 98"</f>
        <v>1188-90 S FOURTH ST MITHOFF 52' SE LOT 98</v>
      </c>
      <c r="D5045" s="1">
        <v>2475.25</v>
      </c>
    </row>
    <row r="5046" spans="1:4" x14ac:dyDescent="0.3">
      <c r="A5046" s="1" t="str">
        <f>"56022777400"</f>
        <v>56022777400</v>
      </c>
      <c r="B5046" s="1" t="str">
        <f>"GREGAN PROPERTIES LLC"</f>
        <v>GREGAN PROPERTIES LLC</v>
      </c>
      <c r="C5046" s="1" t="str">
        <f>"BARCLAY DRIVE THORNAPPLE GROVE SEC 2 LOT 135"</f>
        <v>BARCLAY DRIVE THORNAPPLE GROVE SEC 2 LOT 135</v>
      </c>
      <c r="D5046" s="1">
        <v>3724.76</v>
      </c>
    </row>
    <row r="5047" spans="1:4" x14ac:dyDescent="0.3">
      <c r="A5047" s="1" t="str">
        <f>"01024737100"</f>
        <v>01024737100</v>
      </c>
      <c r="B5047" s="1" t="str">
        <f>"GREGGS ROBERT"</f>
        <v>GREGGS ROBERT</v>
      </c>
      <c r="C5047" s="1" t="str">
        <f>"PETTICOAT COURT WALTHAM PLACE SECTION 4 LOT 322"</f>
        <v>PETTICOAT COURT WALTHAM PLACE SECTION 4 LOT 322</v>
      </c>
      <c r="D5047" s="1">
        <v>4495.1000000000004</v>
      </c>
    </row>
    <row r="5048" spans="1:4" x14ac:dyDescent="0.3">
      <c r="A5048" s="1" t="str">
        <f>"01010737500"</f>
        <v>01010737500</v>
      </c>
      <c r="B5048" s="1" t="str">
        <f>"GREGORY EMMA J, GREGORY EMMA"</f>
        <v>GREGORY EMMA J, GREGORY EMMA</v>
      </c>
      <c r="C5048" s="1" t="str">
        <f>"BARNETT RD LIV-MOOR HTS. 3 LOT 122"</f>
        <v>BARNETT RD LIV-MOOR HTS. 3 LOT 122</v>
      </c>
      <c r="D5048" s="1">
        <v>3269.05</v>
      </c>
    </row>
    <row r="5049" spans="1:4" x14ac:dyDescent="0.3">
      <c r="A5049" s="1" t="str">
        <f>"01002096300"</f>
        <v>01002096300</v>
      </c>
      <c r="B5049" s="1" t="str">
        <f>"GREGORY GREGORY L, GREGORY BECKY"</f>
        <v>GREGORY GREGORY L, GREGORY BECKY</v>
      </c>
      <c r="C5049" s="1" t="str">
        <f>"44 KELSO RD W1/2 902 &amp; ALL 903 CRESTVIEW"</f>
        <v>44 KELSO RD W1/2 902 &amp; ALL 903 CRESTVIEW</v>
      </c>
      <c r="D5049" s="1">
        <v>251.72</v>
      </c>
    </row>
    <row r="5050" spans="1:4" x14ac:dyDescent="0.3">
      <c r="A5050" s="1" t="str">
        <f>"61020913600"</f>
        <v>61020913600</v>
      </c>
      <c r="B5050" s="1" t="str">
        <f>"GREGORY JANET L"</f>
        <v>GREGORY JANET L</v>
      </c>
      <c r="C5050" s="1" t="str">
        <f>"GRAYLING CT WORTHINGTON GREEN SEC 3  LOT 202"</f>
        <v>GRAYLING CT WORTHINGTON GREEN SEC 3  LOT 202</v>
      </c>
      <c r="D5050" s="1">
        <v>3288</v>
      </c>
    </row>
    <row r="5051" spans="1:4" x14ac:dyDescent="0.3">
      <c r="A5051" s="1" t="str">
        <f>"61020521500"</f>
        <v>61020521500</v>
      </c>
      <c r="B5051" s="1" t="str">
        <f>"GREGORY KAREN M"</f>
        <v>GREGORY KAREN M</v>
      </c>
      <c r="C5051" s="1" t="str">
        <f>"WORTHINGTON HEIGHTS CONDO  1ST AMD UNIT 73"</f>
        <v>WORTHINGTON HEIGHTS CONDO  1ST AMD UNIT 73</v>
      </c>
      <c r="D5051" s="1">
        <v>187.26</v>
      </c>
    </row>
    <row r="5052" spans="1:4" x14ac:dyDescent="0.3">
      <c r="A5052" s="1" t="str">
        <f>"01011444700"</f>
        <v>01011444700</v>
      </c>
      <c r="B5052" s="1" t="str">
        <f>"GREGORY MARTY"</f>
        <v>GREGORY MARTY</v>
      </c>
      <c r="C5052" s="1" t="str">
        <f>"1071 LAWRENCE RD MARION PARK LOT 56"</f>
        <v>1071 LAWRENCE RD MARION PARK LOT 56</v>
      </c>
      <c r="D5052" s="1">
        <v>2147.46</v>
      </c>
    </row>
    <row r="5053" spans="1:4" x14ac:dyDescent="0.3">
      <c r="A5053" s="1" t="str">
        <f>"59017261900"</f>
        <v>59017261900</v>
      </c>
      <c r="B5053" s="1" t="str">
        <f>"GREHL THOMAS R"</f>
        <v>GREHL THOMAS R</v>
      </c>
      <c r="C5053" s="1" t="str">
        <f>"ARBORG COURT RIVERSIDE GREEN SEC3 LOT 133"</f>
        <v>ARBORG COURT RIVERSIDE GREEN SEC3 LOT 133</v>
      </c>
      <c r="D5053" s="1">
        <v>5212.2</v>
      </c>
    </row>
    <row r="5054" spans="1:4" x14ac:dyDescent="0.3">
      <c r="A5054" s="1" t="str">
        <f>"27300877000"</f>
        <v>27300877000</v>
      </c>
      <c r="B5054" s="1" t="str">
        <f>"GRENIER BRYON R, GRENIER PATRICIA P"</f>
        <v>GRENIER BRYON R, GRENIER PATRICIA P</v>
      </c>
      <c r="C5054" s="1" t="str">
        <f>"7267 MACBETH DR GLENBRIAR LOT 2"</f>
        <v>7267 MACBETH DR GLENBRIAR LOT 2</v>
      </c>
      <c r="D5054" s="1">
        <v>438.15</v>
      </c>
    </row>
    <row r="5055" spans="1:4" x14ac:dyDescent="0.3">
      <c r="A5055" s="1" t="str">
        <f>"24000315000"</f>
        <v>24000315000</v>
      </c>
      <c r="B5055" s="1" t="str">
        <f>"GRICE ERIC P, GRICE LADONNA J"</f>
        <v>GRICE ERIC P, GRICE LADONNA J</v>
      </c>
      <c r="C5055" s="1" t="str">
        <f>"OLD VILLAGE RD LINCOLN VILLAGE LOT 20"</f>
        <v>OLD VILLAGE RD LINCOLN VILLAGE LOT 20</v>
      </c>
      <c r="D5055" s="1">
        <v>1651.85</v>
      </c>
    </row>
    <row r="5056" spans="1:4" x14ac:dyDescent="0.3">
      <c r="A5056" s="1" t="str">
        <f>"01003674200"</f>
        <v>01003674200</v>
      </c>
      <c r="B5056" s="1" t="str">
        <f>"GRIER CARLA"</f>
        <v>GRIER CARLA</v>
      </c>
      <c r="C5056" s="1" t="str">
        <f>"1978 MERRYHILL DR EAST GATE 2 LOT 11 BLK 15"</f>
        <v>1978 MERRYHILL DR EAST GATE 2 LOT 11 BLK 15</v>
      </c>
      <c r="D5056" s="1">
        <v>1461.35</v>
      </c>
    </row>
    <row r="5057" spans="1:4" x14ac:dyDescent="0.3">
      <c r="A5057" s="1" t="str">
        <f>"10000546900"</f>
        <v>10000546900</v>
      </c>
      <c r="B5057" s="1" t="str">
        <f>"GRIFFIN BARBARA E"</f>
        <v>GRIFFIN BARBARA E</v>
      </c>
      <c r="C5057" s="1" t="str">
        <f>"6525 MEADOWBROOK CR POTTERS CREEK SEC 1 LOT 28"</f>
        <v>6525 MEADOWBROOK CR POTTERS CREEK SEC 1 LOT 28</v>
      </c>
      <c r="D5057" s="1">
        <v>6185.83</v>
      </c>
    </row>
    <row r="5058" spans="1:4" x14ac:dyDescent="0.3">
      <c r="A5058" s="1" t="str">
        <f>"14000577200"</f>
        <v>14000577200</v>
      </c>
      <c r="B5058" s="1" t="str">
        <f>"GRIFFIN JEANNA M"</f>
        <v>GRIFFIN JEANNA M</v>
      </c>
      <c r="C5058" s="1" t="str">
        <f>"1608 N FRANK RD WESTBROOK LOT 172 "</f>
        <v xml:space="preserve">1608 N FRANK RD WESTBROOK LOT 172 </v>
      </c>
      <c r="D5058" s="1">
        <v>300</v>
      </c>
    </row>
    <row r="5059" spans="1:4" x14ac:dyDescent="0.3">
      <c r="A5059" s="1" t="str">
        <f>"01003947400"</f>
        <v>01003947400</v>
      </c>
      <c r="B5059" s="1" t="str">
        <f>"GRIFFIN THADDEUS M"</f>
        <v>GRIFFIN THADDEUS M</v>
      </c>
      <c r="C5059" s="1" t="str">
        <f>"550 N CHAMPION AVE HAYES LOT 8-9"</f>
        <v>550 N CHAMPION AVE HAYES LOT 8-9</v>
      </c>
      <c r="D5059" s="1">
        <v>1474.1</v>
      </c>
    </row>
    <row r="5060" spans="1:4" x14ac:dyDescent="0.3">
      <c r="A5060" s="1" t="str">
        <f>"53016067800"</f>
        <v>53016067800</v>
      </c>
      <c r="B5060" s="1" t="str">
        <f>"GRIFFITH DELORES"</f>
        <v>GRIFFITH DELORES</v>
      </c>
      <c r="C5060" s="1" t="str">
        <f>"VALLEY GREEN SPANGLER ROAD LOT 4"</f>
        <v>VALLEY GREEN SPANGLER ROAD LOT 4</v>
      </c>
      <c r="D5060" s="1">
        <v>557.58000000000004</v>
      </c>
    </row>
    <row r="5061" spans="1:4" x14ac:dyDescent="0.3">
      <c r="A5061" s="1" t="str">
        <f>"01011936600"</f>
        <v>01011936600</v>
      </c>
      <c r="B5061" s="1" t="str">
        <f>"GRIFFITH DIANNA S"</f>
        <v>GRIFFITH DIANNA S</v>
      </c>
      <c r="C5061" s="1" t="str">
        <f>"PHELPS RD SCIOTO VILLAGE LOT 15"</f>
        <v>PHELPS RD SCIOTO VILLAGE LOT 15</v>
      </c>
      <c r="D5061" s="1">
        <v>87.07</v>
      </c>
    </row>
    <row r="5062" spans="1:4" x14ac:dyDescent="0.3">
      <c r="A5062" s="1" t="str">
        <f>"16100042900"</f>
        <v>16100042900</v>
      </c>
      <c r="B5062" s="1" t="str">
        <f>"GRIFFITH JOHN S TTEE"</f>
        <v>GRIFFITH JOHN S TTEE</v>
      </c>
      <c r="C5062" s="1" t="str">
        <f>"3626 CENTRAL AVE URBANCREST 22-23BLK3 "</f>
        <v xml:space="preserve">3626 CENTRAL AVE URBANCREST 22-23BLK3 </v>
      </c>
      <c r="D5062" s="1">
        <v>4.54</v>
      </c>
    </row>
    <row r="5063" spans="1:4" x14ac:dyDescent="0.3">
      <c r="A5063" s="1" t="str">
        <f>"16100048700"</f>
        <v>16100048700</v>
      </c>
      <c r="B5063" s="1" t="str">
        <f>"GRIFFITH JOHN S TTEE"</f>
        <v>GRIFFITH JOHN S TTEE</v>
      </c>
      <c r="C5063" s="1" t="str">
        <f>"3521 CENTRAL AVE URBANCREST WS LOT 48 ALL 49&amp;2FT ES 50"</f>
        <v>3521 CENTRAL AVE URBANCREST WS LOT 48 ALL 49&amp;2FT ES 50</v>
      </c>
      <c r="D5063" s="1">
        <v>96.8</v>
      </c>
    </row>
    <row r="5064" spans="1:4" x14ac:dyDescent="0.3">
      <c r="A5064" s="1" t="str">
        <f>"57015198800"</f>
        <v>57015198800</v>
      </c>
      <c r="B5064" s="1" t="str">
        <f>"GRIFFITH JOHN S TTEE"</f>
        <v>GRIFFITH JOHN S TTEE</v>
      </c>
      <c r="C5064" s="1" t="str">
        <f>"PAMILCO ST HARDESTY HTS CONDO Z UNIT Z-9"</f>
        <v>PAMILCO ST HARDESTY HTS CONDO Z UNIT Z-9</v>
      </c>
      <c r="D5064" s="1">
        <v>91.42</v>
      </c>
    </row>
    <row r="5065" spans="1:4" x14ac:dyDescent="0.3">
      <c r="A5065" s="1" t="str">
        <f>"57016053100"</f>
        <v>57016053100</v>
      </c>
      <c r="B5065" s="1" t="str">
        <f>"GRIFFITH JOHN S TTEE"</f>
        <v>GRIFFITH JOHN S TTEE</v>
      </c>
      <c r="C5065" s="1" t="str">
        <f>"HOLLOWWOOD AVE RIVER BEND SECT 5 LOT 732"</f>
        <v>HOLLOWWOOD AVE RIVER BEND SECT 5 LOT 732</v>
      </c>
      <c r="D5065" s="1">
        <v>85.02</v>
      </c>
    </row>
    <row r="5066" spans="1:4" x14ac:dyDescent="0.3">
      <c r="A5066" s="1" t="str">
        <f>"57016054300"</f>
        <v>57016054300</v>
      </c>
      <c r="B5066" s="1" t="str">
        <f>"GRIFFITH JOHN S TTEE"</f>
        <v>GRIFFITH JOHN S TTEE</v>
      </c>
      <c r="C5066" s="1" t="str">
        <f>"BROOKLINE AVE RIVER BEND SECT 5 LOT 744"</f>
        <v>BROOKLINE AVE RIVER BEND SECT 5 LOT 744</v>
      </c>
      <c r="D5066" s="1">
        <v>91.55</v>
      </c>
    </row>
    <row r="5067" spans="1:4" x14ac:dyDescent="0.3">
      <c r="A5067" s="1" t="str">
        <f>"24000218500"</f>
        <v>24000218500</v>
      </c>
      <c r="B5067" s="1" t="str">
        <f>"GRIFFITH JOHN S TTEE"</f>
        <v>GRIFFITH JOHN S TTEE</v>
      </c>
      <c r="C5067" s="1" t="str">
        <f>"EVERGREEN TERRACE ROME MANOR 392-393 "</f>
        <v xml:space="preserve">EVERGREEN TERRACE ROME MANOR 392-393 </v>
      </c>
      <c r="D5067" s="1">
        <v>72.89</v>
      </c>
    </row>
    <row r="5068" spans="1:4" x14ac:dyDescent="0.3">
      <c r="A5068" s="1" t="str">
        <f>"24000687400"</f>
        <v>24000687400</v>
      </c>
      <c r="B5068" s="1" t="str">
        <f>"GRIFFITH JOHN S TTEE"</f>
        <v>GRIFFITH JOHN S TTEE</v>
      </c>
      <c r="C5068" s="1" t="str">
        <f>"OHARRA RD 329 ENTRY M068 20.776 ACRES"</f>
        <v>OHARRA RD 329 ENTRY M068 20.776 ACRES</v>
      </c>
      <c r="D5068" s="1">
        <v>202.07</v>
      </c>
    </row>
    <row r="5069" spans="1:4" x14ac:dyDescent="0.3">
      <c r="A5069" s="1" t="str">
        <f>"24000687500"</f>
        <v>24000687500</v>
      </c>
      <c r="B5069" s="1" t="str">
        <f>"GRIFFITH JOHN S TTEE"</f>
        <v>GRIFFITH JOHN S TTEE</v>
      </c>
      <c r="C5069" s="1" t="str">
        <f>"ALKIRE RD 329 ENTRY M068 18.802 ACRES"</f>
        <v>ALKIRE RD 329 ENTRY M068 18.802 ACRES</v>
      </c>
      <c r="D5069" s="1">
        <v>38.840000000000003</v>
      </c>
    </row>
    <row r="5070" spans="1:4" x14ac:dyDescent="0.3">
      <c r="A5070" s="1" t="str">
        <f>"01016133400"</f>
        <v>01016133400</v>
      </c>
      <c r="B5070" s="1" t="str">
        <f>"GRIFFITH JOHN S TTEE"</f>
        <v>GRIFFITH JOHN S TTEE</v>
      </c>
      <c r="C5070" s="1" t="str">
        <f>"WOODBROOK LANE WOODBROOK VILLAGE CONDO UNIT 368"</f>
        <v>WOODBROOK LANE WOODBROOK VILLAGE CONDO UNIT 368</v>
      </c>
      <c r="D5070" s="1">
        <v>50.29</v>
      </c>
    </row>
    <row r="5071" spans="1:4" x14ac:dyDescent="0.3">
      <c r="A5071" s="1" t="str">
        <f>"24000064400"</f>
        <v>24000064400</v>
      </c>
      <c r="B5071" s="1" t="str">
        <f>"GRIFFITH JOHN S TTEE"</f>
        <v>GRIFFITH JOHN S TTEE</v>
      </c>
      <c r="C5071" s="1" t="str">
        <f>"MAPLE DR NATL PIKE LITTLE FARMS AMD LOT 387"</f>
        <v>MAPLE DR NATL PIKE LITTLE FARMS AMD LOT 387</v>
      </c>
      <c r="D5071" s="1">
        <v>135.43</v>
      </c>
    </row>
    <row r="5072" spans="1:4" x14ac:dyDescent="0.3">
      <c r="A5072" s="1" t="str">
        <f>"24000242800"</f>
        <v>24000242800</v>
      </c>
      <c r="B5072" s="1" t="str">
        <f>"GRIFFITH JOHN S TTEE"</f>
        <v>GRIFFITH JOHN S TTEE</v>
      </c>
      <c r="C5072" s="1" t="str">
        <f>"440 FERNHILL AVE ROME MANOR LOT 635-633-634-636 &amp; PT VAC ALY"</f>
        <v>440 FERNHILL AVE ROME MANOR LOT 635-633-634-636 &amp; PT VAC ALY</v>
      </c>
      <c r="D5072" s="1">
        <v>57.59</v>
      </c>
    </row>
    <row r="5073" spans="1:4" x14ac:dyDescent="0.3">
      <c r="A5073" s="1" t="str">
        <f>"24000577100"</f>
        <v>24000577100</v>
      </c>
      <c r="B5073" s="1" t="str">
        <f>"GRIFFITH JOHN S TTEE"</f>
        <v>GRIFFITH JOHN S TTEE</v>
      </c>
      <c r="C5073" s="1" t="str">
        <f>"CONBROOK COURT LAKE DARBY ESTATES 1 LOT 268"</f>
        <v>CONBROOK COURT LAKE DARBY ESTATES 1 LOT 268</v>
      </c>
      <c r="D5073" s="1">
        <v>92.56</v>
      </c>
    </row>
    <row r="5074" spans="1:4" x14ac:dyDescent="0.3">
      <c r="A5074" s="1" t="str">
        <f>"24000245900"</f>
        <v>24000245900</v>
      </c>
      <c r="B5074" s="1" t="str">
        <f>"GRIFFITH JOHN S TTEE"</f>
        <v>GRIFFITH JOHN S TTEE</v>
      </c>
      <c r="C5074" s="1" t="str">
        <f>"GLADYS CRELLINS WOODLAWN 54 "</f>
        <v xml:space="preserve">GLADYS CRELLINS WOODLAWN 54 </v>
      </c>
      <c r="D5074" s="1">
        <v>98.2</v>
      </c>
    </row>
    <row r="5075" spans="1:4" x14ac:dyDescent="0.3">
      <c r="A5075" s="1" t="str">
        <f>"24000187200"</f>
        <v>24000187200</v>
      </c>
      <c r="B5075" s="1" t="str">
        <f>"GRIFFITH JOHN S TTEE"</f>
        <v>GRIFFITH JOHN S TTEE</v>
      </c>
      <c r="C5075" s="1" t="str">
        <f>"WOODLAWN AVE ROME MANOR 79 "</f>
        <v xml:space="preserve">WOODLAWN AVE ROME MANOR 79 </v>
      </c>
      <c r="D5075" s="1">
        <v>30.05</v>
      </c>
    </row>
    <row r="5076" spans="1:4" x14ac:dyDescent="0.3">
      <c r="A5076" s="1" t="str">
        <f>"24000187300"</f>
        <v>24000187300</v>
      </c>
      <c r="B5076" s="1" t="str">
        <f>"GRIFFITH JOHN S TTEE"</f>
        <v>GRIFFITH JOHN S TTEE</v>
      </c>
      <c r="C5076" s="1" t="str">
        <f>"WOODLAWN AVE ROME MANOR 80 "</f>
        <v xml:space="preserve">WOODLAWN AVE ROME MANOR 80 </v>
      </c>
      <c r="D5076" s="1">
        <v>32.93</v>
      </c>
    </row>
    <row r="5077" spans="1:4" x14ac:dyDescent="0.3">
      <c r="A5077" s="1" t="str">
        <f>"24000188200"</f>
        <v>24000188200</v>
      </c>
      <c r="B5077" s="1" t="str">
        <f>"GRIFFITH JOHN S TTEE"</f>
        <v>GRIFFITH JOHN S TTEE</v>
      </c>
      <c r="C5077" s="1" t="str">
        <f>"WOODLAWN AVE ROME MANOR 89-90 "</f>
        <v xml:space="preserve">WOODLAWN AVE ROME MANOR 89-90 </v>
      </c>
      <c r="D5077" s="1">
        <v>53.95</v>
      </c>
    </row>
    <row r="5078" spans="1:4" x14ac:dyDescent="0.3">
      <c r="A5078" s="1" t="str">
        <f>"24000028800"</f>
        <v>24000028800</v>
      </c>
      <c r="B5078" s="1" t="str">
        <f>"GRIFFITH JOHN S TTEE"</f>
        <v>GRIFFITH JOHN S TTEE</v>
      </c>
      <c r="C5078" s="1" t="str">
        <f>"OHARRA RD 329 ENTRY M068 80.774 ACRES (0.675 ACRE IN R/W)"</f>
        <v>OHARRA RD 329 ENTRY M068 80.774 ACRES (0.675 ACRE IN R/W)</v>
      </c>
      <c r="D5078" s="1">
        <v>646.62</v>
      </c>
    </row>
    <row r="5079" spans="1:4" x14ac:dyDescent="0.3">
      <c r="A5079" s="1" t="str">
        <f>"24000211400"</f>
        <v>24000211400</v>
      </c>
      <c r="B5079" s="1" t="str">
        <f>"GRIFFITH JOHN S TTEE"</f>
        <v>GRIFFITH JOHN S TTEE</v>
      </c>
      <c r="C5079" s="1" t="str">
        <f>"EVERGREEN TERRACE ROME MANOR LOT 321-322"</f>
        <v>EVERGREEN TERRACE ROME MANOR LOT 321-322</v>
      </c>
      <c r="D5079" s="1">
        <v>8.2100000000000009</v>
      </c>
    </row>
    <row r="5080" spans="1:4" x14ac:dyDescent="0.3">
      <c r="A5080" s="1" t="str">
        <f>"24000211600"</f>
        <v>24000211600</v>
      </c>
      <c r="B5080" s="1" t="str">
        <f>"GRIFFITH JOHN S TTEE"</f>
        <v>GRIFFITH JOHN S TTEE</v>
      </c>
      <c r="C5080" s="1" t="str">
        <f>"EVERGREEN TERRACE ROME MANOR LOTS 323-324"</f>
        <v>EVERGREEN TERRACE ROME MANOR LOTS 323-324</v>
      </c>
      <c r="D5080" s="1">
        <v>58.53</v>
      </c>
    </row>
    <row r="5081" spans="1:4" x14ac:dyDescent="0.3">
      <c r="A5081" s="1" t="str">
        <f>"24000197600"</f>
        <v>24000197600</v>
      </c>
      <c r="B5081" s="1" t="str">
        <f>"GRIFFITH JOHN S TTEE"</f>
        <v>GRIFFITH JOHN S TTEE</v>
      </c>
      <c r="C5081" s="1" t="str">
        <f>"OWEN ST ROME MANOR 183 "</f>
        <v xml:space="preserve">OWEN ST ROME MANOR 183 </v>
      </c>
      <c r="D5081" s="1">
        <v>5.63</v>
      </c>
    </row>
    <row r="5082" spans="1:4" x14ac:dyDescent="0.3">
      <c r="A5082" s="1" t="str">
        <f>"24000197700"</f>
        <v>24000197700</v>
      </c>
      <c r="B5082" s="1" t="str">
        <f>"GRIFFITH JOHN S TTEE"</f>
        <v>GRIFFITH JOHN S TTEE</v>
      </c>
      <c r="C5082" s="1" t="str">
        <f>"OWEN ST ROME MANOR 184 "</f>
        <v xml:space="preserve">OWEN ST ROME MANOR 184 </v>
      </c>
      <c r="D5082" s="1">
        <v>24.15</v>
      </c>
    </row>
    <row r="5083" spans="1:4" x14ac:dyDescent="0.3">
      <c r="A5083" s="1" t="str">
        <f>"24000198400"</f>
        <v>24000198400</v>
      </c>
      <c r="B5083" s="1" t="str">
        <f>"GRIFFITH JOHN S TTEE"</f>
        <v>GRIFFITH JOHN S TTEE</v>
      </c>
      <c r="C5083" s="1" t="str">
        <f>"315 WOODLAWN AVE ROME MANOR PT LO192 &amp; ALL 193 &amp; 194"</f>
        <v>315 WOODLAWN AVE ROME MANOR PT LO192 &amp; ALL 193 &amp; 194</v>
      </c>
      <c r="D5083" s="1">
        <v>100.63</v>
      </c>
    </row>
    <row r="5084" spans="1:4" x14ac:dyDescent="0.3">
      <c r="A5084" s="1" t="str">
        <f>"24000215900"</f>
        <v>24000215900</v>
      </c>
      <c r="B5084" s="1" t="str">
        <f>"GRIFFITH JOHN S TTEE"</f>
        <v>GRIFFITH JOHN S TTEE</v>
      </c>
      <c r="C5084" s="1" t="str">
        <f>"EVERGREEN TERRACE ROME MANOR 366 "</f>
        <v xml:space="preserve">EVERGREEN TERRACE ROME MANOR 366 </v>
      </c>
      <c r="D5084" s="1">
        <v>5.63</v>
      </c>
    </row>
    <row r="5085" spans="1:4" x14ac:dyDescent="0.3">
      <c r="A5085" s="1" t="str">
        <f>"24000216000"</f>
        <v>24000216000</v>
      </c>
      <c r="B5085" s="1" t="str">
        <f>"GRIFFITH JOHN S TTEE"</f>
        <v>GRIFFITH JOHN S TTEE</v>
      </c>
      <c r="C5085" s="1" t="str">
        <f>"EVERGREEN TERRACE ROME MANOR 367 "</f>
        <v xml:space="preserve">EVERGREEN TERRACE ROME MANOR 367 </v>
      </c>
      <c r="D5085" s="1">
        <v>34.22</v>
      </c>
    </row>
    <row r="5086" spans="1:4" x14ac:dyDescent="0.3">
      <c r="A5086" s="1" t="str">
        <f>"24000283300"</f>
        <v>24000283300</v>
      </c>
      <c r="B5086" s="1" t="str">
        <f>"GRIFFITH JOHN S TTEE"</f>
        <v>GRIFFITH JOHN S TTEE</v>
      </c>
      <c r="C5086" s="1" t="str">
        <f>"POSTLE BLVD ROME HGTS LOT 281 &amp; 1/2 VAC ALLEY"</f>
        <v>POSTLE BLVD ROME HGTS LOT 281 &amp; 1/2 VAC ALLEY</v>
      </c>
      <c r="D5086" s="1">
        <v>47.03</v>
      </c>
    </row>
    <row r="5087" spans="1:4" x14ac:dyDescent="0.3">
      <c r="A5087" s="1" t="str">
        <f>"24000419800"</f>
        <v>24000419800</v>
      </c>
      <c r="B5087" s="1" t="str">
        <f>"GRIFFITH JOHN S TTEE"</f>
        <v>GRIFFITH JOHN S TTEE</v>
      </c>
      <c r="C5087" s="1" t="str">
        <f>"REDMOND RD LINCOLN VILLAGE SOU 35"</f>
        <v>REDMOND RD LINCOLN VILLAGE SOU 35</v>
      </c>
      <c r="D5087" s="1">
        <v>127.69</v>
      </c>
    </row>
    <row r="5088" spans="1:4" x14ac:dyDescent="0.3">
      <c r="A5088" s="1" t="str">
        <f>"01000609100"</f>
        <v>01000609100</v>
      </c>
      <c r="B5088" s="1" t="str">
        <f>"GRIFFITH MARILYN R"</f>
        <v>GRIFFITH MARILYN R</v>
      </c>
      <c r="C5088" s="1" t="str">
        <f>"270 HAWKS AVE MARTINS WESTERN LOT 141"</f>
        <v>270 HAWKS AVE MARTINS WESTERN LOT 141</v>
      </c>
      <c r="D5088" s="1">
        <v>603.58000000000004</v>
      </c>
    </row>
    <row r="5089" spans="1:4" x14ac:dyDescent="0.3">
      <c r="A5089" s="1" t="str">
        <f>"02000204400"</f>
        <v>02000204400</v>
      </c>
      <c r="B5089" s="1" t="str">
        <f>"GRIFFITH MARTIN STEWART"</f>
        <v>GRIFFITH MARTIN STEWART</v>
      </c>
      <c r="C5089" s="1" t="str">
        <f>"935 REMINGTON RD RIDERS PT LOTS 359-360"</f>
        <v>935 REMINGTON RD RIDERS PT LOTS 359-360</v>
      </c>
      <c r="D5089" s="1">
        <v>6254.22</v>
      </c>
    </row>
    <row r="5090" spans="1:4" x14ac:dyDescent="0.3">
      <c r="A5090" s="1" t="str">
        <f>"61020544300"</f>
        <v>61020544300</v>
      </c>
      <c r="B5090" s="1" t="str">
        <f>"GRIFFITH REGINA A"</f>
        <v>GRIFFITH REGINA A</v>
      </c>
      <c r="C5090" s="1" t="str">
        <f>"WORTHINGTON HEIGHTS CONDO 2ND AMD UNIT 99"</f>
        <v>WORTHINGTON HEIGHTS CONDO 2ND AMD UNIT 99</v>
      </c>
      <c r="D5090" s="1">
        <v>5813.24</v>
      </c>
    </row>
    <row r="5091" spans="1:4" x14ac:dyDescent="0.3">
      <c r="A5091" s="1" t="str">
        <f>"24000012800"</f>
        <v>24000012800</v>
      </c>
      <c r="B5091" s="1" t="str">
        <f>"GRIFFITH SUSAN E TTEE"</f>
        <v>GRIFFITH SUSAN E TTEE</v>
      </c>
      <c r="C5091" s="1" t="str">
        <f>"PURSELL RD ACRES 10.5 ENTRY 2886 "</f>
        <v xml:space="preserve">PURSELL RD ACRES 10.5 ENTRY 2886 </v>
      </c>
      <c r="D5091" s="1">
        <v>217.27</v>
      </c>
    </row>
    <row r="5092" spans="1:4" x14ac:dyDescent="0.3">
      <c r="A5092" s="1" t="str">
        <f>"14000004900"</f>
        <v>14000004900</v>
      </c>
      <c r="B5092" s="1" t="str">
        <f>"GRIFFITH SUSAN E TTEE"</f>
        <v>GRIFFITH SUSAN E TTEE</v>
      </c>
      <c r="C5092" s="1" t="str">
        <f>"2221 BIG RUN AVE AC 1.613 OQ540-840-1000 ENTRY 2442-1454"</f>
        <v>2221 BIG RUN AVE AC 1.613 OQ540-840-1000 ENTRY 2442-1454</v>
      </c>
      <c r="D5092" s="1">
        <v>150.13</v>
      </c>
    </row>
    <row r="5093" spans="1:4" x14ac:dyDescent="0.3">
      <c r="A5093" s="1" t="str">
        <f>"24000564400"</f>
        <v>24000564400</v>
      </c>
      <c r="B5093" s="1" t="str">
        <f>"GRIFFITH SUSAN E TTEE"</f>
        <v>GRIFFITH SUSAN E TTEE</v>
      </c>
      <c r="C5093" s="1" t="str">
        <f>"6538 MAPLE WAY VILLAGE PARK SUBD LOT 176"</f>
        <v>6538 MAPLE WAY VILLAGE PARK SUBD LOT 176</v>
      </c>
      <c r="D5093" s="1">
        <v>61.76</v>
      </c>
    </row>
    <row r="5094" spans="1:4" x14ac:dyDescent="0.3">
      <c r="A5094" s="1" t="str">
        <f>"24000566900"</f>
        <v>24000566900</v>
      </c>
      <c r="B5094" s="1" t="str">
        <f>"GRIFFITH SUSAN E TTEE"</f>
        <v>GRIFFITH SUSAN E TTEE</v>
      </c>
      <c r="C5094" s="1" t="str">
        <f>"VILLAGE PARK CEDAR COURT LOT 201"</f>
        <v>VILLAGE PARK CEDAR COURT LOT 201</v>
      </c>
      <c r="D5094" s="1">
        <v>97.78</v>
      </c>
    </row>
    <row r="5095" spans="1:4" x14ac:dyDescent="0.3">
      <c r="A5095" s="1" t="str">
        <f>"24000526000"</f>
        <v>24000526000</v>
      </c>
      <c r="B5095" s="1" t="str">
        <f>"GRIFFITH SUSAN E TTEE"</f>
        <v>GRIFFITH SUSAN E TTEE</v>
      </c>
      <c r="C5095" s="1" t="str">
        <f>"CANYON COVE RD LAKE DARBY EST 1 LOT 45"</f>
        <v>CANYON COVE RD LAKE DARBY EST 1 LOT 45</v>
      </c>
      <c r="D5095" s="1">
        <v>140.88</v>
      </c>
    </row>
    <row r="5096" spans="1:4" x14ac:dyDescent="0.3">
      <c r="A5096" s="1" t="str">
        <f>"24000466900"</f>
        <v>24000466900</v>
      </c>
      <c r="B5096" s="1" t="str">
        <f>"GRIFFITH SUSAN E TTEE"</f>
        <v>GRIFFITH SUSAN E TTEE</v>
      </c>
      <c r="C5096" s="1" t="str">
        <f>"FROST AVE LINCOLN VILLAGE SO 506"</f>
        <v>FROST AVE LINCOLN VILLAGE SO 506</v>
      </c>
      <c r="D5096" s="1">
        <v>143.37</v>
      </c>
    </row>
    <row r="5097" spans="1:4" x14ac:dyDescent="0.3">
      <c r="A5097" s="1" t="str">
        <f>"01008968200"</f>
        <v>01008968200</v>
      </c>
      <c r="B5097" s="1" t="str">
        <f>"GRIFFITHS JOSHUA F"</f>
        <v>GRIFFITHS JOSHUA F</v>
      </c>
      <c r="C5097" s="1" t="str">
        <f>"WEYANT AVE LINCOLN PARK 2 LOT 245"</f>
        <v>WEYANT AVE LINCOLN PARK 2 LOT 245</v>
      </c>
      <c r="D5097" s="1">
        <v>101</v>
      </c>
    </row>
    <row r="5098" spans="1:4" x14ac:dyDescent="0.3">
      <c r="A5098" s="1" t="str">
        <f>"57022021100"</f>
        <v>57022021100</v>
      </c>
      <c r="B5098" s="1" t="str">
        <f>"GRIGORESCU GABRIEL, GRIGORESCU EUGENIA"</f>
        <v>GRIGORESCU GABRIEL, GRIGORESCU EUGENIA</v>
      </c>
      <c r="C5098" s="1" t="str">
        <f>"INKSTER DRIVE SCIOTO WOODS SEC 5 PART 1 LOT 347"</f>
        <v>INKSTER DRIVE SCIOTO WOODS SEC 5 PART 1 LOT 347</v>
      </c>
      <c r="D5098" s="1">
        <v>2116.06</v>
      </c>
    </row>
    <row r="5099" spans="1:4" x14ac:dyDescent="0.3">
      <c r="A5099" s="1" t="str">
        <f>"01009049700"</f>
        <v>01009049700</v>
      </c>
      <c r="B5099" s="1" t="str">
        <f>"GRIMES DEBORAH G"</f>
        <v>GRIMES DEBORAH G</v>
      </c>
      <c r="C5099" s="1" t="str">
        <f>"KINGSBURY PLC EASTMINSTER LOT 274 &amp; PT VAC AL"</f>
        <v>KINGSBURY PLC EASTMINSTER LOT 274 &amp; PT VAC AL</v>
      </c>
      <c r="D5099" s="1">
        <v>143.22999999999999</v>
      </c>
    </row>
    <row r="5100" spans="1:4" x14ac:dyDescent="0.3">
      <c r="A5100" s="1" t="str">
        <f>"59020125400"</f>
        <v>59020125400</v>
      </c>
      <c r="B5100" s="1" t="str">
        <f>"GRIMM DAVID A"</f>
        <v>GRIMM DAVID A</v>
      </c>
      <c r="C5100" s="1" t="str">
        <f>"3107 RIVERMILL DR HILLSIDE CONDO PHASE 4 AMD UNIT 27"</f>
        <v>3107 RIVERMILL DR HILLSIDE CONDO PHASE 4 AMD UNIT 27</v>
      </c>
      <c r="D5100" s="1">
        <v>8.76</v>
      </c>
    </row>
    <row r="5101" spans="1:4" x14ac:dyDescent="0.3">
      <c r="A5101" s="1" t="str">
        <f>"60015521500"</f>
        <v>60015521500</v>
      </c>
      <c r="B5101" s="1" t="str">
        <f>"GRIMMETT HEIDI A, GRIMMETT CHARLES JR"</f>
        <v>GRIMMETT HEIDI A, GRIMMETT CHARLES JR</v>
      </c>
      <c r="C5101" s="1" t="str">
        <f>"4443 WYANDOTTE DR GOULD PK NO 2 LOTS 116-124 &amp; 299-307"</f>
        <v>4443 WYANDOTTE DR GOULD PK NO 2 LOTS 116-124 &amp; 299-307</v>
      </c>
      <c r="D5101" s="1">
        <v>140.07</v>
      </c>
    </row>
    <row r="5102" spans="1:4" x14ac:dyDescent="0.3">
      <c r="A5102" s="1" t="str">
        <f>"01008125900"</f>
        <v>01008125900</v>
      </c>
      <c r="B5102" s="1" t="str">
        <f>"GRIMMETT JOHNNY"</f>
        <v>GRIMMETT JOHNNY</v>
      </c>
      <c r="C5102" s="1" t="str">
        <f>"OAKLAND PARK AVE KENMORE LOT 97-98"</f>
        <v>OAKLAND PARK AVE KENMORE LOT 97-98</v>
      </c>
      <c r="D5102" s="1">
        <v>132.9</v>
      </c>
    </row>
    <row r="5103" spans="1:4" x14ac:dyDescent="0.3">
      <c r="A5103" s="1" t="str">
        <f>"08001126600"</f>
        <v>08001126600</v>
      </c>
      <c r="B5103" s="1" t="str">
        <f>"GRINSTEAD GLENN G, GRINSTEAD JANA M"</f>
        <v>GRINSTEAD GLENN G, GRINSTEAD JANA M</v>
      </c>
      <c r="C5103" s="1" t="str">
        <f>"TAMMERLANE COURT TURNER'S SUBDIVISION LOT 1"</f>
        <v>TAMMERLANE COURT TURNER'S SUBDIVISION LOT 1</v>
      </c>
      <c r="D5103" s="1">
        <v>353.27</v>
      </c>
    </row>
    <row r="5104" spans="1:4" x14ac:dyDescent="0.3">
      <c r="A5104" s="1" t="str">
        <f>"01003438000"</f>
        <v>01003438000</v>
      </c>
      <c r="B5104" s="1" t="str">
        <f>"GRIPPER RUFUS F JR, GRIPPER WANDA R"</f>
        <v>GRIPPER RUFUS F JR, GRIPPER WANDA R</v>
      </c>
      <c r="C5104" s="1" t="str">
        <f>"215 N 21ST ST ENGLISH &amp; MONYPENY'S LOTS 23-25"</f>
        <v>215 N 21ST ST ENGLISH &amp; MONYPENY'S LOTS 23-25</v>
      </c>
      <c r="D5104" s="1">
        <v>3962.13</v>
      </c>
    </row>
    <row r="5105" spans="1:4" x14ac:dyDescent="0.3">
      <c r="A5105" s="1" t="str">
        <f>"04000383300"</f>
        <v>04000383300</v>
      </c>
      <c r="B5105" s="1" t="str">
        <f>"GRITTER JAMES R II, GRITTER TODD M, GRITTER KAREN A"</f>
        <v>GRITTER JAMES R II, GRITTER TODD M, GRITTER KAREN A</v>
      </c>
      <c r="C5105" s="1" t="str">
        <f>"3542 CANTER COURT BROOK PK LOT 7"</f>
        <v>3542 CANTER COURT BROOK PK LOT 7</v>
      </c>
      <c r="D5105" s="1">
        <v>175.99</v>
      </c>
    </row>
    <row r="5106" spans="1:4" x14ac:dyDescent="0.3">
      <c r="A5106" s="1" t="str">
        <f>"01005505700"</f>
        <v>01005505700</v>
      </c>
      <c r="B5106" s="1" t="str">
        <f>"GROCE CONSTANCE"</f>
        <v>GROCE CONSTANCE</v>
      </c>
      <c r="C5106" s="1" t="str">
        <f>"319 PARKWOOD AVE WOODLAND PK LOT SUB 75-6"</f>
        <v>319 PARKWOOD AVE WOODLAND PK LOT SUB 75-6</v>
      </c>
      <c r="D5106" s="1">
        <v>96.05</v>
      </c>
    </row>
    <row r="5107" spans="1:4" x14ac:dyDescent="0.3">
      <c r="A5107" s="1" t="str">
        <f>"60016776100"</f>
        <v>60016776100</v>
      </c>
      <c r="B5107" s="1" t="str">
        <f>"GRODSKI NATALIA"</f>
        <v>GRODSKI NATALIA</v>
      </c>
      <c r="C5107" s="1" t="str">
        <f>"CHIPPEWILL CONDOMINIUM BLDG 33 UNIT 5"</f>
        <v>CHIPPEWILL CONDOMINIUM BLDG 33 UNIT 5</v>
      </c>
      <c r="D5107" s="1">
        <v>1909.26</v>
      </c>
    </row>
    <row r="5108" spans="1:4" x14ac:dyDescent="0.3">
      <c r="A5108" s="1" t="str">
        <f>"07001300400"</f>
        <v>07001300400</v>
      </c>
      <c r="B5108" s="1" t="str">
        <f>"GROEZINGER JOSHUA JAMES"</f>
        <v>GROEZINGER JOSHUA JAMES</v>
      </c>
      <c r="C5108" s="1" t="str">
        <f>"CARRIAGE HILL COND UNIT 1512-A TYPE V "</f>
        <v xml:space="preserve">CARRIAGE HILL COND UNIT 1512-A TYPE V </v>
      </c>
      <c r="D5108" s="1">
        <v>204.46</v>
      </c>
    </row>
    <row r="5109" spans="1:4" x14ac:dyDescent="0.3">
      <c r="A5109" s="1" t="str">
        <f>"06000481100"</f>
        <v>06000481100</v>
      </c>
      <c r="B5109" s="1" t="str">
        <f>"GROFF LAURA L TR"</f>
        <v>GROFF LAURA L TR</v>
      </c>
      <c r="C5109" s="1" t="str">
        <f>"MATTERHORN DR BRIARCLIFF 8 LOT 532"</f>
        <v>MATTERHORN DR BRIARCLIFF 8 LOT 532</v>
      </c>
      <c r="D5109" s="1">
        <v>2415.25</v>
      </c>
    </row>
    <row r="5110" spans="1:4" x14ac:dyDescent="0.3">
      <c r="A5110" s="1" t="str">
        <f>"01006221600"</f>
        <v>01006221600</v>
      </c>
      <c r="B5110" s="1" t="str">
        <f>"GROGAN ROBERT J JR"</f>
        <v>GROGAN ROBERT J JR</v>
      </c>
      <c r="C5110" s="1" t="str">
        <f>"1789 KING AVE SUMMIT PLAIN LOT 282-83-84"</f>
        <v>1789 KING AVE SUMMIT PLAIN LOT 282-83-84</v>
      </c>
      <c r="D5110" s="1">
        <v>6703.1</v>
      </c>
    </row>
    <row r="5111" spans="1:4" x14ac:dyDescent="0.3">
      <c r="A5111" s="1" t="str">
        <f>"01005543200"</f>
        <v>01005543200</v>
      </c>
      <c r="B5111" s="1" t="str">
        <f>"GROSH RICHARD A"</f>
        <v>GROSH RICHARD A</v>
      </c>
      <c r="C5111" s="1" t="str">
        <f>"S BARTLETT 25FT WS LOT 31 "</f>
        <v xml:space="preserve">S BARTLETT 25FT WS LOT 31 </v>
      </c>
      <c r="D5111" s="1">
        <v>2006.33</v>
      </c>
    </row>
    <row r="5112" spans="1:4" x14ac:dyDescent="0.3">
      <c r="A5112" s="1" t="str">
        <f>"11300079900"</f>
        <v>11300079900</v>
      </c>
      <c r="B5112" s="1" t="str">
        <f>"GROSS KELLY H"</f>
        <v>GROSS KELLY H</v>
      </c>
      <c r="C5112" s="1" t="str">
        <f>"2626 WILDWOOD ROAD MINERVA PARK 421 "</f>
        <v xml:space="preserve">2626 WILDWOOD ROAD MINERVA PARK 421 </v>
      </c>
      <c r="D5112" s="1">
        <v>295.33</v>
      </c>
    </row>
    <row r="5113" spans="1:4" x14ac:dyDescent="0.3">
      <c r="A5113" s="1" t="str">
        <f>"11000495300"</f>
        <v>11000495300</v>
      </c>
      <c r="B5113" s="1" t="str">
        <f>"GROSSMAN DALE R, GROSSMAN KATHRYN J"</f>
        <v>GROSSMAN DALE R, GROSSMAN KATHRYN J</v>
      </c>
      <c r="C5113" s="1" t="str">
        <f>"BADER COURT RESUB PT HAMSTEAD 1 LOT 228"</f>
        <v>BADER COURT RESUB PT HAMSTEAD 1 LOT 228</v>
      </c>
      <c r="D5113" s="1">
        <v>11.48</v>
      </c>
    </row>
    <row r="5114" spans="1:4" x14ac:dyDescent="0.3">
      <c r="A5114" s="1" t="str">
        <f>"15100001000"</f>
        <v>15100001000</v>
      </c>
      <c r="B5114" s="1" t="str">
        <f>"GROUNDS SUE R TTEE, GROUNDS ROBERT M TTEE"</f>
        <v>GROUNDS SUE R TTEE, GROUNDS ROBERT M TTEE</v>
      </c>
      <c r="C5114" s="1" t="str">
        <f>"COMMERCE ST LOT 16 &amp; PT LOTS 14 &amp; 18"</f>
        <v>COMMERCE ST LOT 16 &amp; PT LOTS 14 &amp; 18</v>
      </c>
      <c r="D5114" s="1">
        <v>4167.7</v>
      </c>
    </row>
    <row r="5115" spans="1:4" x14ac:dyDescent="0.3">
      <c r="A5115" s="1" t="str">
        <f>"57012683100"</f>
        <v>57012683100</v>
      </c>
      <c r="B5115" s="1" t="str">
        <f>"GROUP 24 PROPERTIES LLC"</f>
        <v>GROUP 24 PROPERTIES LLC</v>
      </c>
      <c r="C5115" s="1" t="str">
        <f>"2024 LONGWOOD AVE FRANK RD INDUSTRIAL PK 2 PT RES B=0.361 ACRE"</f>
        <v>2024 LONGWOOD AVE FRANK RD INDUSTRIAL PK 2 PT RES B=0.361 ACRE</v>
      </c>
      <c r="D5115" s="1">
        <v>2147.59</v>
      </c>
    </row>
    <row r="5116" spans="1:4" x14ac:dyDescent="0.3">
      <c r="A5116" s="1" t="str">
        <f>"01032750000"</f>
        <v>01032750000</v>
      </c>
      <c r="B5116" s="1" t="str">
        <f>"GROUP MANLEY FAMILY LLC"</f>
        <v>GROUP MANLEY FAMILY LLC</v>
      </c>
      <c r="C5116" s="1" t="str">
        <f>"ST CLAIR AVE RICHARD JONES ESTATES LOT 48"</f>
        <v>ST CLAIR AVE RICHARD JONES ESTATES LOT 48</v>
      </c>
      <c r="D5116" s="1">
        <v>1213.74</v>
      </c>
    </row>
    <row r="5117" spans="1:4" x14ac:dyDescent="0.3">
      <c r="A5117" s="1" t="str">
        <f>"01012930000"</f>
        <v>01012930000</v>
      </c>
      <c r="B5117" s="1" t="str">
        <f>"GROVE DONNA"</f>
        <v>GROVE DONNA</v>
      </c>
      <c r="C5117" s="1" t="str">
        <f>"THURELL RD KAR-MEL VILLAGE 2 LOT 134"</f>
        <v>THURELL RD KAR-MEL VILLAGE 2 LOT 134</v>
      </c>
      <c r="D5117" s="1">
        <v>3836.31</v>
      </c>
    </row>
    <row r="5118" spans="1:4" x14ac:dyDescent="0.3">
      <c r="A5118" s="1" t="str">
        <f>"01020152100"</f>
        <v>01020152100</v>
      </c>
      <c r="B5118" s="1" t="str">
        <f>"GROVES C RANDY"</f>
        <v>GROVES C RANDY</v>
      </c>
      <c r="C5118" s="1" t="str">
        <f>"KARL RD NORTHLAND SENIOR VIL CONDO 2 UNIT 107"</f>
        <v>KARL RD NORTHLAND SENIOR VIL CONDO 2 UNIT 107</v>
      </c>
      <c r="D5118" s="1">
        <v>1248.95</v>
      </c>
    </row>
    <row r="5119" spans="1:4" x14ac:dyDescent="0.3">
      <c r="A5119" s="1" t="str">
        <f>"01009840600"</f>
        <v>01009840600</v>
      </c>
      <c r="B5119" s="1" t="str">
        <f>"GROVES CAROL, GROVES MARTY"</f>
        <v>GROVES CAROL, GROVES MARTY</v>
      </c>
      <c r="C5119" s="1" t="str">
        <f>"MEDINA AVE OAK PARK 10 LOT 148"</f>
        <v>MEDINA AVE OAK PARK 10 LOT 148</v>
      </c>
      <c r="D5119" s="1">
        <v>39.44</v>
      </c>
    </row>
    <row r="5120" spans="1:4" x14ac:dyDescent="0.3">
      <c r="A5120" s="1" t="str">
        <f>"60018868600"</f>
        <v>60018868600</v>
      </c>
      <c r="B5120" s="1" t="str">
        <f>"GROVES PATTI D"</f>
        <v>GROVES PATTI D</v>
      </c>
      <c r="C5120" s="1" t="str">
        <f>"COOPER BLUFF DR COOPER BLUFF 9 CON 2 UNIT 3067"</f>
        <v>COOPER BLUFF DR COOPER BLUFF 9 CON 2 UNIT 3067</v>
      </c>
      <c r="D5120" s="1">
        <v>12.06</v>
      </c>
    </row>
    <row r="5121" spans="1:4" x14ac:dyDescent="0.3">
      <c r="A5121" s="1" t="str">
        <f>"07000171800"</f>
        <v>07000171800</v>
      </c>
      <c r="B5121" s="1" t="str">
        <f>"GROVES RAY J, GROVES ANN K"</f>
        <v>GROVES RAY J, GROVES ANN K</v>
      </c>
      <c r="C5121" s="1" t="str">
        <f>"1617 ESSEX RD UNIVERSITY LOT 21 BLK 10"</f>
        <v>1617 ESSEX RD UNIVERSITY LOT 21 BLK 10</v>
      </c>
      <c r="D5121" s="1">
        <v>5731.54</v>
      </c>
    </row>
    <row r="5122" spans="1:4" x14ac:dyDescent="0.3">
      <c r="A5122" s="1" t="str">
        <f>"01011981000"</f>
        <v>01011981000</v>
      </c>
      <c r="B5122" s="1" t="str">
        <f>"GROVES ROAD LTD LLC"</f>
        <v>GROVES ROAD LTD LLC</v>
      </c>
      <c r="C5122" s="1" t="str">
        <f>"GROVES RD R21 T12 S22 1/2 S37 2.210 ACRES"</f>
        <v>GROVES RD R21 T12 S22 1/2 S37 2.210 ACRES</v>
      </c>
      <c r="D5122" s="1">
        <v>462.41</v>
      </c>
    </row>
    <row r="5123" spans="1:4" x14ac:dyDescent="0.3">
      <c r="A5123" s="1" t="str">
        <f>"01028644400"</f>
        <v>01028644400</v>
      </c>
      <c r="B5123" s="1" t="str">
        <f>"GROVES RYAN D"</f>
        <v>GROVES RYAN D</v>
      </c>
      <c r="C5123" s="1" t="str">
        <f>"THE HARTMAN               CONDOMINIUM 1ST AMD       UNIT PU1                 "</f>
        <v xml:space="preserve">THE HARTMAN               CONDOMINIUM 1ST AMD       UNIT PU1                 </v>
      </c>
      <c r="D5123" s="1">
        <v>138.05000000000001</v>
      </c>
    </row>
    <row r="5124" spans="1:4" x14ac:dyDescent="0.3">
      <c r="A5124" s="1" t="str">
        <f>"01015800500"</f>
        <v>01015800500</v>
      </c>
      <c r="B5124" s="1" t="str">
        <f>"GROVE-WALSH CYNTHIA"</f>
        <v>GROVE-WALSH CYNTHIA</v>
      </c>
      <c r="C5124" s="1" t="str">
        <f>"SAMPSON COURT RITTENHOUSE SQ CON 1 LOT BLDG 27 UNIT 11"</f>
        <v>SAMPSON COURT RITTENHOUSE SQ CON 1 LOT BLDG 27 UNIT 11</v>
      </c>
      <c r="D5124" s="1">
        <v>1859.98</v>
      </c>
    </row>
    <row r="5125" spans="1:4" x14ac:dyDescent="0.3">
      <c r="A5125" s="1" t="str">
        <f>"10000466100"</f>
        <v>10000466100</v>
      </c>
      <c r="B5125" s="1" t="str">
        <f>"GROWICK BRUCE S, GROWICK SHARON GARSTEN"</f>
        <v>GROWICK BRUCE S, GROWICK SHARON GARSTEN</v>
      </c>
      <c r="C5125" s="1" t="str">
        <f>"934 MIDDLEBURY DR N SHAKER SQUARE LOT 20"</f>
        <v>934 MIDDLEBURY DR N SHAKER SQUARE LOT 20</v>
      </c>
      <c r="D5125" s="1">
        <v>402.98</v>
      </c>
    </row>
    <row r="5126" spans="1:4" x14ac:dyDescent="0.3">
      <c r="A5126" s="1" t="str">
        <f>"02500062700"</f>
        <v>02500062700</v>
      </c>
      <c r="B5126" s="1" t="str">
        <f>"GRUBB BETTY JASPER TR"</f>
        <v>GRUBB BETTY JASPER TR</v>
      </c>
      <c r="C5126" s="1" t="str">
        <f>"337 CLIFFVIEW DR GRAMERCY PK ESTATES 220"</f>
        <v>337 CLIFFVIEW DR GRAMERCY PK ESTATES 220</v>
      </c>
      <c r="D5126" s="1">
        <v>590.20000000000005</v>
      </c>
    </row>
    <row r="5127" spans="1:4" x14ac:dyDescent="0.3">
      <c r="A5127" s="1" t="str">
        <f>"14000005000"</f>
        <v>14000005000</v>
      </c>
      <c r="B5127" s="1" t="str">
        <f>"GRUBB BRENDA K"</f>
        <v>GRUBB BRENDA K</v>
      </c>
      <c r="C5127" s="1" t="str">
        <f>"1060 DEMOREST RD OQ 1000 ENTRY 1396 0.858 ACRE"</f>
        <v>1060 DEMOREST RD OQ 1000 ENTRY 1396 0.858 ACRE</v>
      </c>
      <c r="D5127" s="1">
        <v>2703.2</v>
      </c>
    </row>
    <row r="5128" spans="1:4" x14ac:dyDescent="0.3">
      <c r="A5128" s="1" t="str">
        <f>"01006904300"</f>
        <v>01006904300</v>
      </c>
      <c r="B5128" s="1" t="str">
        <f>"GRUBB BRENDA K"</f>
        <v>GRUBB BRENDA K</v>
      </c>
      <c r="C5128" s="1" t="str">
        <f>"SO ROYS AVE WILSHIRE HEIGHTS LOT 6 BLK 28"</f>
        <v>SO ROYS AVE WILSHIRE HEIGHTS LOT 6 BLK 28</v>
      </c>
      <c r="D5128" s="1">
        <v>3328.55</v>
      </c>
    </row>
    <row r="5129" spans="1:4" x14ac:dyDescent="0.3">
      <c r="A5129" s="1" t="str">
        <f>"02000395600"</f>
        <v>02000395600</v>
      </c>
      <c r="B5129" s="1" t="str">
        <f>"GRUENBERG DAVID FOWLER, GRUENBERG AMY JO"</f>
        <v>GRUENBERG DAVID FOWLER, GRUENBERG AMY JO</v>
      </c>
      <c r="C5129" s="1" t="str">
        <f>"1011 REMINGTON RD LOT 6 BEVERLY PARK ANNEX"</f>
        <v>1011 REMINGTON RD LOT 6 BEVERLY PARK ANNEX</v>
      </c>
      <c r="D5129" s="1">
        <v>379.54</v>
      </c>
    </row>
    <row r="5130" spans="1:4" x14ac:dyDescent="0.3">
      <c r="A5130" s="1" t="str">
        <f>"01012539500"</f>
        <v>01012539500</v>
      </c>
      <c r="B5130" s="1" t="str">
        <f>"GRUNEWALD JASON A"</f>
        <v>GRUNEWALD JASON A</v>
      </c>
      <c r="C5130" s="1" t="str">
        <f>"SOUTHFIELD 2ND LOT 200 "</f>
        <v xml:space="preserve">SOUTHFIELD 2ND LOT 200 </v>
      </c>
      <c r="D5130" s="1">
        <v>2043.12</v>
      </c>
    </row>
    <row r="5131" spans="1:4" x14ac:dyDescent="0.3">
      <c r="A5131" s="1" t="str">
        <f>"01012527800"</f>
        <v>01012527800</v>
      </c>
      <c r="B5131" s="1" t="str">
        <f>"GRUNEWALD JASON A"</f>
        <v>GRUNEWALD JASON A</v>
      </c>
      <c r="C5131" s="1" t="str">
        <f>"DURHAM DR. SOUTHFIELD 2ND. LOT83"</f>
        <v>DURHAM DR. SOUTHFIELD 2ND. LOT83</v>
      </c>
      <c r="D5131" s="1">
        <v>1866.46</v>
      </c>
    </row>
    <row r="5132" spans="1:4" x14ac:dyDescent="0.3">
      <c r="A5132" s="1" t="str">
        <f>"08000930900"</f>
        <v>08000930900</v>
      </c>
      <c r="B5132" s="1" t="str">
        <f>"GRYMES LANDRY, GRYMES HANNAH"</f>
        <v>GRYMES LANDRY, GRYMES HANNAH</v>
      </c>
      <c r="C5132" s="1" t="str">
        <f>"FAWN CT WOODS AT SPRING GROVE PH 1 LOT 2"</f>
        <v>FAWN CT WOODS AT SPRING GROVE PH 1 LOT 2</v>
      </c>
      <c r="D5132" s="1">
        <v>5106.8999999999996</v>
      </c>
    </row>
    <row r="5133" spans="1:4" x14ac:dyDescent="0.3">
      <c r="A5133" s="1" t="str">
        <f>"05000694700"</f>
        <v>05000694700</v>
      </c>
      <c r="B5133" s="1" t="str">
        <f>"GRZYBOWSKI DEBORAH M"</f>
        <v>GRZYBOWSKI DEBORAH M</v>
      </c>
      <c r="C5133" s="1" t="str">
        <f>"DEVENCROFT COURT CARRINGTON PL SEC 3 LOT 153"</f>
        <v>DEVENCROFT COURT CARRINGTON PL SEC 3 LOT 153</v>
      </c>
      <c r="D5133" s="1">
        <v>6842.56</v>
      </c>
    </row>
    <row r="5134" spans="1:4" x14ac:dyDescent="0.3">
      <c r="A5134" s="1" t="str">
        <f>"01006049300"</f>
        <v>01006049300</v>
      </c>
      <c r="B5134" s="1" t="str">
        <f>"GT EMERGING ENTERPRISES LLC"</f>
        <v>GT EMERGING ENTERPRISES LLC</v>
      </c>
      <c r="C5134" s="1" t="str">
        <f>"21ST AVE WALDEMERE LOT 249"</f>
        <v>21ST AVE WALDEMERE LOT 249</v>
      </c>
      <c r="D5134" s="1">
        <v>45.24</v>
      </c>
    </row>
    <row r="5135" spans="1:4" x14ac:dyDescent="0.3">
      <c r="A5135" s="1" t="str">
        <f>"57016313600"</f>
        <v>57016313600</v>
      </c>
      <c r="B5135" s="1" t="str">
        <f>"GUADALUPE BARRIENTOS DE MENJIVAR NORMA"</f>
        <v>GUADALUPE BARRIENTOS DE MENJIVAR NORMA</v>
      </c>
      <c r="C5135" s="1" t="str">
        <f>"OLD HICKORY DR CRESTWOOD ESTATES LOT 12"</f>
        <v>OLD HICKORY DR CRESTWOOD ESTATES LOT 12</v>
      </c>
      <c r="D5135" s="1">
        <v>1100</v>
      </c>
    </row>
    <row r="5136" spans="1:4" x14ac:dyDescent="0.3">
      <c r="A5136" s="1" t="str">
        <f>"01009610100"</f>
        <v>01009610100</v>
      </c>
      <c r="B5136" s="1" t="str">
        <f>"GUAL SAID ESTATE LLC"</f>
        <v>GUAL SAID ESTATE LLC</v>
      </c>
      <c r="C5136" s="1" t="str">
        <f>"KIMBERLY VILLAS CONDOMINIUM PHASE VII BLDG 55 UNIT D"</f>
        <v>KIMBERLY VILLAS CONDOMINIUM PHASE VII BLDG 55 UNIT D</v>
      </c>
      <c r="D5136" s="1">
        <v>1621.16</v>
      </c>
    </row>
    <row r="5137" spans="1:4" x14ac:dyDescent="0.3">
      <c r="A5137" s="1" t="str">
        <f>"01016378600"</f>
        <v>01016378600</v>
      </c>
      <c r="B5137" s="1" t="str">
        <f>"GUAL SAID ESTATE LLC"</f>
        <v>GUAL SAID ESTATE LLC</v>
      </c>
      <c r="C5137" s="1" t="str">
        <f>"KIMBERLY VILLAS CONDO PHASE V BLDG 61 UNIT A"</f>
        <v>KIMBERLY VILLAS CONDO PHASE V BLDG 61 UNIT A</v>
      </c>
      <c r="D5137" s="1">
        <v>1396.02</v>
      </c>
    </row>
    <row r="5138" spans="1:4" x14ac:dyDescent="0.3">
      <c r="A5138" s="1" t="str">
        <f>"27300045900"</f>
        <v>27300045900</v>
      </c>
      <c r="B5138" s="1" t="str">
        <f>"GUDESEN RICHARD C, GUDESEN JOLENE"</f>
        <v>GUDESEN RICHARD C, GUDESEN JOLENE</v>
      </c>
      <c r="C5138" s="1" t="str">
        <f>"5186 INDIAN HILL RD RIVER FOREST LOT 10"</f>
        <v>5186 INDIAN HILL RD RIVER FOREST LOT 10</v>
      </c>
      <c r="D5138" s="1">
        <v>591.79999999999995</v>
      </c>
    </row>
    <row r="5139" spans="1:4" x14ac:dyDescent="0.3">
      <c r="A5139" s="1" t="str">
        <f>"06000704700"</f>
        <v>06000704700</v>
      </c>
      <c r="B5139" s="1" t="str">
        <f>"GUE KENDRA S"</f>
        <v>GUE KENDRA S</v>
      </c>
      <c r="C5139" s="1" t="str">
        <f>"CROFTON CIRCLE CROFTON PLACE LOT 57"</f>
        <v>CROFTON CIRCLE CROFTON PLACE LOT 57</v>
      </c>
      <c r="D5139" s="1">
        <v>1312.14</v>
      </c>
    </row>
    <row r="5140" spans="1:4" x14ac:dyDescent="0.3">
      <c r="A5140" s="1" t="str">
        <f>"01006124000"</f>
        <v>01006124000</v>
      </c>
      <c r="B5140" s="1" t="str">
        <f>"GUEVARA CARLOS"</f>
        <v>GUEVARA CARLOS</v>
      </c>
      <c r="C5140" s="1" t="str">
        <f>"1464 CORDELL AVE WEYANTS CLEVE AVE PL LOT 61"</f>
        <v>1464 CORDELL AVE WEYANTS CLEVE AVE PL LOT 61</v>
      </c>
      <c r="D5140" s="1">
        <v>67.209999999999994</v>
      </c>
    </row>
    <row r="5141" spans="1:4" x14ac:dyDescent="0.3">
      <c r="A5141" s="1" t="str">
        <f>"01007611700"</f>
        <v>01007611700</v>
      </c>
      <c r="B5141" s="1" t="str">
        <f>"GUEVARA CARLOS"</f>
        <v>GUEVARA CARLOS</v>
      </c>
      <c r="C5141" s="1" t="str">
        <f>"1162 MINNESOTA AVE MINNESOTA PLACE LOT 44"</f>
        <v>1162 MINNESOTA AVE MINNESOTA PLACE LOT 44</v>
      </c>
      <c r="D5141" s="1">
        <v>103.68</v>
      </c>
    </row>
    <row r="5142" spans="1:4" x14ac:dyDescent="0.3">
      <c r="A5142" s="1" t="str">
        <f>"01005787900"</f>
        <v>01005787900</v>
      </c>
      <c r="B5142" s="1" t="str">
        <f>"GUEVARA STUCCO SERVICE LLC"</f>
        <v>GUEVARA STUCCO SERVICE LLC</v>
      </c>
      <c r="C5142" s="1" t="str">
        <f>"1117 WINDSOR AVE 40X 156.66FT 18-1-4-12"</f>
        <v>1117 WINDSOR AVE 40X 156.66FT 18-1-4-12</v>
      </c>
      <c r="D5142" s="1">
        <v>330.77</v>
      </c>
    </row>
    <row r="5143" spans="1:4" x14ac:dyDescent="0.3">
      <c r="A5143" s="1" t="str">
        <f>"01011671200"</f>
        <v>01011671200</v>
      </c>
      <c r="B5143" s="1" t="str">
        <f>"GUEVARA WILFREDO"</f>
        <v>GUEVARA WILFREDO</v>
      </c>
      <c r="C5143" s="1" t="str">
        <f>"PEGG AVE LOT 28 LEAWOOD GDNS 3"</f>
        <v>PEGG AVE LOT 28 LEAWOOD GDNS 3</v>
      </c>
      <c r="D5143" s="1">
        <v>2108.71</v>
      </c>
    </row>
    <row r="5144" spans="1:4" x14ac:dyDescent="0.3">
      <c r="A5144" s="1" t="str">
        <f>"24000002100"</f>
        <v>24000002100</v>
      </c>
      <c r="B5144" s="1" t="str">
        <f>"GUFFEY CLEVE, GUFFEY LORI"</f>
        <v>GUFFEY CLEVE, GUFFEY LORI</v>
      </c>
      <c r="C5144" s="1" t="str">
        <f>"AMITY ROAD ENTRY 12955 2.066 ACRES"</f>
        <v>AMITY ROAD ENTRY 12955 2.066 ACRES</v>
      </c>
      <c r="D5144" s="1">
        <v>302.13</v>
      </c>
    </row>
    <row r="5145" spans="1:4" x14ac:dyDescent="0.3">
      <c r="A5145" s="1" t="str">
        <f>"08001071900"</f>
        <v>08001071900</v>
      </c>
      <c r="B5145" s="1" t="str">
        <f>"GUGLE KATHRYN R"</f>
        <v>GUGLE KATHRYN R</v>
      </c>
      <c r="C5145" s="1" t="str">
        <f>"SPRING RUN CONDOMINIUM 4TH AMD BLDG 10 UNIT 10-1345"</f>
        <v>SPRING RUN CONDOMINIUM 4TH AMD BLDG 10 UNIT 10-1345</v>
      </c>
      <c r="D5145" s="1">
        <v>201.04</v>
      </c>
    </row>
    <row r="5146" spans="1:4" x14ac:dyDescent="0.3">
      <c r="A5146" s="1" t="str">
        <f>"19000404100"</f>
        <v>19000404100</v>
      </c>
      <c r="B5146" s="1" t="str">
        <f>"GUIDANCE INTERPRETERS LLC"</f>
        <v>GUIDANCE INTERPRETERS LLC</v>
      </c>
      <c r="C5146" s="1" t="str">
        <f>"2781 INNIS ROAD AC .512 14 "</f>
        <v xml:space="preserve">2781 INNIS ROAD AC .512 14 </v>
      </c>
      <c r="D5146" s="1">
        <v>3072.19</v>
      </c>
    </row>
    <row r="5147" spans="1:4" x14ac:dyDescent="0.3">
      <c r="A5147" s="1" t="str">
        <f>"01026728700"</f>
        <v>01026728700</v>
      </c>
      <c r="B5147" s="1" t="str">
        <f>"GUIDE PROPERTIES LLC"</f>
        <v>GUIDE PROPERTIES LLC</v>
      </c>
      <c r="C5147" s="1" t="str">
        <f>"W BROAD ST VMS 3315 0.612 ACRE"</f>
        <v>W BROAD ST VMS 3315 0.612 ACRE</v>
      </c>
      <c r="D5147" s="1">
        <v>321.60000000000002</v>
      </c>
    </row>
    <row r="5148" spans="1:4" x14ac:dyDescent="0.3">
      <c r="A5148" s="1" t="str">
        <f>"01009431500"</f>
        <v>01009431500</v>
      </c>
      <c r="B5148" s="1" t="str">
        <f>"GUILER DEBORA K"</f>
        <v>GUILER DEBORA K</v>
      </c>
      <c r="C5148" s="1" t="str">
        <f>"MANCHESTER AVE LINDEN ADDN E 1/2 LOT 152"</f>
        <v>MANCHESTER AVE LINDEN ADDN E 1/2 LOT 152</v>
      </c>
      <c r="D5148" s="1">
        <v>116.04</v>
      </c>
    </row>
    <row r="5149" spans="1:4" x14ac:dyDescent="0.3">
      <c r="A5149" s="1" t="str">
        <f>"05001015700"</f>
        <v>05001015700</v>
      </c>
      <c r="B5149" s="1" t="str">
        <f>"GUL WAHEED, GUL GHAZALA"</f>
        <v>GUL WAHEED, GUL GHAZALA</v>
      </c>
      <c r="C5149" s="1" t="str">
        <f>"SILVER WOODS LANE SILVERTON FARMS SECTION 2 PHASE 2 LOT 46"</f>
        <v>SILVER WOODS LANE SILVERTON FARMS SECTION 2 PHASE 2 LOT 46</v>
      </c>
      <c r="D5149" s="1">
        <v>10709.55</v>
      </c>
    </row>
    <row r="5150" spans="1:4" x14ac:dyDescent="0.3">
      <c r="A5150" s="1" t="str">
        <f>"01005423500"</f>
        <v>01005423500</v>
      </c>
      <c r="B5150" s="1" t="str">
        <f>"GULARTE-MELGAR AMY, GULARTE-MELGAR GLORIA"</f>
        <v>GULARTE-MELGAR AMY, GULARTE-MELGAR GLORIA</v>
      </c>
      <c r="C5150" s="1" t="str">
        <f>"17TH AVE LOUIS HEIGHTS LOT 84"</f>
        <v>17TH AVE LOUIS HEIGHTS LOT 84</v>
      </c>
      <c r="D5150" s="1">
        <v>2379.5300000000002</v>
      </c>
    </row>
    <row r="5151" spans="1:4" x14ac:dyDescent="0.3">
      <c r="A5151" s="1" t="str">
        <f>"08000546500"</f>
        <v>08000546500</v>
      </c>
      <c r="B5151" s="1" t="str">
        <f>"GULED ABDULLAHI S, MUMIN MARYAN N"</f>
        <v>GULED ABDULLAHI S, MUMIN MARYAN N</v>
      </c>
      <c r="C5151" s="1" t="str">
        <f>"HERITAGE CONDOMINIUM BLDG 16 UNIT 6-B"</f>
        <v>HERITAGE CONDOMINIUM BLDG 16 UNIT 6-B</v>
      </c>
      <c r="D5151" s="1">
        <v>171.59</v>
      </c>
    </row>
    <row r="5152" spans="1:4" x14ac:dyDescent="0.3">
      <c r="A5152" s="1" t="str">
        <f>"01014669400"</f>
        <v>01014669400</v>
      </c>
      <c r="B5152" s="1" t="str">
        <f>"GULED FADUMA"</f>
        <v>GULED FADUMA</v>
      </c>
      <c r="C5152" s="1" t="str">
        <f>"MCCUTCHOEN RD ACRES .682 R17 T1 1-4T2"</f>
        <v>MCCUTCHOEN RD ACRES .682 R17 T1 1-4T2</v>
      </c>
      <c r="D5152" s="1">
        <v>3528.83</v>
      </c>
    </row>
    <row r="5153" spans="1:4" x14ac:dyDescent="0.3">
      <c r="A5153" s="1" t="str">
        <f>"01016202600"</f>
        <v>01016202600</v>
      </c>
      <c r="B5153" s="1" t="str">
        <f>"GULED FADUMA HOSH"</f>
        <v>GULED FADUMA HOSH</v>
      </c>
      <c r="C5153" s="1" t="str">
        <f>"BOYLESTON BLVD FRAMINGHAM LOT 200"</f>
        <v>BOYLESTON BLVD FRAMINGHAM LOT 200</v>
      </c>
      <c r="D5153" s="1">
        <v>1299.9100000000001</v>
      </c>
    </row>
    <row r="5154" spans="1:4" x14ac:dyDescent="0.3">
      <c r="A5154" s="1" t="str">
        <f>"01016109500"</f>
        <v>01016109500</v>
      </c>
      <c r="B5154" s="1" t="str">
        <f>"GULLETT PAULA JO"</f>
        <v>GULLETT PAULA JO</v>
      </c>
      <c r="C5154" s="1" t="str">
        <f>"WOODBROOK CR W WOODBROOK VILLAGE CONDOMINIUM LOT 129"</f>
        <v>WOODBROOK CR W WOODBROOK VILLAGE CONDOMINIUM LOT 129</v>
      </c>
      <c r="D5154" s="1">
        <v>1146.32</v>
      </c>
    </row>
    <row r="5155" spans="1:4" x14ac:dyDescent="0.3">
      <c r="A5155" s="1" t="str">
        <f>"01015638600"</f>
        <v>01015638600</v>
      </c>
      <c r="B5155" s="1" t="str">
        <f>"GULLICK MALACHI D RMDR, GULLICK MICA A LE"</f>
        <v>GULLICK MALACHI D RMDR, GULLICK MICA A LE</v>
      </c>
      <c r="C5155" s="1" t="str">
        <f>"REBECCA ST QUEENSWOOD SUBDIV LOT 126"</f>
        <v>REBECCA ST QUEENSWOOD SUBDIV LOT 126</v>
      </c>
      <c r="D5155" s="1">
        <v>1160.25</v>
      </c>
    </row>
    <row r="5156" spans="1:4" x14ac:dyDescent="0.3">
      <c r="A5156" s="1" t="str">
        <f>"57026330800"</f>
        <v>57026330800</v>
      </c>
      <c r="B5156" s="1" t="str">
        <f>"GUNDERSON ANDREW J, GILCHRIST MIRANDA D"</f>
        <v>GUNDERSON ANDREW J, GILCHRIST MIRANDA D</v>
      </c>
      <c r="C5156" s="1" t="str">
        <f>"NATHAN COURT MONTEREY LOT 29"</f>
        <v>NATHAN COURT MONTEREY LOT 29</v>
      </c>
      <c r="D5156" s="1">
        <v>76.61</v>
      </c>
    </row>
    <row r="5157" spans="1:4" x14ac:dyDescent="0.3">
      <c r="A5157" s="1" t="str">
        <f>"01013556300"</f>
        <v>01013556300</v>
      </c>
      <c r="B5157" s="1" t="str">
        <f>"GUNN GERALINE O, GUNN MICHELL R"</f>
        <v>GUNN GERALINE O, GUNN MICHELL R</v>
      </c>
      <c r="C5157" s="1" t="str">
        <f>"2149 LISA DRIVE ORIOLE HTS 2 LOT 25"</f>
        <v>2149 LISA DRIVE ORIOLE HTS 2 LOT 25</v>
      </c>
      <c r="D5157" s="1">
        <v>1338.65</v>
      </c>
    </row>
    <row r="5158" spans="1:4" x14ac:dyDescent="0.3">
      <c r="A5158" s="1" t="str">
        <f>"57016007400"</f>
        <v>57016007400</v>
      </c>
      <c r="B5158" s="1" t="str">
        <f>"GUNNELL DENNIS G, GUNNELL DEBORAH J"</f>
        <v>GUNNELL DENNIS G, GUNNELL DEBORAH J</v>
      </c>
      <c r="C5158" s="1" t="str">
        <f>"DRUMLIN DRIVE STONERIDGE 1 LOT 6"</f>
        <v>DRUMLIN DRIVE STONERIDGE 1 LOT 6</v>
      </c>
      <c r="D5158" s="1">
        <v>2937.25</v>
      </c>
    </row>
    <row r="5159" spans="1:4" x14ac:dyDescent="0.3">
      <c r="A5159" s="1" t="str">
        <f>"05300082000"</f>
        <v>05300082000</v>
      </c>
      <c r="B5159" s="1" t="str">
        <f>"GUO YUNBO, WANG YING"</f>
        <v>GUO YUNBO, WANG YING</v>
      </c>
      <c r="C5159" s="1" t="str">
        <f>"HILL FARM SECTION 1 PHASE 1 LOT 6"</f>
        <v>HILL FARM SECTION 1 PHASE 1 LOT 6</v>
      </c>
      <c r="D5159" s="1">
        <v>14539.09</v>
      </c>
    </row>
    <row r="5160" spans="1:4" x14ac:dyDescent="0.3">
      <c r="A5160" s="1" t="str">
        <f>"01006868300"</f>
        <v>01006868300</v>
      </c>
      <c r="B5160" s="1" t="str">
        <f>"GURARA MEKONNEN"</f>
        <v>GURARA MEKONNEN</v>
      </c>
      <c r="C5160" s="1" t="str">
        <f>"649 S HAGUE AVE WILSHIRE HTS LOT 3 BLK 15"</f>
        <v>649 S HAGUE AVE WILSHIRE HTS LOT 3 BLK 15</v>
      </c>
      <c r="D5160" s="1">
        <v>998.33</v>
      </c>
    </row>
    <row r="5161" spans="1:4" x14ac:dyDescent="0.3">
      <c r="A5161" s="1" t="str">
        <f>"01009789400"</f>
        <v>01009789400</v>
      </c>
      <c r="B5161" s="1" t="str">
        <f>"GURWIN FLORENCE"</f>
        <v>GURWIN FLORENCE</v>
      </c>
      <c r="C5161" s="1" t="str">
        <f>"CASTLEWOOD RD BERWICK HTS LOT 133-4-5"</f>
        <v>CASTLEWOOD RD BERWICK HTS LOT 133-4-5</v>
      </c>
      <c r="D5161" s="1">
        <v>226.67</v>
      </c>
    </row>
    <row r="5162" spans="1:4" x14ac:dyDescent="0.3">
      <c r="A5162" s="1" t="str">
        <f>"07000514700"</f>
        <v>07000514700</v>
      </c>
      <c r="B5162" s="1" t="str">
        <f>"GUSS KENRIC A"</f>
        <v>GUSS KENRIC A</v>
      </c>
      <c r="C5162" s="1" t="str">
        <f>"3218 REDDING RD N MOUNTVIEW ADD LOT 50 BLK 276"</f>
        <v>3218 REDDING RD N MOUNTVIEW ADD LOT 50 BLK 276</v>
      </c>
      <c r="D5162" s="1">
        <v>173.59</v>
      </c>
    </row>
    <row r="5163" spans="1:4" x14ac:dyDescent="0.3">
      <c r="A5163" s="1" t="str">
        <f>"09000138900"</f>
        <v>09000138900</v>
      </c>
      <c r="B5163" s="1" t="str">
        <f>"GUST BRADLEY C, GUST MICHELE L"</f>
        <v>GUST BRADLEY C, GUST MICHELE L</v>
      </c>
      <c r="C5163" s="1" t="str">
        <f>"MAPLEWOOD AVE REAR LOWRIE BROS S 1/2 LOT 128"</f>
        <v>MAPLEWOOD AVE REAR LOWRIE BROS S 1/2 LOT 128</v>
      </c>
      <c r="D5163" s="1">
        <v>384.22</v>
      </c>
    </row>
    <row r="5164" spans="1:4" x14ac:dyDescent="0.3">
      <c r="A5164" s="1" t="str">
        <f>"27300454300"</f>
        <v>27300454300</v>
      </c>
      <c r="B5164" s="1" t="str">
        <f>"GUTH JOEL J, GUTH JILL M"</f>
        <v>GUTH JOEL J, GUTH JILL M</v>
      </c>
      <c r="C5164" s="1" t="str">
        <f>"7575 BELLAIRE AVE DUBLIN ESTATES LOT 9"</f>
        <v>7575 BELLAIRE AVE DUBLIN ESTATES LOT 9</v>
      </c>
      <c r="D5164" s="1">
        <v>20583.830000000002</v>
      </c>
    </row>
    <row r="5165" spans="1:4" x14ac:dyDescent="0.3">
      <c r="A5165" s="1" t="str">
        <f>"08000652000"</f>
        <v>08000652000</v>
      </c>
      <c r="B5165" s="1" t="str">
        <f>"GUTHRIE WILLIAM C"</f>
        <v>GUTHRIE WILLIAM C</v>
      </c>
      <c r="C5165" s="1" t="str">
        <f>"BURWOOD COURT WOODLAKE CLNY PH3 LOT 168"</f>
        <v>BURWOOD COURT WOODLAKE CLNY PH3 LOT 168</v>
      </c>
      <c r="D5165" s="1">
        <v>9701.7900000000009</v>
      </c>
    </row>
    <row r="5166" spans="1:4" x14ac:dyDescent="0.3">
      <c r="A5166" s="1" t="str">
        <f>"01003586600"</f>
        <v>01003586600</v>
      </c>
      <c r="B5166" s="1" t="str">
        <f>"GUTIERREZ MICHELLE ESTEFANIA"</f>
        <v>GUTIERREZ MICHELLE ESTEFANIA</v>
      </c>
      <c r="C5166" s="1" t="str">
        <f>"THOMAS AVE ALL LOT 183 &amp; 1/2 L 184 AVONDALE"</f>
        <v>THOMAS AVE ALL LOT 183 &amp; 1/2 L 184 AVONDALE</v>
      </c>
      <c r="D5166" s="1">
        <v>1845.86</v>
      </c>
    </row>
    <row r="5167" spans="1:4" x14ac:dyDescent="0.3">
      <c r="A5167" s="1" t="str">
        <f>"08000605100"</f>
        <v>08000605100</v>
      </c>
      <c r="B5167" s="1" t="str">
        <f>"GUTSTEIN STEVEN A, WONG KECIA A"</f>
        <v>GUTSTEIN STEVEN A, WONG KECIA A</v>
      </c>
      <c r="C5167" s="1" t="str">
        <f>"AUTUMN LAKE COURT AUTUMN WOODS PHASE 1 LOT 10"</f>
        <v>AUTUMN LAKE COURT AUTUMN WOODS PHASE 1 LOT 10</v>
      </c>
      <c r="D5167" s="1">
        <v>4567.08</v>
      </c>
    </row>
    <row r="5168" spans="1:4" x14ac:dyDescent="0.3">
      <c r="A5168" s="1" t="str">
        <f>"01028538400"</f>
        <v>01028538400</v>
      </c>
      <c r="B5168" s="1" t="str">
        <f>"GUZAUSKAS GEORGE J, GUZAUSKAS ANN H"</f>
        <v>GUZAUSKAS GEORGE J, GUZAUSKAS ANN H</v>
      </c>
      <c r="C5168" s="1" t="str">
        <f>"ALBANY RESERVE CONDOMINIUM COMMUNITY 2ND AMD UNIT 6256"</f>
        <v>ALBANY RESERVE CONDOMINIUM COMMUNITY 2ND AMD UNIT 6256</v>
      </c>
      <c r="D5168" s="1">
        <v>2010.54</v>
      </c>
    </row>
    <row r="5169" spans="1:4" x14ac:dyDescent="0.3">
      <c r="A5169" s="1" t="str">
        <f>"61021760300"</f>
        <v>61021760300</v>
      </c>
      <c r="B5169" s="1" t="str">
        <f>"GUZMAN JORGE, TOM MARY"</f>
        <v>GUZMAN JORGE, TOM MARY</v>
      </c>
      <c r="C5169" s="1" t="str">
        <f>"WORTHINGTON HIGHLANDS SECTION 4 LOT 217"</f>
        <v>WORTHINGTON HIGHLANDS SECTION 4 LOT 217</v>
      </c>
      <c r="D5169" s="1">
        <v>468.92</v>
      </c>
    </row>
    <row r="5170" spans="1:4" x14ac:dyDescent="0.3">
      <c r="A5170" s="1" t="str">
        <f>"61020931200"</f>
        <v>61020931200</v>
      </c>
      <c r="B5170" s="1" t="str">
        <f>"GVR GROUP LLC"</f>
        <v>GVR GROUP LLC</v>
      </c>
      <c r="C5170" s="1" t="str">
        <f>"WORTHINGTON PARK CONDOMINIUM UNIT 1C"</f>
        <v>WORTHINGTON PARK CONDOMINIUM UNIT 1C</v>
      </c>
      <c r="D5170" s="1">
        <v>3583.8</v>
      </c>
    </row>
    <row r="5171" spans="1:4" x14ac:dyDescent="0.3">
      <c r="A5171" s="1" t="str">
        <f>"61019312600"</f>
        <v>61019312600</v>
      </c>
      <c r="B5171" s="1" t="str">
        <f>"GVR GROUP LLC"</f>
        <v>GVR GROUP LLC</v>
      </c>
      <c r="C5171" s="1" t="str">
        <f>"PARK PLACE DR PARK PLACE LOT 45"</f>
        <v>PARK PLACE DR PARK PLACE LOT 45</v>
      </c>
      <c r="D5171" s="1">
        <v>4074.17</v>
      </c>
    </row>
    <row r="5172" spans="1:4" x14ac:dyDescent="0.3">
      <c r="A5172" s="1" t="str">
        <f>"61018788200"</f>
        <v>61018788200</v>
      </c>
      <c r="B5172" s="1" t="str">
        <f>"GVR GROUP LLC"</f>
        <v>GVR GROUP LLC</v>
      </c>
      <c r="C5172" s="1" t="str">
        <f>"SLATON CT SLATON PINES CONDO 4 UNIT 1939"</f>
        <v>SLATON CT SLATON PINES CONDO 4 UNIT 1939</v>
      </c>
      <c r="D5172" s="1">
        <v>1776.05</v>
      </c>
    </row>
    <row r="5173" spans="1:4" x14ac:dyDescent="0.3">
      <c r="A5173" s="1" t="str">
        <f>"01007351800"</f>
        <v>01007351800</v>
      </c>
      <c r="B5173" s="1" t="str">
        <f>"GWEH AMOS"</f>
        <v>GWEH AMOS</v>
      </c>
      <c r="C5173" s="1" t="str">
        <f>"OSCEOLA ST ALMADA LOT 202 "</f>
        <v xml:space="preserve">OSCEOLA ST ALMADA LOT 202 </v>
      </c>
      <c r="D5173" s="1">
        <v>2646.73</v>
      </c>
    </row>
    <row r="5174" spans="1:4" x14ac:dyDescent="0.3">
      <c r="A5174" s="1" t="str">
        <f>"01012830900"</f>
        <v>01012830900</v>
      </c>
      <c r="B5174" s="1" t="str">
        <f>"GWEH AMOS"</f>
        <v>GWEH AMOS</v>
      </c>
      <c r="C5174" s="1" t="str">
        <f>"2183 EARL AVE ORCHARD HEIGHTS LOT 3"</f>
        <v>2183 EARL AVE ORCHARD HEIGHTS LOT 3</v>
      </c>
      <c r="D5174" s="1">
        <v>2396.9899999999998</v>
      </c>
    </row>
    <row r="5175" spans="1:4" x14ac:dyDescent="0.3">
      <c r="A5175" s="1" t="str">
        <f>"14000582400"</f>
        <v>14000582400</v>
      </c>
      <c r="B5175" s="1" t="str">
        <f>"GWEH AMOS"</f>
        <v>GWEH AMOS</v>
      </c>
      <c r="C5175" s="1" t="str">
        <f>"1751 MARSDALE AVE WESTBROOK LOT 224 "</f>
        <v xml:space="preserve">1751 MARSDALE AVE WESTBROOK LOT 224 </v>
      </c>
      <c r="D5175" s="1">
        <v>2859.29</v>
      </c>
    </row>
    <row r="5176" spans="1:4" x14ac:dyDescent="0.3">
      <c r="A5176" s="1" t="str">
        <f>"19000153800"</f>
        <v>19000153800</v>
      </c>
      <c r="B5176" s="1" t="str">
        <f>"GWEH AMOS"</f>
        <v>GWEH AMOS</v>
      </c>
      <c r="C5176" s="1" t="str">
        <f>"RANKIN AVE GREENDALE PLACE 184 "</f>
        <v xml:space="preserve">RANKIN AVE GREENDALE PLACE 184 </v>
      </c>
      <c r="D5176" s="1">
        <v>3012.26</v>
      </c>
    </row>
    <row r="5177" spans="1:4" x14ac:dyDescent="0.3">
      <c r="A5177" s="1" t="str">
        <f>"19000018200"</f>
        <v>19000018200</v>
      </c>
      <c r="B5177" s="1" t="str">
        <f>"GWEH AMOS"</f>
        <v>GWEH AMOS</v>
      </c>
      <c r="C5177" s="1" t="str">
        <f>"PARKWOOD AVE GREENDALE PLACE LOT 4 EX 14X16FT SE COR"</f>
        <v>PARKWOOD AVE GREENDALE PLACE LOT 4 EX 14X16FT SE COR</v>
      </c>
      <c r="D5177" s="1">
        <v>3040.54</v>
      </c>
    </row>
    <row r="5178" spans="1:4" x14ac:dyDescent="0.3">
      <c r="A5178" s="1" t="str">
        <f>"01015479900"</f>
        <v>01015479900</v>
      </c>
      <c r="B5178" s="1" t="str">
        <f>"GWINN DEBRA"</f>
        <v>GWINN DEBRA</v>
      </c>
      <c r="C5178" s="1" t="str">
        <f>"WEYBURN RD LEXINGTON SEC 2 LOT 261"</f>
        <v>WEYBURN RD LEXINGTON SEC 2 LOT 261</v>
      </c>
      <c r="D5178" s="1">
        <v>251.9</v>
      </c>
    </row>
    <row r="5179" spans="1:4" x14ac:dyDescent="0.3">
      <c r="A5179" s="1" t="str">
        <f>"15300002000"</f>
        <v>15300002000</v>
      </c>
      <c r="B5179" s="1" t="str">
        <f>"GYAN 4277 LLC, ARUNA 4277 LLC"</f>
        <v>GYAN 4277 LLC, ARUNA 4277 LLC</v>
      </c>
      <c r="C5179" s="1" t="str">
        <f>"4277 ALUM CREEK DR R22 T4 1/4T13 2.506 ACRES"</f>
        <v>4277 ALUM CREEK DR R22 T4 1/4T13 2.506 ACRES</v>
      </c>
      <c r="D5179" s="1">
        <v>1383.76</v>
      </c>
    </row>
    <row r="5180" spans="1:4" x14ac:dyDescent="0.3">
      <c r="A5180" s="1" t="str">
        <f>"01010633500"</f>
        <v>01010633500</v>
      </c>
      <c r="B5180" s="1" t="str">
        <f>"GYENI CHENY MENSA TTEE"</f>
        <v>GYENI CHENY MENSA TTEE</v>
      </c>
      <c r="C5180" s="1" t="str">
        <f>"LIVINGSTON AVE LEA-WOOD GARDENS LOT 234"</f>
        <v>LIVINGSTON AVE LEA-WOOD GARDENS LOT 234</v>
      </c>
      <c r="D5180" s="1">
        <v>10270.700000000001</v>
      </c>
    </row>
    <row r="5181" spans="1:4" x14ac:dyDescent="0.3">
      <c r="A5181" s="1" t="str">
        <f>"01002579300"</f>
        <v>01002579300</v>
      </c>
      <c r="B5181" s="1" t="str">
        <f>"GYENI CHENY MENSA TTEE"</f>
        <v>GYENI CHENY MENSA TTEE</v>
      </c>
      <c r="C5181" s="1" t="str">
        <f>"150 N 22ND ST 33.5X 41-5-6 FT N PT L 1-2 WINNERS 1ST"</f>
        <v>150 N 22ND ST 33.5X 41-5-6 FT N PT L 1-2 WINNERS 1ST</v>
      </c>
      <c r="D5181" s="1">
        <v>2568.2399999999998</v>
      </c>
    </row>
    <row r="5182" spans="1:4" x14ac:dyDescent="0.3">
      <c r="A5182" s="1" t="str">
        <f>"01021326100"</f>
        <v>01021326100</v>
      </c>
      <c r="B5182" s="1" t="str">
        <f>"GYNN CATHERINE M"</f>
        <v>GYNN CATHERINE M</v>
      </c>
      <c r="C5182" s="1" t="str">
        <f>"5746 JARDIN PLACE TROUVILLE EAST CONDO 7TH AMD UNIT 73"</f>
        <v>5746 JARDIN PLACE TROUVILLE EAST CONDO 7TH AMD UNIT 73</v>
      </c>
      <c r="D5182" s="1">
        <v>187.82</v>
      </c>
    </row>
    <row r="5183" spans="1:4" x14ac:dyDescent="0.3">
      <c r="A5183" s="1" t="str">
        <f>"01006737500"</f>
        <v>01006737500</v>
      </c>
      <c r="B5183" s="1" t="str">
        <f>"H &amp; D REALTY OF COLUMBUS LLC"</f>
        <v>H &amp; D REALTY OF COLUMBUS LLC</v>
      </c>
      <c r="C5183" s="1" t="str">
        <f>"916 WILSON AVE 95 FT W E AUBURNDALE LOT 173"</f>
        <v>916 WILSON AVE 95 FT W E AUBURNDALE LOT 173</v>
      </c>
      <c r="D5183" s="1">
        <v>9.07</v>
      </c>
    </row>
    <row r="5184" spans="1:4" x14ac:dyDescent="0.3">
      <c r="A5184" s="1" t="str">
        <f>"18000014900"</f>
        <v>18000014900</v>
      </c>
      <c r="B5184" s="1" t="str">
        <f>"H &amp; J GREENE LLC"</f>
        <v>H &amp; J GREENE LLC</v>
      </c>
      <c r="C5184" s="1" t="str">
        <f>"4455 REINBEAU DR R21 T11 S4  0.538 AC "</f>
        <v xml:space="preserve">4455 REINBEAU DR R21 T11 S4  0.538 AC </v>
      </c>
      <c r="D5184" s="1">
        <v>261.27</v>
      </c>
    </row>
    <row r="5185" spans="1:4" x14ac:dyDescent="0.3">
      <c r="A5185" s="1" t="str">
        <f>"24000592500"</f>
        <v>24000592500</v>
      </c>
      <c r="B5185" s="1" t="str">
        <f>"H QUINN LLC"</f>
        <v>H QUINN LLC</v>
      </c>
      <c r="C5185" s="1" t="str">
        <f>"GLENFORD VILL CONDMN UNIT 8-C "</f>
        <v xml:space="preserve">GLENFORD VILL CONDMN UNIT 8-C </v>
      </c>
      <c r="D5185" s="1">
        <v>71.41</v>
      </c>
    </row>
    <row r="5186" spans="1:4" x14ac:dyDescent="0.3">
      <c r="A5186" s="1" t="str">
        <f>"01007476400"</f>
        <v>01007476400</v>
      </c>
      <c r="B5186" s="1" t="str">
        <f>"H&amp;MREALESTATE LLC"</f>
        <v>H&amp;MREALESTATE LLC</v>
      </c>
      <c r="C5186" s="1" t="str">
        <f>"REPUBLIC AVE MULBUR PARK LOT 190"</f>
        <v>REPUBLIC AVE MULBUR PARK LOT 190</v>
      </c>
      <c r="D5186" s="1">
        <v>145.02000000000001</v>
      </c>
    </row>
    <row r="5187" spans="1:4" x14ac:dyDescent="0.3">
      <c r="A5187" s="1" t="str">
        <f>"02000020200"</f>
        <v>02000020200</v>
      </c>
      <c r="B5187" s="1" t="str">
        <f>"HAAS DARRYL, HAAS PAULA S"</f>
        <v>HAAS DARRYL, HAAS PAULA S</v>
      </c>
      <c r="C5187" s="1" t="str">
        <f>"698 S CASSINGHAM LOT 123 BEXLEY PLAZA"</f>
        <v>698 S CASSINGHAM LOT 123 BEXLEY PLAZA</v>
      </c>
      <c r="D5187" s="1">
        <v>480.25</v>
      </c>
    </row>
    <row r="5188" spans="1:4" x14ac:dyDescent="0.3">
      <c r="A5188" s="1" t="str">
        <f>"01003698500"</f>
        <v>01003698500</v>
      </c>
      <c r="B5188" s="1" t="str">
        <f>"HABERMAN SHIRLEY M"</f>
        <v>HABERMAN SHIRLEY M</v>
      </c>
      <c r="C5188" s="1" t="str">
        <f>"2787-2789 E SIXTH AV E COLUMBUS LOT 494-495"</f>
        <v>2787-2789 E SIXTH AV E COLUMBUS LOT 494-495</v>
      </c>
      <c r="D5188" s="1">
        <v>88.34</v>
      </c>
    </row>
    <row r="5189" spans="1:4" x14ac:dyDescent="0.3">
      <c r="A5189" s="1" t="str">
        <f>"01004949000"</f>
        <v>01004949000</v>
      </c>
      <c r="B5189" s="1" t="str">
        <f>"HABTE SAMUEL, SEMERE ZENAWIT"</f>
        <v>HABTE SAMUEL, SEMERE ZENAWIT</v>
      </c>
      <c r="C5189" s="1" t="str">
        <f>"1049 12TH AVE STREETS TERR LOT 9"</f>
        <v>1049 12TH AVE STREETS TERR LOT 9</v>
      </c>
      <c r="D5189" s="1">
        <v>358.17</v>
      </c>
    </row>
    <row r="5190" spans="1:4" x14ac:dyDescent="0.3">
      <c r="A5190" s="1" t="str">
        <f>"01013156000"</f>
        <v>01013156000</v>
      </c>
      <c r="B5190" s="1" t="str">
        <f>"HACKER JEFFREY"</f>
        <v>HACKER JEFFREY</v>
      </c>
      <c r="C5190" s="1" t="str">
        <f>"BURLEY DR RADCLIFF LOT 4"</f>
        <v>BURLEY DR RADCLIFF LOT 4</v>
      </c>
      <c r="D5190" s="1">
        <v>108.37</v>
      </c>
    </row>
    <row r="5191" spans="1:4" x14ac:dyDescent="0.3">
      <c r="A5191" s="1" t="str">
        <f>"01019515600"</f>
        <v>01019515600</v>
      </c>
      <c r="B5191" s="1" t="str">
        <f>"HACKMAN AUDREY"</f>
        <v>HACKMAN AUDREY</v>
      </c>
      <c r="C5191" s="1" t="str">
        <f>"E BROAD ST PARK TOWERS CONDO UNIT 206"</f>
        <v>E BROAD ST PARK TOWERS CONDO UNIT 206</v>
      </c>
      <c r="D5191" s="1">
        <v>234.76</v>
      </c>
    </row>
    <row r="5192" spans="1:4" x14ac:dyDescent="0.3">
      <c r="A5192" s="1" t="str">
        <f>"01000144900"</f>
        <v>01000144900</v>
      </c>
      <c r="B5192" s="1" t="str">
        <f>"HACKNEY DONALD L, HACKNEY TERRY L"</f>
        <v>HACKNEY DONALD L, HACKNEY TERRY L</v>
      </c>
      <c r="C5192" s="1" t="str">
        <f>"146 BREHL AVE DORENS CENTRAL AVE LOT 72"</f>
        <v>146 BREHL AVE DORENS CENTRAL AVE LOT 72</v>
      </c>
      <c r="D5192" s="1">
        <v>3480.56</v>
      </c>
    </row>
    <row r="5193" spans="1:4" x14ac:dyDescent="0.3">
      <c r="A5193" s="1" t="str">
        <f>"57021102700"</f>
        <v>57021102700</v>
      </c>
      <c r="B5193" s="1" t="str">
        <f>"HADDIX DONALD E, HADDIX GINGER J"</f>
        <v>HADDIX DONALD E, HADDIX GINGER J</v>
      </c>
      <c r="C5193" s="1" t="str">
        <f>"MARSDALE AVE MARSDALE LOT 75 "</f>
        <v xml:space="preserve">MARSDALE AVE MARSDALE LOT 75 </v>
      </c>
      <c r="D5193" s="1">
        <v>389.74</v>
      </c>
    </row>
    <row r="5194" spans="1:4" x14ac:dyDescent="0.3">
      <c r="A5194" s="1" t="str">
        <f>"57019144200"</f>
        <v>57019144200</v>
      </c>
      <c r="B5194" s="1" t="str">
        <f>"HADDIX DONALD E, HADDIX GINGER J"</f>
        <v>HADDIX DONALD E, HADDIX GINGER J</v>
      </c>
      <c r="C5194" s="1" t="str">
        <f>"FRANK RD MARSDALE LOT 22 "</f>
        <v xml:space="preserve">FRANK RD MARSDALE LOT 22 </v>
      </c>
      <c r="D5194" s="1">
        <v>3095.88</v>
      </c>
    </row>
    <row r="5195" spans="1:4" x14ac:dyDescent="0.3">
      <c r="A5195" s="1" t="str">
        <f>"07000948400"</f>
        <v>07000948400</v>
      </c>
      <c r="B5195" s="1" t="str">
        <f>"HADLER WILLIAM N"</f>
        <v>HADLER WILLIAM N</v>
      </c>
      <c r="C5195" s="1" t="str">
        <f>"2560 CHARING RD CANTERBURY WOODS LOT 4 &amp; PT LOTS 9 &amp; 36"</f>
        <v>2560 CHARING RD CANTERBURY WOODS LOT 4 &amp; PT LOTS 9 &amp; 36</v>
      </c>
      <c r="D5195" s="1">
        <v>2541.39</v>
      </c>
    </row>
    <row r="5196" spans="1:4" x14ac:dyDescent="0.3">
      <c r="A5196" s="1" t="str">
        <f>"56020480900"</f>
        <v>56020480900</v>
      </c>
      <c r="B5196" s="1" t="str">
        <f>"HADLEY EUGENE K TR, HADLEY SANDRA A TR"</f>
        <v>HADLEY EUGENE K TR, HADLEY SANDRA A TR</v>
      </c>
      <c r="C5196" s="1" t="str">
        <f>"TWEEDSMUIR DRIVE VILLAGES AT HAYDEN RUN SEC 3 LOT 209"</f>
        <v>TWEEDSMUIR DRIVE VILLAGES AT HAYDEN RUN SEC 3 LOT 209</v>
      </c>
      <c r="D5196" s="1">
        <v>174.64</v>
      </c>
    </row>
    <row r="5197" spans="1:4" x14ac:dyDescent="0.3">
      <c r="A5197" s="1" t="str">
        <f>"15100014000"</f>
        <v>15100014000</v>
      </c>
      <c r="B5197" s="1" t="str">
        <f>"HAFEY PEGGY JO"</f>
        <v>HAFEY PEGGY JO</v>
      </c>
      <c r="C5197" s="1" t="str">
        <f>"115 COMMERCE ST 25 "</f>
        <v xml:space="preserve">115 COMMERCE ST 25 </v>
      </c>
      <c r="D5197" s="1">
        <v>55</v>
      </c>
    </row>
    <row r="5198" spans="1:4" x14ac:dyDescent="0.3">
      <c r="A5198" s="1" t="str">
        <f>"01002562600"</f>
        <v>01002562600</v>
      </c>
      <c r="B5198" s="1" t="str">
        <f>"HAFFNER DARRAH N"</f>
        <v>HAFFNER DARRAH N</v>
      </c>
      <c r="C5198" s="1" t="str">
        <f>"CLINTON PLC LOT 8 "</f>
        <v xml:space="preserve">CLINTON PLC LOT 8 </v>
      </c>
      <c r="D5198" s="1">
        <v>9387.44</v>
      </c>
    </row>
    <row r="5199" spans="1:4" x14ac:dyDescent="0.3">
      <c r="A5199" s="1" t="str">
        <f>"60018703600"</f>
        <v>60018703600</v>
      </c>
      <c r="B5199" s="1" t="str">
        <f>"HAFSA TRANSPORTATION LLC"</f>
        <v>HAFSA TRANSPORTATION LLC</v>
      </c>
      <c r="C5199" s="1" t="str">
        <f>"RAKEFORD DR THE CMN AT PARKRIDGE LOT 19"</f>
        <v>RAKEFORD DR THE CMN AT PARKRIDGE LOT 19</v>
      </c>
      <c r="D5199" s="1">
        <v>1014.12</v>
      </c>
    </row>
    <row r="5200" spans="1:4" x14ac:dyDescent="0.3">
      <c r="A5200" s="1" t="str">
        <f>"01010323300"</f>
        <v>01010323300</v>
      </c>
      <c r="B5200" s="1" t="str">
        <f>"HAGAN BERNARD"</f>
        <v>HAGAN BERNARD</v>
      </c>
      <c r="C5200" s="1" t="str">
        <f>"HICKMAN RD &amp; PT AL VAC NORTH LINDEN 1 LOT 456"</f>
        <v>HICKMAN RD &amp; PT AL VAC NORTH LINDEN 1 LOT 456</v>
      </c>
      <c r="D5200" s="1">
        <v>3176.14</v>
      </c>
    </row>
    <row r="5201" spans="1:4" x14ac:dyDescent="0.3">
      <c r="A5201" s="1" t="str">
        <f>"01005930900"</f>
        <v>01005930900</v>
      </c>
      <c r="B5201" s="1" t="str">
        <f>"HAGANS SHIRLEY J"</f>
        <v>HAGANS SHIRLEY J</v>
      </c>
      <c r="C5201" s="1" t="str">
        <f>"1461 MYRTLE AVE WALDON LOT 180"</f>
        <v>1461 MYRTLE AVE WALDON LOT 180</v>
      </c>
      <c r="D5201" s="1">
        <v>1054.0899999999999</v>
      </c>
    </row>
    <row r="5202" spans="1:4" x14ac:dyDescent="0.3">
      <c r="A5202" s="1" t="str">
        <f>"01023228000"</f>
        <v>01023228000</v>
      </c>
      <c r="B5202" s="1" t="str">
        <f>"HAGAR SHAMIS, DUALEH HAFSA, DUALEH HAYAT, DUALEH HANAAN"</f>
        <v>HAGAR SHAMIS, DUALEH HAFSA, DUALEH HAYAT, DUALEH HANAAN</v>
      </c>
      <c r="C5202" s="1" t="str">
        <f>"2895 BRIDGEWALK ST HICKORY RIDGE CONDO UNIT 17-2895"</f>
        <v>2895 BRIDGEWALK ST HICKORY RIDGE CONDO UNIT 17-2895</v>
      </c>
      <c r="D5202" s="1">
        <v>654.41</v>
      </c>
    </row>
    <row r="5203" spans="1:4" x14ac:dyDescent="0.3">
      <c r="A5203" s="1" t="str">
        <f>"27300394700"</f>
        <v>27300394700</v>
      </c>
      <c r="B5203" s="1" t="str">
        <f>"HAGEN KARL M, HAGEN BARBARA"</f>
        <v>HAGEN KARL M, HAGEN BARBARA</v>
      </c>
      <c r="C5203" s="1" t="str">
        <f>"8375 STRASBOURG CT MUIRFIELD VILLAGE PHASE 32 LOT 1520"</f>
        <v>8375 STRASBOURG CT MUIRFIELD VILLAGE PHASE 32 LOT 1520</v>
      </c>
      <c r="D5203" s="1">
        <v>959.67</v>
      </c>
    </row>
    <row r="5204" spans="1:4" x14ac:dyDescent="0.3">
      <c r="A5204" s="1" t="str">
        <f>"01023421900"</f>
        <v>01023421900</v>
      </c>
      <c r="B5204" s="1" t="str">
        <f>"HAGER LARRY D, HAGER PAMELA K"</f>
        <v>HAGER LARRY D, HAGER PAMELA K</v>
      </c>
      <c r="C5204" s="1" t="str">
        <f>"WESTROCK DRIVE WESTBROOKE SECTION 1 LOT 59"</f>
        <v>WESTROCK DRIVE WESTBROOKE SECTION 1 LOT 59</v>
      </c>
      <c r="D5204" s="1">
        <v>278.20999999999998</v>
      </c>
    </row>
    <row r="5205" spans="1:4" x14ac:dyDescent="0.3">
      <c r="A5205" s="1" t="str">
        <f>"05000194700"</f>
        <v>05000194700</v>
      </c>
      <c r="B5205" s="1" t="str">
        <f>"HAGER NORA F TTEE"</f>
        <v>HAGER NORA F TTEE</v>
      </c>
      <c r="C5205" s="1" t="str">
        <f>"5379 TAYLOR LANE AVE HILLIARD ESTATES 1 LOT 22"</f>
        <v>5379 TAYLOR LANE AVE HILLIARD ESTATES 1 LOT 22</v>
      </c>
      <c r="D5205" s="1">
        <v>4651.8</v>
      </c>
    </row>
    <row r="5206" spans="1:4" x14ac:dyDescent="0.3">
      <c r="A5206" s="1" t="str">
        <f>"60018551500"</f>
        <v>60018551500</v>
      </c>
      <c r="B5206" s="1" t="str">
        <f>"HAGI SUFI AHMED M, HAGI SUFI LUBNA"</f>
        <v>HAGI SUFI AHMED M, HAGI SUFI LUBNA</v>
      </c>
      <c r="C5206" s="1" t="str">
        <f>"CANON RIDGE PL CANONGATE SECTION 1 LOT 35"</f>
        <v>CANON RIDGE PL CANONGATE SECTION 1 LOT 35</v>
      </c>
      <c r="D5206" s="1">
        <v>1817.6</v>
      </c>
    </row>
    <row r="5207" spans="1:4" x14ac:dyDescent="0.3">
      <c r="A5207" s="1" t="str">
        <f>"01007500100"</f>
        <v>01007500100</v>
      </c>
      <c r="B5207" s="1" t="str">
        <f>"HAGMAN AMANDA G"</f>
        <v>HAGMAN AMANDA G</v>
      </c>
      <c r="C5207" s="1" t="str">
        <f>"GRASMERE GARDENS LOTS 237 &amp; 238 "</f>
        <v xml:space="preserve">GRASMERE GARDENS LOTS 237 &amp; 238 </v>
      </c>
      <c r="D5207" s="1">
        <v>750.74</v>
      </c>
    </row>
    <row r="5208" spans="1:4" x14ac:dyDescent="0.3">
      <c r="A5208" s="1" t="str">
        <f>"01019105200"</f>
        <v>01019105200</v>
      </c>
      <c r="B5208" s="1" t="str">
        <f>"HAGMAN VERONICA"</f>
        <v>HAGMAN VERONICA</v>
      </c>
      <c r="C5208" s="1" t="str">
        <f>"WORTHINGTON FOREST CONDO UNIT 5500 BLDG 3"</f>
        <v>WORTHINGTON FOREST CONDO UNIT 5500 BLDG 3</v>
      </c>
      <c r="D5208" s="1">
        <v>915</v>
      </c>
    </row>
    <row r="5209" spans="1:4" x14ac:dyDescent="0.3">
      <c r="A5209" s="1" t="str">
        <f>"09000750600"</f>
        <v>09000750600</v>
      </c>
      <c r="B5209" s="1" t="str">
        <f>"HAGOS BELAY"</f>
        <v>HAGOS BELAY</v>
      </c>
      <c r="C5209" s="1" t="str">
        <f>"3820 KENARD COURT ROBINWOOD PL AMD LOT 6"</f>
        <v>3820 KENARD COURT ROBINWOOD PL AMD LOT 6</v>
      </c>
      <c r="D5209" s="1">
        <v>874.49</v>
      </c>
    </row>
    <row r="5210" spans="1:4" x14ac:dyDescent="0.3">
      <c r="A5210" s="1" t="str">
        <f>"27300756300"</f>
        <v>27300756300</v>
      </c>
      <c r="B5210" s="1" t="str">
        <f>"HAGUE LARRY A, HAGUE ERICA L"</f>
        <v>HAGUE LARRY A, HAGUE ERICA L</v>
      </c>
      <c r="C5210" s="1" t="str">
        <f>"THE VILLAGE AT HEATHERSTONE CONDO 3RD AMD UNIT 6778"</f>
        <v>THE VILLAGE AT HEATHERSTONE CONDO 3RD AMD UNIT 6778</v>
      </c>
      <c r="D5210" s="1">
        <v>293.42</v>
      </c>
    </row>
    <row r="5211" spans="1:4" x14ac:dyDescent="0.3">
      <c r="A5211" s="1" t="str">
        <f>"01004165600"</f>
        <v>01004165600</v>
      </c>
      <c r="B5211" s="1" t="str">
        <f>"HAGWOOD DONNA, HAGWOOD JOAN, MULLINS TIMOTHY Z JR"</f>
        <v>HAGWOOD DONNA, HAGWOOD JOAN, MULLINS TIMOTHY Z JR</v>
      </c>
      <c r="C5211" s="1" t="str">
        <f>"3387 DESHLER AVE BEXLEY VIEW ACRES LOT 19"</f>
        <v>3387 DESHLER AVE BEXLEY VIEW ACRES LOT 19</v>
      </c>
      <c r="D5211" s="1">
        <v>2566.64</v>
      </c>
    </row>
    <row r="5212" spans="1:4" x14ac:dyDescent="0.3">
      <c r="A5212" s="1" t="str">
        <f>"01016736000"</f>
        <v>01016736000</v>
      </c>
      <c r="B5212" s="1" t="str">
        <f>"HAGWOOD JACKIE M, HAGWOOD BETTY J"</f>
        <v>HAGWOOD JACKIE M, HAGWOOD BETTY J</v>
      </c>
      <c r="C5212" s="1" t="str">
        <f>"2216 SAGAMORE RD AMVET HOMESTEAD 2 LOT 21 BLK R"</f>
        <v>2216 SAGAMORE RD AMVET HOMESTEAD 2 LOT 21 BLK R</v>
      </c>
      <c r="D5212" s="1">
        <v>1072.1400000000001</v>
      </c>
    </row>
    <row r="5213" spans="1:4" x14ac:dyDescent="0.3">
      <c r="A5213" s="1" t="str">
        <f>"27300826200"</f>
        <v>27300826200</v>
      </c>
      <c r="B5213" s="1" t="str">
        <f>"HAHM DAVID E, HAHM DONNA L"</f>
        <v>HAHM DAVID E, HAHM DONNA L</v>
      </c>
      <c r="C5213" s="1" t="str">
        <f>"3279 LILLY-MAR CT R19 T2 1/4T3 .931 AC LOT 2-11"</f>
        <v>3279 LILLY-MAR CT R19 T2 1/4T3 .931 AC LOT 2-11</v>
      </c>
      <c r="D5213" s="1">
        <v>4098.63</v>
      </c>
    </row>
    <row r="5214" spans="1:4" x14ac:dyDescent="0.3">
      <c r="A5214" s="1" t="str">
        <f>"27300820000"</f>
        <v>27300820000</v>
      </c>
      <c r="B5214" s="1" t="str">
        <f>"HAHM DAVID E, HAHM DONNA L"</f>
        <v>HAHM DAVID E, HAHM DONNA L</v>
      </c>
      <c r="C5214" s="1" t="str">
        <f>"LILLY MAR CT 2-11 0.32 ACRE"</f>
        <v>LILLY MAR CT 2-11 0.32 ACRE</v>
      </c>
      <c r="D5214" s="1">
        <v>33.74</v>
      </c>
    </row>
    <row r="5215" spans="1:4" x14ac:dyDescent="0.3">
      <c r="A5215" s="1" t="str">
        <f>"02501121800"</f>
        <v>02501121800</v>
      </c>
      <c r="B5215" s="1" t="str">
        <f>"HAI ATTUSA"</f>
        <v>HAI ATTUSA</v>
      </c>
      <c r="C5215" s="1" t="str">
        <f>"LAKES AT HARRISON POND CONDO 2ND AMD BLDG 9  UNIT 1467"</f>
        <v>LAKES AT HARRISON POND CONDO 2ND AMD BLDG 9  UNIT 1467</v>
      </c>
      <c r="D5215" s="1">
        <v>7987.2</v>
      </c>
    </row>
    <row r="5216" spans="1:4" x14ac:dyDescent="0.3">
      <c r="A5216" s="1" t="str">
        <f>"14000361200"</f>
        <v>14000361200</v>
      </c>
      <c r="B5216" s="1" t="str">
        <f>"HAIGLER HOWARD G"</f>
        <v>HAIGLER HOWARD G</v>
      </c>
      <c r="C5216" s="1" t="str">
        <f>"1070 GENEVA AVE ENTRY 717 .206 ACRE "</f>
        <v xml:space="preserve">1070 GENEVA AVE ENTRY 717 .206 ACRE </v>
      </c>
      <c r="D5216" s="1">
        <v>1115.6500000000001</v>
      </c>
    </row>
    <row r="5217" spans="1:4" x14ac:dyDescent="0.3">
      <c r="A5217" s="1" t="str">
        <f>"01000130700"</f>
        <v>01000130700</v>
      </c>
      <c r="B5217" s="1" t="str">
        <f>"HAIGLER RICHARD ETHAN"</f>
        <v>HAIGLER RICHARD ETHAN</v>
      </c>
      <c r="C5217" s="1" t="str">
        <f>"930 E 15TH AVE DREXEL PARK ADD LT 165 (35' X 122.8)"</f>
        <v>930 E 15TH AVE DREXEL PARK ADD LT 165 (35' X 122.8)</v>
      </c>
      <c r="D5217" s="1">
        <v>192.99</v>
      </c>
    </row>
    <row r="5218" spans="1:4" x14ac:dyDescent="0.3">
      <c r="A5218" s="1" t="str">
        <f>"60021883800"</f>
        <v>60021883800</v>
      </c>
      <c r="B5218" s="1" t="str">
        <f>"HAILU ABRAHA H, LEMLEM MAEZU"</f>
        <v>HAILU ABRAHA H, LEMLEM MAEZU</v>
      </c>
      <c r="C5218" s="1" t="str">
        <f>"WOODSTREAM SECTION 3 PART 1 LOT 213"</f>
        <v>WOODSTREAM SECTION 3 PART 1 LOT 213</v>
      </c>
      <c r="D5218" s="1">
        <v>303.97000000000003</v>
      </c>
    </row>
    <row r="5219" spans="1:4" x14ac:dyDescent="0.3">
      <c r="A5219" s="1" t="str">
        <f>"57015199200"</f>
        <v>57015199200</v>
      </c>
      <c r="B5219" s="1" t="str">
        <f>"HAIMERL ELIZABETH G"</f>
        <v>HAIMERL ELIZABETH G</v>
      </c>
      <c r="C5219" s="1" t="str">
        <f>"HARDESTY HTS CONDO Z UNIT Z-13 "</f>
        <v xml:space="preserve">HARDESTY HTS CONDO Z UNIT Z-13 </v>
      </c>
      <c r="D5219" s="1">
        <v>2113.7199999999998</v>
      </c>
    </row>
    <row r="5220" spans="1:4" x14ac:dyDescent="0.3">
      <c r="A5220" s="1" t="str">
        <f>"01013671400"</f>
        <v>01013671400</v>
      </c>
      <c r="B5220" s="1" t="str">
        <f>"HAIRSTON CURTIS M SR"</f>
        <v>HAIRSTON CURTIS M SR</v>
      </c>
      <c r="C5220" s="1" t="str">
        <f>"ENDERLY DR ARGYLE PARK LOT 98 "</f>
        <v xml:space="preserve">ENDERLY DR ARGYLE PARK LOT 98 </v>
      </c>
      <c r="D5220" s="1">
        <v>1624.03</v>
      </c>
    </row>
    <row r="5221" spans="1:4" x14ac:dyDescent="0.3">
      <c r="A5221" s="1" t="str">
        <f>"01014996200"</f>
        <v>01014996200</v>
      </c>
      <c r="B5221" s="1" t="str">
        <f>"HAIRSTON DAMOND E"</f>
        <v>HAIRSTON DAMOND E</v>
      </c>
      <c r="C5221" s="1" t="str">
        <f>"CLARKSTON LANE LEXINGTON SECT NO 3 LOT 355"</f>
        <v>CLARKSTON LANE LEXINGTON SECT NO 3 LOT 355</v>
      </c>
      <c r="D5221" s="1">
        <v>117.79</v>
      </c>
    </row>
    <row r="5222" spans="1:4" x14ac:dyDescent="0.3">
      <c r="A5222" s="1" t="str">
        <f>"60026645700"</f>
        <v>60026645700</v>
      </c>
      <c r="B5222" s="1" t="str">
        <f>"HAIRSTON DANNY L TTEE"</f>
        <v>HAIRSTON DANNY L TTEE</v>
      </c>
      <c r="C5222" s="1" t="str">
        <f>"VILLAGE AT LITTLE TURTLE CONDOMINIUM 4TH AMD UNIT DESIGNATION 5205"</f>
        <v>VILLAGE AT LITTLE TURTLE CONDOMINIUM 4TH AMD UNIT DESIGNATION 5205</v>
      </c>
      <c r="D5222" s="1">
        <v>254.33</v>
      </c>
    </row>
    <row r="5223" spans="1:4" x14ac:dyDescent="0.3">
      <c r="A5223" s="1" t="str">
        <f>"01010168200"</f>
        <v>01010168200</v>
      </c>
      <c r="B5223" s="1" t="str">
        <f>"HAIRSTON MARVIN C"</f>
        <v>HAIRSTON MARVIN C</v>
      </c>
      <c r="C5223" s="1" t="str">
        <f>"SCOTTWOOD RD BERWICK HTS 2 LOT 325"</f>
        <v>SCOTTWOOD RD BERWICK HTS 2 LOT 325</v>
      </c>
      <c r="D5223" s="1">
        <v>7090.25</v>
      </c>
    </row>
    <row r="5224" spans="1:4" x14ac:dyDescent="0.3">
      <c r="A5224" s="1" t="str">
        <f>"01003604700"</f>
        <v>01003604700</v>
      </c>
      <c r="B5224" s="1" t="str">
        <f>"HAIRSTON MARY E, HAIRSTON DAVID A, DUNN LETITIN"</f>
        <v>HAIRSTON MARY E, HAIRSTON DAVID A, DUNN LETITIN</v>
      </c>
      <c r="C5224" s="1" t="str">
        <f>"469 N MONROE AVE JONES ADDITION LOT 40"</f>
        <v>469 N MONROE AVE JONES ADDITION LOT 40</v>
      </c>
      <c r="D5224" s="1">
        <v>623.83000000000004</v>
      </c>
    </row>
    <row r="5225" spans="1:4" x14ac:dyDescent="0.3">
      <c r="A5225" s="1" t="str">
        <f>"60022333900"</f>
        <v>60022333900</v>
      </c>
      <c r="B5225" s="1" t="str">
        <f>"HAJI ASMA ABUKAR"</f>
        <v>HAJI ASMA ABUKAR</v>
      </c>
      <c r="C5225" s="1" t="str">
        <f>"0000 BERTHSTONE DR BRANDYWINE MEADOWS 8 LOT 424"</f>
        <v>0000 BERTHSTONE DR BRANDYWINE MEADOWS 8 LOT 424</v>
      </c>
      <c r="D5225" s="1">
        <v>221.82</v>
      </c>
    </row>
    <row r="5226" spans="1:4" x14ac:dyDescent="0.3">
      <c r="A5226" s="1" t="str">
        <f>"02500945900"</f>
        <v>02500945900</v>
      </c>
      <c r="B5226" s="1" t="str">
        <f>"HAJI KHALIF I, ELMI KHADIJA"</f>
        <v>HAJI KHALIF I, ELMI KHADIJA</v>
      </c>
      <c r="C5226" s="1" t="str">
        <f>"RICE AVENUE RATHBURN WOODS ESTATES LOT 47"</f>
        <v>RICE AVENUE RATHBURN WOODS ESTATES LOT 47</v>
      </c>
      <c r="D5226" s="1">
        <v>5032.18</v>
      </c>
    </row>
    <row r="5227" spans="1:4" x14ac:dyDescent="0.3">
      <c r="A5227" s="1" t="str">
        <f>"21200133100"</f>
        <v>21200133100</v>
      </c>
      <c r="B5227" s="1" t="str">
        <f>"HAKHAMENESHI ANAHITA TTEE"</f>
        <v>HAKHAMENESHI ANAHITA TTEE</v>
      </c>
      <c r="C5227" s="1" t="str">
        <f>"COURTYARDS ON RIVERSIDE FINAL PLAT LOT 54"</f>
        <v>COURTYARDS ON RIVERSIDE FINAL PLAT LOT 54</v>
      </c>
      <c r="D5227" s="1">
        <v>10541.4</v>
      </c>
    </row>
    <row r="5228" spans="1:4" x14ac:dyDescent="0.3">
      <c r="A5228" s="1" t="str">
        <f>"01004242700"</f>
        <v>01004242700</v>
      </c>
      <c r="B5228" s="1" t="str">
        <f>"HALAL PROPERTIES LLC"</f>
        <v>HALAL PROPERTIES LLC</v>
      </c>
      <c r="C5228" s="1" t="str">
        <f>"SCHNEIDERS 12TH AVE LOT 43 "</f>
        <v xml:space="preserve">SCHNEIDERS 12TH AVE LOT 43 </v>
      </c>
      <c r="D5228" s="1">
        <v>1578.68</v>
      </c>
    </row>
    <row r="5229" spans="1:4" x14ac:dyDescent="0.3">
      <c r="A5229" s="1" t="str">
        <f>"01000400500"</f>
        <v>01000400500</v>
      </c>
      <c r="B5229" s="1" t="str">
        <f>"HALAL PROPERTIES LTD"</f>
        <v>HALAL PROPERTIES LTD</v>
      </c>
      <c r="C5229" s="1" t="str">
        <f>"306 N BURT STREET HORN LOT 42"</f>
        <v>306 N BURT STREET HORN LOT 42</v>
      </c>
      <c r="D5229" s="1">
        <v>157.55000000000001</v>
      </c>
    </row>
    <row r="5230" spans="1:4" x14ac:dyDescent="0.3">
      <c r="A5230" s="1" t="str">
        <f>"01004644000"</f>
        <v>01004644000</v>
      </c>
      <c r="B5230" s="1" t="str">
        <f>"HALAL REALTY LTD"</f>
        <v>HALAL REALTY LTD</v>
      </c>
      <c r="C5230" s="1" t="str">
        <f>"1162 PETERS AVE SA SHOEMAKER HRS LOT 198"</f>
        <v>1162 PETERS AVE SA SHOEMAKER HRS LOT 198</v>
      </c>
      <c r="D5230" s="1">
        <v>68.59</v>
      </c>
    </row>
    <row r="5231" spans="1:4" x14ac:dyDescent="0.3">
      <c r="A5231" s="1" t="str">
        <f>"01005369200"</f>
        <v>01005369200</v>
      </c>
      <c r="B5231" s="1" t="str">
        <f>"HALAL REALTY LTD"</f>
        <v>HALAL REALTY LTD</v>
      </c>
      <c r="C5231" s="1" t="str">
        <f>"1096 LEXINGTON AVE WINGEST 5TH AVE LOT 36-7"</f>
        <v>1096 LEXINGTON AVE WINGEST 5TH AVE LOT 36-7</v>
      </c>
      <c r="D5231" s="1">
        <v>1928.08</v>
      </c>
    </row>
    <row r="5232" spans="1:4" x14ac:dyDescent="0.3">
      <c r="A5232" s="1" t="str">
        <f>"01000337800"</f>
        <v>01000337800</v>
      </c>
      <c r="B5232" s="1" t="str">
        <f>"HALBERD LLC"</f>
        <v>HALBERD LLC</v>
      </c>
      <c r="C5232" s="1" t="str">
        <f>"53-55 DANA AVE W HIGH SCHOOL LOT 19"</f>
        <v>53-55 DANA AVE W HIGH SCHOOL LOT 19</v>
      </c>
      <c r="D5232" s="1">
        <v>3682.23</v>
      </c>
    </row>
    <row r="5233" spans="1:4" x14ac:dyDescent="0.3">
      <c r="A5233" s="1" t="str">
        <f>"01009955300"</f>
        <v>01009955300</v>
      </c>
      <c r="B5233" s="1" t="str">
        <f>"HALE ALVA"</f>
        <v>HALE ALVA</v>
      </c>
      <c r="C5233" s="1" t="str">
        <f>"BEECHWOOD LOT 81 "</f>
        <v xml:space="preserve">BEECHWOOD LOT 81 </v>
      </c>
      <c r="D5233" s="1">
        <v>1410.1</v>
      </c>
    </row>
    <row r="5234" spans="1:4" x14ac:dyDescent="0.3">
      <c r="A5234" s="1" t="str">
        <f>"01014081800"</f>
        <v>01014081800</v>
      </c>
      <c r="B5234" s="1" t="str">
        <f>"HALE-JAMES TIA, ELDER DESIREE NICHOLSON"</f>
        <v>HALE-JAMES TIA, ELDER DESIREE NICHOLSON</v>
      </c>
      <c r="C5234" s="1" t="str">
        <f>"HEMSWELL CT HAVILAND 4 LOT 194"</f>
        <v>HEMSWELL CT HAVILAND 4 LOT 194</v>
      </c>
      <c r="D5234" s="1">
        <v>2391.84</v>
      </c>
    </row>
    <row r="5235" spans="1:4" x14ac:dyDescent="0.3">
      <c r="A5235" s="1" t="str">
        <f>"01020202300"</f>
        <v>01020202300</v>
      </c>
      <c r="B5235" s="1" t="str">
        <f>"HALES DIANA"</f>
        <v>HALES DIANA</v>
      </c>
      <c r="C5235" s="1" t="str">
        <f>"HEDGEROW RD ENCLAVE CONDO PH 2 UNIT 2171F"</f>
        <v>HEDGEROW RD ENCLAVE CONDO PH 2 UNIT 2171F</v>
      </c>
      <c r="D5235" s="1">
        <v>1276.21</v>
      </c>
    </row>
    <row r="5236" spans="1:4" x14ac:dyDescent="0.3">
      <c r="A5236" s="1" t="str">
        <f>"01006091200"</f>
        <v>01006091200</v>
      </c>
      <c r="B5236" s="1" t="str">
        <f>"HALEY BOBBIE A"</f>
        <v>HALEY BOBBIE A</v>
      </c>
      <c r="C5236" s="1" t="str">
        <f>"INNIS CREST LOT 324 "</f>
        <v xml:space="preserve">INNIS CREST LOT 324 </v>
      </c>
      <c r="D5236" s="1">
        <v>667.29</v>
      </c>
    </row>
    <row r="5237" spans="1:4" x14ac:dyDescent="0.3">
      <c r="A5237" s="1" t="str">
        <f>"24000236100"</f>
        <v>24000236100</v>
      </c>
      <c r="B5237" s="1" t="str">
        <f>"HALEY JAN M RMDR, ISON WENDELL D LE"</f>
        <v>HALEY JAN M RMDR, ISON WENDELL D LE</v>
      </c>
      <c r="C5237" s="1" t="str">
        <f>"MAPLE DR 22FT N S LITTLE FARMS 395 "</f>
        <v xml:space="preserve">MAPLE DR 22FT N S LITTLE FARMS 395 </v>
      </c>
      <c r="D5237" s="1">
        <v>316.52</v>
      </c>
    </row>
    <row r="5238" spans="1:4" x14ac:dyDescent="0.3">
      <c r="A5238" s="1" t="str">
        <f>"10000139300"</f>
        <v>10000139300</v>
      </c>
      <c r="B5238" s="1" t="str">
        <f>"HALEY KATHRYN J, HALEY MICHAEL J"</f>
        <v>HALEY KATHRYN J, HALEY MICHAEL J</v>
      </c>
      <c r="C5238" s="1" t="str">
        <f>"293 PARK BLVD COLONIAL HILLS 2 LOTS 188-187 RES B"</f>
        <v>293 PARK BLVD COLONIAL HILLS 2 LOTS 188-187 RES B</v>
      </c>
      <c r="D5238" s="1">
        <v>409.84</v>
      </c>
    </row>
    <row r="5239" spans="1:4" x14ac:dyDescent="0.3">
      <c r="A5239" s="1" t="str">
        <f>"04001233400"</f>
        <v>04001233400</v>
      </c>
      <c r="B5239" s="1" t="str">
        <f>"HALFORD BILLY J, LUNDBERG CARL FREDRIK"</f>
        <v>HALFORD BILLY J, LUNDBERG CARL FREDRIK</v>
      </c>
      <c r="C5239" s="1" t="str">
        <f>"ENCLAVE AT CLAYBROOKE CROSSING CONDOMINIUM BLDG 23 UNIT 5021"</f>
        <v>ENCLAVE AT CLAYBROOKE CROSSING CONDOMINIUM BLDG 23 UNIT 5021</v>
      </c>
      <c r="D5239" s="1">
        <v>2228.0500000000002</v>
      </c>
    </row>
    <row r="5240" spans="1:4" x14ac:dyDescent="0.3">
      <c r="A5240" s="1" t="str">
        <f>"01004264800"</f>
        <v>01004264800</v>
      </c>
      <c r="B5240" s="1" t="str">
        <f>"HALL ANGELA"</f>
        <v>HALL ANGELA</v>
      </c>
      <c r="C5240" s="1" t="str">
        <f>"DREHER LOT 3 "</f>
        <v xml:space="preserve">DREHER LOT 3 </v>
      </c>
      <c r="D5240" s="1">
        <v>169.74</v>
      </c>
    </row>
    <row r="5241" spans="1:4" x14ac:dyDescent="0.3">
      <c r="A5241" s="1" t="str">
        <f>"01000178900"</f>
        <v>01000178900</v>
      </c>
      <c r="B5241" s="1" t="str">
        <f>"HALL ANGELA"</f>
        <v>HALL ANGELA</v>
      </c>
      <c r="C5241" s="1" t="str">
        <f>"188 N CENTRAL AVE 35FT ON CENTRAL AVE 150 FT"</f>
        <v>188 N CENTRAL AVE 35FT ON CENTRAL AVE 150 FT</v>
      </c>
      <c r="D5241" s="1">
        <v>4770.1499999999996</v>
      </c>
    </row>
    <row r="5242" spans="1:4" x14ac:dyDescent="0.3">
      <c r="A5242" s="1" t="str">
        <f>"01000187800"</f>
        <v>01000187800</v>
      </c>
      <c r="B5242" s="1" t="str">
        <f>"HALL ANGELA"</f>
        <v>HALL ANGELA</v>
      </c>
      <c r="C5242" s="1" t="str">
        <f>"CENTRAL AVE DREHER LOT 2"</f>
        <v>CENTRAL AVE DREHER LOT 2</v>
      </c>
      <c r="D5242" s="1">
        <v>169.74</v>
      </c>
    </row>
    <row r="5243" spans="1:4" x14ac:dyDescent="0.3">
      <c r="A5243" s="1" t="str">
        <f>"15000139600"</f>
        <v>15000139600</v>
      </c>
      <c r="B5243" s="1" t="str">
        <f>"HALL BROOKE NOELLE"</f>
        <v>HALL BROOKE NOELLE</v>
      </c>
      <c r="C5243" s="1" t="str">
        <f>"4968 FISHBURN ST HAMILTON MEADOWS 6 LOT 594"</f>
        <v>4968 FISHBURN ST HAMILTON MEADOWS 6 LOT 594</v>
      </c>
      <c r="D5243" s="1">
        <v>1214.97</v>
      </c>
    </row>
    <row r="5244" spans="1:4" x14ac:dyDescent="0.3">
      <c r="A5244" s="1" t="str">
        <f>"06000638000"</f>
        <v>06000638000</v>
      </c>
      <c r="B5244" s="1" t="str">
        <f>"HALL CHARLES S IV, HALL NATASHA NAOMI"</f>
        <v>HALL CHARLES S IV, HALL NATASHA NAOMI</v>
      </c>
      <c r="C5244" s="1" t="str">
        <f>"OLD HIGHBANKS CT VILLAGE STONEY CRK LOT 19"</f>
        <v>OLD HIGHBANKS CT VILLAGE STONEY CRK LOT 19</v>
      </c>
      <c r="D5244" s="1">
        <v>241.58</v>
      </c>
    </row>
    <row r="5245" spans="1:4" x14ac:dyDescent="0.3">
      <c r="A5245" s="1" t="str">
        <f>"11000329800"</f>
        <v>11000329800</v>
      </c>
      <c r="B5245" s="1" t="str">
        <f>"HALL DONALD J"</f>
        <v>HALL DONALD J</v>
      </c>
      <c r="C5245" s="1" t="str">
        <f>"5590 MADRID DR H C HUBER PLAT 48 SEC 3 1366"</f>
        <v>5590 MADRID DR H C HUBER PLAT 48 SEC 3 1366</v>
      </c>
      <c r="D5245" s="1">
        <v>3123.4</v>
      </c>
    </row>
    <row r="5246" spans="1:4" x14ac:dyDescent="0.3">
      <c r="A5246" s="1" t="str">
        <f>"18400110200"</f>
        <v>18400110200</v>
      </c>
      <c r="B5246" s="1" t="str">
        <f>"HALL JOHN M, HALL CAMILLA K"</f>
        <v>HALL JOHN M, HALL CAMILLA K</v>
      </c>
      <c r="C5246" s="1" t="str">
        <f>"WINCHESTER VIL SEC 1 CHESTERVILLE DR LOT 10"</f>
        <v>WINCHESTER VIL SEC 1 CHESTERVILLE DR LOT 10</v>
      </c>
      <c r="D5246" s="1">
        <v>5924.12</v>
      </c>
    </row>
    <row r="5247" spans="1:4" x14ac:dyDescent="0.3">
      <c r="A5247" s="1" t="str">
        <f>"01000977500"</f>
        <v>01000977500</v>
      </c>
      <c r="B5247" s="1" t="str">
        <f>"HALL KEITH J, HUNT MARY"</f>
        <v>HALL KEITH J, HUNT MARY</v>
      </c>
      <c r="C5247" s="1" t="str">
        <f>"40 SCHULTZ AVE BELMONT LOT 109"</f>
        <v>40 SCHULTZ AVE BELMONT LOT 109</v>
      </c>
      <c r="D5247" s="1">
        <v>100.21</v>
      </c>
    </row>
    <row r="5248" spans="1:4" x14ac:dyDescent="0.3">
      <c r="A5248" s="1" t="str">
        <f>"01013472600"</f>
        <v>01013472600</v>
      </c>
      <c r="B5248" s="1" t="str">
        <f>"HALL KELLY M"</f>
        <v>HALL KELLY M</v>
      </c>
      <c r="C5248" s="1" t="str">
        <f>"QUEENSROWE DR QUEENSROWE LOT 10"</f>
        <v>QUEENSROWE DR QUEENSROWE LOT 10</v>
      </c>
      <c r="D5248" s="1">
        <v>1675.47</v>
      </c>
    </row>
    <row r="5249" spans="1:4" x14ac:dyDescent="0.3">
      <c r="A5249" s="1" t="str">
        <f>"01023977700"</f>
        <v>01023977700</v>
      </c>
      <c r="B5249" s="1" t="str">
        <f>"HALL LORETTA"</f>
        <v>HALL LORETTA</v>
      </c>
      <c r="C5249" s="1" t="str">
        <f>"RETRIEVER ROAD CHATTERTON SECTION 1 LOT 96"</f>
        <v>RETRIEVER ROAD CHATTERTON SECTION 1 LOT 96</v>
      </c>
      <c r="D5249" s="1">
        <v>4086.03</v>
      </c>
    </row>
    <row r="5250" spans="1:4" x14ac:dyDescent="0.3">
      <c r="A5250" s="1" t="str">
        <f>"49022534000"</f>
        <v>49022534000</v>
      </c>
      <c r="B5250" s="1" t="str">
        <f>"HALL LUTHER, CUNNINGHAM ANTHONY D"</f>
        <v>HALL LUTHER, CUNNINGHAM ANTHONY D</v>
      </c>
      <c r="C5250" s="1" t="str">
        <f>"NORTHBEND DRIVE ESSEX PLACE SEC 1 LOT 38"</f>
        <v>NORTHBEND DRIVE ESSEX PLACE SEC 1 LOT 38</v>
      </c>
      <c r="D5250" s="1">
        <v>2131.4</v>
      </c>
    </row>
    <row r="5251" spans="1:4" x14ac:dyDescent="0.3">
      <c r="A5251" s="1" t="str">
        <f>"55015616500"</f>
        <v>55015616500</v>
      </c>
      <c r="B5251" s="1" t="str">
        <f>"HALL MARCUS"</f>
        <v>HALL MARCUS</v>
      </c>
      <c r="C5251" s="1" t="str">
        <f>"MANOR DR IDLEWILD MANOR EXT LOT 25"</f>
        <v>MANOR DR IDLEWILD MANOR EXT LOT 25</v>
      </c>
      <c r="D5251" s="1">
        <v>70.22</v>
      </c>
    </row>
    <row r="5252" spans="1:4" x14ac:dyDescent="0.3">
      <c r="A5252" s="1" t="str">
        <f>"01006529300"</f>
        <v>01006529300</v>
      </c>
      <c r="B5252" s="1" t="str">
        <f>"HALL MICHAEL"</f>
        <v>HALL MICHAEL</v>
      </c>
      <c r="C5252" s="1" t="str">
        <f>"MYRTLE AVE 1964 &amp; 2393 TAYLOR AVE MULBER PARK LOT 44"</f>
        <v>MYRTLE AVE 1964 &amp; 2393 TAYLOR AVE MULBER PARK LOT 44</v>
      </c>
      <c r="D5252" s="1">
        <v>463.23</v>
      </c>
    </row>
    <row r="5253" spans="1:4" x14ac:dyDescent="0.3">
      <c r="A5253" s="1" t="str">
        <f>"01006978400"</f>
        <v>01006978400</v>
      </c>
      <c r="B5253" s="1" t="str">
        <f>"HALL MICHAEL L, HALL VERONICA M"</f>
        <v>HALL MICHAEL L, HALL VERONICA M</v>
      </c>
      <c r="C5253" s="1" t="str">
        <f>"962-964 17TH AVE HIGHLAND PLC LOT 189"</f>
        <v>962-964 17TH AVE HIGHLAND PLC LOT 189</v>
      </c>
      <c r="D5253" s="1">
        <v>1381.21</v>
      </c>
    </row>
    <row r="5254" spans="1:4" x14ac:dyDescent="0.3">
      <c r="A5254" s="1" t="str">
        <f>"01004844700"</f>
        <v>01004844700</v>
      </c>
      <c r="B5254" s="1" t="str">
        <f>"HALL MICHAEL, HALL VERONICA"</f>
        <v>HALL MICHAEL, HALL VERONICA</v>
      </c>
      <c r="C5254" s="1" t="str">
        <f>"95103 E 17TH AVE DREXEL PARK LOT 212"</f>
        <v>95103 E 17TH AVE DREXEL PARK LOT 212</v>
      </c>
      <c r="D5254" s="1">
        <v>1457.83</v>
      </c>
    </row>
    <row r="5255" spans="1:4" x14ac:dyDescent="0.3">
      <c r="A5255" s="1" t="str">
        <f>"01011948100"</f>
        <v>01011948100</v>
      </c>
      <c r="B5255" s="1" t="str">
        <f>"HALL ROY C JR"</f>
        <v>HALL ROY C JR</v>
      </c>
      <c r="C5255" s="1" t="str">
        <f>"2864 GIBSON DR SCIOTO VILLAGE LOT 130"</f>
        <v>2864 GIBSON DR SCIOTO VILLAGE LOT 130</v>
      </c>
      <c r="D5255" s="1">
        <v>93.44</v>
      </c>
    </row>
    <row r="5256" spans="1:4" x14ac:dyDescent="0.3">
      <c r="A5256" s="1" t="str">
        <f>"01020895500"</f>
        <v>01020895500</v>
      </c>
      <c r="B5256" s="1" t="str">
        <f>"HALL SCOTT L, HALL VICKIE"</f>
        <v>HALL SCOTT L, HALL VICKIE</v>
      </c>
      <c r="C5256" s="1" t="s">
        <v>32</v>
      </c>
      <c r="D5256" s="1">
        <v>175.21</v>
      </c>
    </row>
    <row r="5257" spans="1:4" x14ac:dyDescent="0.3">
      <c r="A5257" s="1" t="str">
        <f>"01019972000"</f>
        <v>01019972000</v>
      </c>
      <c r="B5257" s="1" t="str">
        <f>"HALL SCOTT L, HALL VICKIE L"</f>
        <v>HALL SCOTT L, HALL VICKIE L</v>
      </c>
      <c r="C5257" s="1" t="str">
        <f>"ALISSA LN MCNAUGHTEN EST SUB LOT 7"</f>
        <v>ALISSA LN MCNAUGHTEN EST SUB LOT 7</v>
      </c>
      <c r="D5257" s="1">
        <v>2644.9</v>
      </c>
    </row>
    <row r="5258" spans="1:4" x14ac:dyDescent="0.3">
      <c r="A5258" s="1" t="str">
        <f>"01023128400"</f>
        <v>01023128400</v>
      </c>
      <c r="B5258" s="1" t="str">
        <f>"HALL STEPHANIE, JOHNSON KELLEY"</f>
        <v>HALL STEPHANIE, JOHNSON KELLEY</v>
      </c>
      <c r="C5258" s="1" t="str">
        <f>"433 TREVITT STREET WESLEY SAWYER ARMS 54.04'WL SE LOT 76"</f>
        <v>433 TREVITT STREET WESLEY SAWYER ARMS 54.04'WL SE LOT 76</v>
      </c>
      <c r="D5258" s="1">
        <v>1458.35</v>
      </c>
    </row>
    <row r="5259" spans="1:4" x14ac:dyDescent="0.3">
      <c r="A5259" s="1" t="str">
        <f>"18000057800"</f>
        <v>18000057800</v>
      </c>
      <c r="B5259" s="1" t="str">
        <f>"HALL TERRY G, HALL DAVID W"</f>
        <v>HALL TERRY G, HALL DAVID W</v>
      </c>
      <c r="C5259" s="1" t="str">
        <f>"FLOYD DR EDGEWATER PARK PARCELS 36FT ES LOT 9"</f>
        <v>FLOYD DR EDGEWATER PARK PARCELS 36FT ES LOT 9</v>
      </c>
      <c r="D5259" s="1">
        <v>388.63</v>
      </c>
    </row>
    <row r="5260" spans="1:4" x14ac:dyDescent="0.3">
      <c r="A5260" s="1" t="str">
        <f>"18000010500"</f>
        <v>18000010500</v>
      </c>
      <c r="B5260" s="1" t="str">
        <f>"HALL TERRY G, HALL DAVID W"</f>
        <v>HALL TERRY G, HALL DAVID W</v>
      </c>
      <c r="C5260" s="1" t="str">
        <f>"4497 FLOYD DR EDGEWATER PARK PARCELS LOT 8"</f>
        <v>4497 FLOYD DR EDGEWATER PARK PARCELS LOT 8</v>
      </c>
      <c r="D5260" s="1">
        <v>179.96</v>
      </c>
    </row>
    <row r="5261" spans="1:4" x14ac:dyDescent="0.3">
      <c r="A5261" s="1" t="str">
        <f>"18000070000"</f>
        <v>18000070000</v>
      </c>
      <c r="B5261" s="1" t="str">
        <f>"HALL TERRY G, HALL DAVID W"</f>
        <v>HALL TERRY G, HALL DAVID W</v>
      </c>
      <c r="C5261" s="1" t="str">
        <f>"POWELL RD EDGEWATER PARK PARCELS SOUTH 108"</f>
        <v>POWELL RD EDGEWATER PARK PARCELS SOUTH 108</v>
      </c>
      <c r="D5261" s="1">
        <v>137.84</v>
      </c>
    </row>
    <row r="5262" spans="1:4" x14ac:dyDescent="0.3">
      <c r="A5262" s="1" t="str">
        <f>"05001014000"</f>
        <v>05001014000</v>
      </c>
      <c r="B5262" s="1" t="str">
        <f>"HALL VICTORIA H"</f>
        <v>HALL VICTORIA H</v>
      </c>
      <c r="C5262" s="1" t="str">
        <f>"THE MANORS AT HOMESTEAD CONDOMINIUM UNIT 3"</f>
        <v>THE MANORS AT HOMESTEAD CONDOMINIUM UNIT 3</v>
      </c>
      <c r="D5262" s="1">
        <v>6227.28</v>
      </c>
    </row>
    <row r="5263" spans="1:4" x14ac:dyDescent="0.3">
      <c r="A5263" s="1" t="str">
        <f>"01020487000"</f>
        <v>01020487000</v>
      </c>
      <c r="B5263" s="1" t="str">
        <f>"HALL WILLIE L, HALL SHIRLEY M"</f>
        <v>HALL WILLIE L, HALL SHIRLEY M</v>
      </c>
      <c r="C5263" s="1" t="str">
        <f>"BRAYTON AVENUE WALNUT BLUFF 7 LOT 1330"</f>
        <v>BRAYTON AVENUE WALNUT BLUFF 7 LOT 1330</v>
      </c>
      <c r="D5263" s="1">
        <v>2668.45</v>
      </c>
    </row>
    <row r="5264" spans="1:4" x14ac:dyDescent="0.3">
      <c r="A5264" s="1" t="str">
        <f>"01009510600"</f>
        <v>01009510600</v>
      </c>
      <c r="B5264" s="1" t="str">
        <f>"HALL-BALDUF SUSAN TR"</f>
        <v>HALL-BALDUF SUSAN TR</v>
      </c>
      <c r="C5264" s="1" t="str">
        <f>"HOWEY RD N GRASMERE AMD LOT 26"</f>
        <v>HOWEY RD N GRASMERE AMD LOT 26</v>
      </c>
      <c r="D5264" s="1">
        <v>87.14</v>
      </c>
    </row>
    <row r="5265" spans="1:4" x14ac:dyDescent="0.3">
      <c r="A5265" s="1" t="str">
        <f>"09000273900"</f>
        <v>09000273900</v>
      </c>
      <c r="B5265" s="1" t="str">
        <f>"HALLER BRIAN"</f>
        <v>HALLER BRIAN</v>
      </c>
      <c r="C5265" s="1" t="str">
        <f>"4135 ELBERN AVE PINEWOOD LOT 274 "</f>
        <v xml:space="preserve">4135 ELBERN AVE PINEWOOD LOT 274 </v>
      </c>
      <c r="D5265" s="1">
        <v>2790.27</v>
      </c>
    </row>
    <row r="5266" spans="1:4" x14ac:dyDescent="0.3">
      <c r="A5266" s="1" t="str">
        <f>"25000687400"</f>
        <v>25000687400</v>
      </c>
      <c r="B5266" s="1" t="str">
        <f>"HALLER RICHARD, HALLER SUSAN"</f>
        <v>HALLER RICHARD, HALLER SUSAN</v>
      </c>
      <c r="C5266" s="1" t="str">
        <f>"8221 WINDSONG CT WINDSONG CONDO 1 BLDG 12 UNIT 12"</f>
        <v>8221 WINDSONG CT WINDSONG CONDO 1 BLDG 12 UNIT 12</v>
      </c>
      <c r="D5266" s="1">
        <v>721.47</v>
      </c>
    </row>
    <row r="5267" spans="1:4" x14ac:dyDescent="0.3">
      <c r="A5267" s="1" t="str">
        <f>"60021175300"</f>
        <v>60021175300</v>
      </c>
      <c r="B5267" s="1" t="str">
        <f>"HALLIDAY NICHOLAS JORDAN, HALLIDAY JORDAN MARIE"</f>
        <v>HALLIDAY NICHOLAS JORDAN, HALLIDAY JORDAN MARIE</v>
      </c>
      <c r="C5267" s="1" t="str">
        <f>"MOUNTAIN SPRINGS CT BLENDON ESTATES SECTION 2 LOT 118"</f>
        <v>MOUNTAIN SPRINGS CT BLENDON ESTATES SECTION 2 LOT 118</v>
      </c>
      <c r="D5267" s="1">
        <v>285.48</v>
      </c>
    </row>
    <row r="5268" spans="1:4" x14ac:dyDescent="0.3">
      <c r="A5268" s="1" t="str">
        <f>"02501227000"</f>
        <v>02501227000</v>
      </c>
      <c r="B5268" s="1" t="str">
        <f>"HALTER MICHAEL"</f>
        <v>HALTER MICHAEL</v>
      </c>
      <c r="C5268" s="1" t="str">
        <f>"CROSSROADS COMMERCE       CENTER BUILDING 5         CONDOMINIUMS UNIT 750A   "</f>
        <v xml:space="preserve">CROSSROADS COMMERCE       CENTER BUILDING 5         CONDOMINIUMS UNIT 750A   </v>
      </c>
      <c r="D5268" s="1">
        <v>10982.39</v>
      </c>
    </row>
    <row r="5269" spans="1:4" x14ac:dyDescent="0.3">
      <c r="A5269" s="1" t="str">
        <f>"01001118700"</f>
        <v>01001118700</v>
      </c>
      <c r="B5269" s="1" t="str">
        <f>"HALTERMAN CURTIS A, HALTERMAN ODA M"</f>
        <v>HALTERMAN CURTIS A, HALTERMAN ODA M</v>
      </c>
      <c r="C5269" s="1" t="str">
        <f>"167 OGDEN AVE WICKLOW LOT 217"</f>
        <v>167 OGDEN AVE WICKLOW LOT 217</v>
      </c>
      <c r="D5269" s="1">
        <v>593.51</v>
      </c>
    </row>
    <row r="5270" spans="1:4" x14ac:dyDescent="0.3">
      <c r="A5270" s="1" t="str">
        <f>"01003475200"</f>
        <v>01003475200</v>
      </c>
      <c r="B5270" s="1" t="str">
        <f>"HALTERMAN CURTIS A, HALTERMAN ODA MAE"</f>
        <v>HALTERMAN CURTIS A, HALTERMAN ODA MAE</v>
      </c>
      <c r="C5270" s="1" t="str">
        <f>"175 S OGDEN AVE WICKLOW LOT 216"</f>
        <v>175 S OGDEN AVE WICKLOW LOT 216</v>
      </c>
      <c r="D5270" s="1">
        <v>271.32</v>
      </c>
    </row>
    <row r="5271" spans="1:4" x14ac:dyDescent="0.3">
      <c r="A5271" s="1" t="str">
        <f>"25300288700"</f>
        <v>25300288700</v>
      </c>
      <c r="B5271" s="1" t="str">
        <f>"HALVERSON LINDA TR"</f>
        <v>HALVERSON LINDA TR</v>
      </c>
      <c r="C5271" s="1" t="str">
        <f>"DOVER CT PT AL VAC VAN DE BOE HAGER CO 11 LOT 227"</f>
        <v>DOVER CT PT AL VAC VAN DE BOE HAGER CO 11 LOT 227</v>
      </c>
      <c r="D5271" s="1">
        <v>1561.33</v>
      </c>
    </row>
    <row r="5272" spans="1:4" x14ac:dyDescent="0.3">
      <c r="A5272" s="1" t="str">
        <f>"06000184800"</f>
        <v>06000184800</v>
      </c>
      <c r="B5272" s="1" t="str">
        <f>"HAMAD WAIEL N"</f>
        <v>HAMAD WAIEL N</v>
      </c>
      <c r="C5272" s="1" t="str">
        <f>"5998 LIVINGSTON AVE 202 FT N E IDLEWILD MANOR L 123"</f>
        <v>5998 LIVINGSTON AVE 202 FT N E IDLEWILD MANOR L 123</v>
      </c>
      <c r="D5272" s="1">
        <v>8408.33</v>
      </c>
    </row>
    <row r="5273" spans="1:4" x14ac:dyDescent="0.3">
      <c r="A5273" s="1" t="str">
        <f>"06000184700"</f>
        <v>06000184700</v>
      </c>
      <c r="B5273" s="1" t="str">
        <f>"HAMAD WAIEL N"</f>
        <v>HAMAD WAIEL N</v>
      </c>
      <c r="C5273" s="1" t="str">
        <f>"LIVINGSTON AVE 202 FT N E IDLEWILD MANOR L 122"</f>
        <v>LIVINGSTON AVE 202 FT N E IDLEWILD MANOR L 122</v>
      </c>
      <c r="D5273" s="1">
        <v>6112.9</v>
      </c>
    </row>
    <row r="5274" spans="1:4" x14ac:dyDescent="0.3">
      <c r="A5274" s="1" t="str">
        <f>"06000184900"</f>
        <v>06000184900</v>
      </c>
      <c r="B5274" s="1" t="str">
        <f>"HAMAD WAIEL N"</f>
        <v>HAMAD WAIEL N</v>
      </c>
      <c r="C5274" s="1" t="str">
        <f>"LIVINGSTON AVE 202 FT N E IDLEWILD MANOR L 124"</f>
        <v>LIVINGSTON AVE 202 FT N E IDLEWILD MANOR L 124</v>
      </c>
      <c r="D5274" s="1">
        <v>5318.79</v>
      </c>
    </row>
    <row r="5275" spans="1:4" x14ac:dyDescent="0.3">
      <c r="A5275" s="1" t="str">
        <f>"01011632200"</f>
        <v>01011632200</v>
      </c>
      <c r="B5275" s="1" t="str">
        <f>"HAMBLETON DOUGLAS L"</f>
        <v>HAMBLETON DOUGLAS L</v>
      </c>
      <c r="C5275" s="1" t="str">
        <f>"GARRETT DR BEAUTY VIEW LOT 17"</f>
        <v>GARRETT DR BEAUTY VIEW LOT 17</v>
      </c>
      <c r="D5275" s="1">
        <v>4606.34</v>
      </c>
    </row>
    <row r="5276" spans="1:4" x14ac:dyDescent="0.3">
      <c r="A5276" s="1" t="str">
        <f>"01010485900"</f>
        <v>01010485900</v>
      </c>
      <c r="B5276" s="1" t="str">
        <f>"HAMBRICK PAMELA L"</f>
        <v>HAMBRICK PAMELA L</v>
      </c>
      <c r="C5276" s="1" t="str">
        <f>"MINERVA AVE CHASELAND MANOR LOT 82"</f>
        <v>MINERVA AVE CHASELAND MANOR LOT 82</v>
      </c>
      <c r="D5276" s="1">
        <v>2009.07</v>
      </c>
    </row>
    <row r="5277" spans="1:4" x14ac:dyDescent="0.3">
      <c r="A5277" s="1" t="str">
        <f>"16000146500"</f>
        <v>16000146500</v>
      </c>
      <c r="B5277" s="1" t="str">
        <f>"HAMBY BETTY H TTEE"</f>
        <v>HAMBY BETTY H TTEE</v>
      </c>
      <c r="C5277" s="1" t="str">
        <f>"LONDON GROVEPORT RD ENTRY 1105 1.539 ACRES"</f>
        <v>LONDON GROVEPORT RD ENTRY 1105 1.539 ACRES</v>
      </c>
      <c r="D5277" s="1">
        <v>1994.04</v>
      </c>
    </row>
    <row r="5278" spans="1:4" x14ac:dyDescent="0.3">
      <c r="A5278" s="1" t="str">
        <f>"57022177400"</f>
        <v>57022177400</v>
      </c>
      <c r="B5278" s="1" t="str">
        <f>"HAMBY HOLLY RAE"</f>
        <v>HAMBY HOLLY RAE</v>
      </c>
      <c r="C5278" s="1" t="str">
        <f>"GREEN FRIAR DR NOTTINGHAM LOT 26"</f>
        <v>GREEN FRIAR DR NOTTINGHAM LOT 26</v>
      </c>
      <c r="D5278" s="1">
        <v>1671.41</v>
      </c>
    </row>
    <row r="5279" spans="1:4" x14ac:dyDescent="0.3">
      <c r="A5279" s="1" t="str">
        <f>"60016871500"</f>
        <v>60016871500</v>
      </c>
      <c r="B5279" s="1" t="str">
        <f>"HAMED OMAYMA"</f>
        <v>HAMED OMAYMA</v>
      </c>
      <c r="C5279" s="1" t="str">
        <f>"TENABO AVE FOREST HILLS EAST 2 LOT 212"</f>
        <v>TENABO AVE FOREST HILLS EAST 2 LOT 212</v>
      </c>
      <c r="D5279" s="1">
        <v>2665.43</v>
      </c>
    </row>
    <row r="5280" spans="1:4" x14ac:dyDescent="0.3">
      <c r="A5280" s="1" t="str">
        <f>"51527114500"</f>
        <v>51527114500</v>
      </c>
      <c r="B5280" s="1" t="str">
        <f>"HAMER STEPHEN C"</f>
        <v>HAMER STEPHEN C</v>
      </c>
      <c r="C5280" s="1" t="str">
        <f>"DORCHESTER GREEN          CONDOMINIUM               BLDG 7 UNIT 7-D          "</f>
        <v xml:space="preserve">DORCHESTER GREEN          CONDOMINIUM               BLDG 7 UNIT 7-D          </v>
      </c>
      <c r="D5280" s="1">
        <v>172.28</v>
      </c>
    </row>
    <row r="5281" spans="1:4" x14ac:dyDescent="0.3">
      <c r="A5281" s="1" t="str">
        <f>"60021812600"</f>
        <v>60021812600</v>
      </c>
      <c r="B5281" s="1" t="str">
        <f>"HAMILTON EVAN M, HAMILTON JENNIFER L"</f>
        <v>HAMILTON EVAN M, HAMILTON JENNIFER L</v>
      </c>
      <c r="C5281" s="1" t="str">
        <f>"ARUBA DRIVE SUNBURY LAKE LOT 12"</f>
        <v>ARUBA DRIVE SUNBURY LAKE LOT 12</v>
      </c>
      <c r="D5281" s="1">
        <v>2415.83</v>
      </c>
    </row>
    <row r="5282" spans="1:4" x14ac:dyDescent="0.3">
      <c r="A5282" s="1" t="str">
        <f>"01008475700"</f>
        <v>01008475700</v>
      </c>
      <c r="B5282" s="1" t="str">
        <f>"HAMILTON JENNIFER L TR, BREWER RITA LYNNE LE, BREWER MARK J LE"</f>
        <v>HAMILTON JENNIFER L TR, BREWER RITA LYNNE LE, BREWER MARK J LE</v>
      </c>
      <c r="C5282" s="1" t="str">
        <f>"WETMORE RD 84 &amp; 102 BEECHMONT DR VA HIGHLAND GRDNS 2"</f>
        <v>WETMORE RD 84 &amp; 102 BEECHMONT DR VA HIGHLAND GRDNS 2</v>
      </c>
      <c r="D5282" s="1">
        <v>3631.33</v>
      </c>
    </row>
    <row r="5283" spans="1:4" x14ac:dyDescent="0.3">
      <c r="A5283" s="1" t="str">
        <f>"23000328000"</f>
        <v>23000328000</v>
      </c>
      <c r="B5283" s="1" t="str">
        <f>"HAMILTON LAURIE M"</f>
        <v>HAMILTON LAURIE M</v>
      </c>
      <c r="C5283" s="1" t="str">
        <f>"ALKIRE RD VMS 3481-7541-7637-8580 3.001 ACRES"</f>
        <v>ALKIRE RD VMS 3481-7541-7637-8580 3.001 ACRES</v>
      </c>
      <c r="D5283" s="1">
        <v>970.29</v>
      </c>
    </row>
    <row r="5284" spans="1:4" x14ac:dyDescent="0.3">
      <c r="A5284" s="1" t="str">
        <f>"08000344800"</f>
        <v>08000344800</v>
      </c>
      <c r="B5284" s="1" t="str">
        <f>"HAMILTON PAULA R, HAMILTON HAL"</f>
        <v>HAMILTON PAULA R, HAMILTON HAL</v>
      </c>
      <c r="C5284" s="1" t="str">
        <f>"685 OLD COACH RD ANNEHURST VILLAGE 3 LOT 81"</f>
        <v>685 OLD COACH RD ANNEHURST VILLAGE 3 LOT 81</v>
      </c>
      <c r="D5284" s="1">
        <v>3855.34</v>
      </c>
    </row>
    <row r="5285" spans="1:4" x14ac:dyDescent="0.3">
      <c r="A5285" s="1" t="str">
        <f>"01026025100"</f>
        <v>01026025100</v>
      </c>
      <c r="B5285" s="1" t="str">
        <f>"HAMILTON TONYA"</f>
        <v>HAMILTON TONYA</v>
      </c>
      <c r="C5285" s="1" t="str">
        <f>"KNOLL RUN ROAD ALKIRE LAKES SECTION 4 PART 1 LOT 202"</f>
        <v>KNOLL RUN ROAD ALKIRE LAKES SECTION 4 PART 1 LOT 202</v>
      </c>
      <c r="D5285" s="1">
        <v>2199.15</v>
      </c>
    </row>
    <row r="5286" spans="1:4" x14ac:dyDescent="0.3">
      <c r="A5286" s="1" t="str">
        <f>"01010030000"</f>
        <v>01010030000</v>
      </c>
      <c r="B5286" s="1" t="str">
        <f>"HAMM STEVE"</f>
        <v>HAMM STEVE</v>
      </c>
      <c r="C5286" s="1" t="str">
        <f>"SIMPSON DR SHADYLANDPARK LOT 248"</f>
        <v>SIMPSON DR SHADYLANDPARK LOT 248</v>
      </c>
      <c r="D5286" s="1">
        <v>3003.76</v>
      </c>
    </row>
    <row r="5287" spans="1:4" x14ac:dyDescent="0.3">
      <c r="A5287" s="1" t="str">
        <f>"01006901200"</f>
        <v>01006901200</v>
      </c>
      <c r="B5287" s="1" t="str">
        <f>"HAMM SUSAN C"</f>
        <v>HAMM SUSAN C</v>
      </c>
      <c r="C5287" s="1" t="str">
        <f>"607 CHESTERSHIRE RD WILSHIRE HEIGHTS LOT 15 BLK 26"</f>
        <v>607 CHESTERSHIRE RD WILSHIRE HEIGHTS LOT 15 BLK 26</v>
      </c>
      <c r="D5287" s="1">
        <v>149.85</v>
      </c>
    </row>
    <row r="5288" spans="1:4" x14ac:dyDescent="0.3">
      <c r="A5288" s="1" t="str">
        <f>"01001976900"</f>
        <v>01001976900</v>
      </c>
      <c r="B5288" s="1" t="str">
        <f>"HAMMACK JAMES W, HAMMACK COLLEEN E"</f>
        <v>HAMMACK JAMES W, HAMMACK COLLEEN E</v>
      </c>
      <c r="C5288" s="1" t="str">
        <f>"864 THOMAS AVE OSBORN PL LOT 341"</f>
        <v>864 THOMAS AVE OSBORN PL LOT 341</v>
      </c>
      <c r="D5288" s="1">
        <v>912.98</v>
      </c>
    </row>
    <row r="5289" spans="1:4" x14ac:dyDescent="0.3">
      <c r="A5289" s="1" t="str">
        <f>"01032995400"</f>
        <v>01032995400</v>
      </c>
      <c r="B5289" s="1" t="str">
        <f>"HAMMER OUT HOMES INC"</f>
        <v>HAMMER OUT HOMES INC</v>
      </c>
      <c r="C5289" s="1" t="str">
        <f>"EAST SIDE TOWNHOMES CONDOMINIUM UNIT 1012 "</f>
        <v xml:space="preserve">EAST SIDE TOWNHOMES CONDOMINIUM UNIT 1012 </v>
      </c>
      <c r="D5289" s="1">
        <v>1888.25</v>
      </c>
    </row>
    <row r="5290" spans="1:4" x14ac:dyDescent="0.3">
      <c r="A5290" s="1" t="str">
        <f>"01032995500"</f>
        <v>01032995500</v>
      </c>
      <c r="B5290" s="1" t="str">
        <f>"HAMMER OUT HOMES INC"</f>
        <v>HAMMER OUT HOMES INC</v>
      </c>
      <c r="C5290" s="1" t="str">
        <f>"EAST SIDE TOWNHOMES CONDOMINIUM UNIT 1010 "</f>
        <v xml:space="preserve">EAST SIDE TOWNHOMES CONDOMINIUM UNIT 1010 </v>
      </c>
      <c r="D5290" s="1">
        <v>1569.69</v>
      </c>
    </row>
    <row r="5291" spans="1:4" x14ac:dyDescent="0.3">
      <c r="A5291" s="1" t="str">
        <f>"01032995600"</f>
        <v>01032995600</v>
      </c>
      <c r="B5291" s="1" t="str">
        <f>"HAMMER OUT HOMES INC"</f>
        <v>HAMMER OUT HOMES INC</v>
      </c>
      <c r="C5291" s="1" t="str">
        <f>"EAST SIDE TOWNHOMES CONDOMINIUM UNIT 1008 "</f>
        <v xml:space="preserve">EAST SIDE TOWNHOMES CONDOMINIUM UNIT 1008 </v>
      </c>
      <c r="D5291" s="1">
        <v>1687.04</v>
      </c>
    </row>
    <row r="5292" spans="1:4" x14ac:dyDescent="0.3">
      <c r="A5292" s="1" t="str">
        <f>"01032995700"</f>
        <v>01032995700</v>
      </c>
      <c r="B5292" s="1" t="str">
        <f>"HAMMER OUT HOMES INC"</f>
        <v>HAMMER OUT HOMES INC</v>
      </c>
      <c r="C5292" s="1" t="str">
        <f>"EAST SIDE TOWNHOMES CONDOMINIUM UNIT 1006 "</f>
        <v xml:space="preserve">EAST SIDE TOWNHOMES CONDOMINIUM UNIT 1006 </v>
      </c>
      <c r="D5292" s="1">
        <v>1713.71</v>
      </c>
    </row>
    <row r="5293" spans="1:4" x14ac:dyDescent="0.3">
      <c r="A5293" s="1" t="str">
        <f>"01032995800"</f>
        <v>01032995800</v>
      </c>
      <c r="B5293" s="1" t="str">
        <f>"HAMMER OUT HOMES INC"</f>
        <v>HAMMER OUT HOMES INC</v>
      </c>
      <c r="C5293" s="1" t="str">
        <f>"EAST SIDE TOWNHOMES CONDOMINIUM UNIT 1004 "</f>
        <v xml:space="preserve">EAST SIDE TOWNHOMES CONDOMINIUM UNIT 1004 </v>
      </c>
      <c r="D5293" s="1">
        <v>2035.61</v>
      </c>
    </row>
    <row r="5294" spans="1:4" x14ac:dyDescent="0.3">
      <c r="A5294" s="1" t="str">
        <f>"01023447300"</f>
        <v>01023447300</v>
      </c>
      <c r="B5294" s="1" t="str">
        <f>"HAMMER-HUBER THOMAS S"</f>
        <v>HAMMER-HUBER THOMAS S</v>
      </c>
      <c r="C5294" s="1" t="str">
        <f>"BLENDON PARK CONDOMINIUM UNIT 6A"</f>
        <v>BLENDON PARK CONDOMINIUM UNIT 6A</v>
      </c>
      <c r="D5294" s="1">
        <v>3581.51</v>
      </c>
    </row>
    <row r="5295" spans="1:4" x14ac:dyDescent="0.3">
      <c r="A5295" s="1" t="str">
        <f>"01004732700"</f>
        <v>01004732700</v>
      </c>
      <c r="B5295" s="1" t="str">
        <f>"HAMMOND BRYAN K, HAMMOND VANESSA L"</f>
        <v>HAMMOND BRYAN K, HAMMOND VANESSA L</v>
      </c>
      <c r="C5295" s="1" t="str">
        <f>"147 S PRINCETON AVE WEST HIGH SCHOOL LOT 104"</f>
        <v>147 S PRINCETON AVE WEST HIGH SCHOOL LOT 104</v>
      </c>
      <c r="D5295" s="1">
        <v>905.73</v>
      </c>
    </row>
    <row r="5296" spans="1:4" x14ac:dyDescent="0.3">
      <c r="A5296" s="1" t="str">
        <f>"24000232600"</f>
        <v>24000232600</v>
      </c>
      <c r="B5296" s="1" t="str">
        <f>"HAMMOND CLIFFORD JR, HAMMOND DONNA FAYE"</f>
        <v>HAMMOND CLIFFORD JR, HAMMOND DONNA FAYE</v>
      </c>
      <c r="C5296" s="1" t="str">
        <f>"FERNHILL AVE ROME MANOR LOT 533"</f>
        <v>FERNHILL AVE ROME MANOR LOT 533</v>
      </c>
      <c r="D5296" s="1">
        <v>250.69</v>
      </c>
    </row>
    <row r="5297" spans="1:4" x14ac:dyDescent="0.3">
      <c r="A5297" s="1" t="str">
        <f>"24000232700"</f>
        <v>24000232700</v>
      </c>
      <c r="B5297" s="1" t="str">
        <f>"HAMMOND CLIFFORD JR, HAMMOND DONNA FAYE"</f>
        <v>HAMMOND CLIFFORD JR, HAMMOND DONNA FAYE</v>
      </c>
      <c r="C5297" s="1" t="str">
        <f>"72 FERNHILL AVE ROME MANOR LOT 534"</f>
        <v>72 FERNHILL AVE ROME MANOR LOT 534</v>
      </c>
      <c r="D5297" s="1">
        <v>1350.2</v>
      </c>
    </row>
    <row r="5298" spans="1:4" x14ac:dyDescent="0.3">
      <c r="A5298" s="1" t="str">
        <f>"06000410300"</f>
        <v>06000410300</v>
      </c>
      <c r="B5298" s="1" t="str">
        <f>"HAMMOND LORI L"</f>
        <v>HAMMOND LORI L</v>
      </c>
      <c r="C5298" s="1" t="str">
        <f>"RETTON RD BRICE ESTATES 5 LOT 148"</f>
        <v>RETTON RD BRICE ESTATES 5 LOT 148</v>
      </c>
      <c r="D5298" s="1">
        <v>3586.8</v>
      </c>
    </row>
    <row r="5299" spans="1:4" x14ac:dyDescent="0.3">
      <c r="A5299" s="1" t="str">
        <f>"61028042600"</f>
        <v>61028042600</v>
      </c>
      <c r="B5299" s="1" t="str">
        <f>"HAMMOND MICHAEL K, HAMMOND RONALD E, HAMMOND GREGORY E, HAMMOND ALAN L"</f>
        <v>HAMMOND MICHAEL K, HAMMOND RONALD E, HAMMOND GREGORY E, HAMMOND ALAN L</v>
      </c>
      <c r="C5299" s="1" t="str">
        <f>"THE TRADITIONS AT HIGHBLUFFS CONDOMINIUMS BLDG 35 UNIT 8315"</f>
        <v>THE TRADITIONS AT HIGHBLUFFS CONDOMINIUMS BLDG 35 UNIT 8315</v>
      </c>
      <c r="D5299" s="1">
        <v>10777.52</v>
      </c>
    </row>
    <row r="5300" spans="1:4" x14ac:dyDescent="0.3">
      <c r="A5300" s="1" t="str">
        <f>"06000915100"</f>
        <v>06000915100</v>
      </c>
      <c r="B5300" s="1" t="str">
        <f>"HAMMOND ROBERTA"</f>
        <v>HAMMOND ROBERTA</v>
      </c>
      <c r="C5300" s="1" t="str">
        <f>"VILLAGE AT SLATE RIDGE CONDOMINIUMS 2ND AMD BLDG 3 UNIT 7398"</f>
        <v>VILLAGE AT SLATE RIDGE CONDOMINIUMS 2ND AMD BLDG 3 UNIT 7398</v>
      </c>
      <c r="D5300" s="1">
        <v>2322.06</v>
      </c>
    </row>
    <row r="5301" spans="1:4" x14ac:dyDescent="0.3">
      <c r="A5301" s="1" t="str">
        <f>"01011535100"</f>
        <v>01011535100</v>
      </c>
      <c r="B5301" s="1" t="str">
        <f>"HAMMOND WILLIE JR"</f>
        <v>HAMMOND WILLIE JR</v>
      </c>
      <c r="C5301" s="1" t="str">
        <f>"ROBINWOOD RD. MASON-COOPER BUCKEYE LOT 45"</f>
        <v>ROBINWOOD RD. MASON-COOPER BUCKEYE LOT 45</v>
      </c>
      <c r="D5301" s="1">
        <v>137.87</v>
      </c>
    </row>
    <row r="5302" spans="1:4" x14ac:dyDescent="0.3">
      <c r="A5302" s="1" t="str">
        <f>"17000197000"</f>
        <v>17000197000</v>
      </c>
      <c r="B5302" s="1" t="str">
        <f>"HAMPSTEAD PROPERTY LLC"</f>
        <v>HAMPSTEAD PROPERTY LLC</v>
      </c>
      <c r="C5302" s="1" t="str">
        <f>"COLTS NECK RD RESUBDIVISION LOT 1  2.063 ACRES"</f>
        <v>COLTS NECK RD RESUBDIVISION LOT 1  2.063 ACRES</v>
      </c>
      <c r="D5302" s="1">
        <v>876.57</v>
      </c>
    </row>
    <row r="5303" spans="1:4" x14ac:dyDescent="0.3">
      <c r="A5303" s="1" t="str">
        <f>"56021688700"</f>
        <v>56021688700</v>
      </c>
      <c r="B5303" s="1" t="str">
        <f>"HAMPTON AARON L, HAMPTON DEBORAH A"</f>
        <v>HAMPTON AARON L, HAMPTON DEBORAH A</v>
      </c>
      <c r="C5303" s="1" t="str">
        <f>"CROSS CREEK VILLAGE SECTION 7 LOT 572"</f>
        <v>CROSS CREEK VILLAGE SECTION 7 LOT 572</v>
      </c>
      <c r="D5303" s="1">
        <v>5490.84</v>
      </c>
    </row>
    <row r="5304" spans="1:4" x14ac:dyDescent="0.3">
      <c r="A5304" s="1" t="str">
        <f>"01001301400"</f>
        <v>01001301400</v>
      </c>
      <c r="B5304" s="1" t="str">
        <f>"HAMPTON CAMILLE C, HAMPTON CHARLES L"</f>
        <v>HAMPTON CAMILLE C, HAMPTON CHARLES L</v>
      </c>
      <c r="C5304" s="1" t="str">
        <f>"JOHNSON ST W E HORN'S SUB LOT 29 (27.5'X 105')"</f>
        <v>JOHNSON ST W E HORN'S SUB LOT 29 (27.5'X 105')</v>
      </c>
      <c r="D5304" s="1">
        <v>949.87</v>
      </c>
    </row>
    <row r="5305" spans="1:4" x14ac:dyDescent="0.3">
      <c r="A5305" s="1" t="str">
        <f>"25415192900"</f>
        <v>25415192900</v>
      </c>
      <c r="B5305" s="1" t="str">
        <f>"HAMPTON CHARLENE JUNE TTEE"</f>
        <v>HAMPTON CHARLENE JUNE TTEE</v>
      </c>
      <c r="C5305" s="1" t="str">
        <f>"BRIARBANK DR BRIARBANK 2 LOT 6"</f>
        <v>BRIARBANK DR BRIARBANK 2 LOT 6</v>
      </c>
      <c r="D5305" s="1">
        <v>218.03</v>
      </c>
    </row>
    <row r="5306" spans="1:4" x14ac:dyDescent="0.3">
      <c r="A5306" s="1" t="str">
        <f>"01001560700"</f>
        <v>01001560700</v>
      </c>
      <c r="B5306" s="1" t="str">
        <f>"HAMPTON JOHN"</f>
        <v>HAMPTON JOHN</v>
      </c>
      <c r="C5306" s="1" t="str">
        <f>"LINTON PARCELS SUB 14 &amp; PT RES "</f>
        <v xml:space="preserve">LINTON PARCELS SUB 14 &amp; PT RES </v>
      </c>
      <c r="D5306" s="1">
        <v>3332.47</v>
      </c>
    </row>
    <row r="5307" spans="1:4" x14ac:dyDescent="0.3">
      <c r="A5307" s="1" t="str">
        <f>"01012829100"</f>
        <v>01012829100</v>
      </c>
      <c r="B5307" s="1" t="str">
        <f>"HAMPTON KENNETH R"</f>
        <v>HAMPTON KENNETH R</v>
      </c>
      <c r="C5307" s="1" t="str">
        <f>"MOLLY LANE INNIS GARDENS 2 LOT 27"</f>
        <v>MOLLY LANE INNIS GARDENS 2 LOT 27</v>
      </c>
      <c r="D5307" s="1">
        <v>2974.75</v>
      </c>
    </row>
    <row r="5308" spans="1:4" x14ac:dyDescent="0.3">
      <c r="A5308" s="1" t="str">
        <f>"01002054500"</f>
        <v>01002054500</v>
      </c>
      <c r="B5308" s="1" t="str">
        <f>"HAMPTON MENZULA, CARSON CHARLES"</f>
        <v>HAMPTON MENZULA, CARSON CHARLES</v>
      </c>
      <c r="C5308" s="1" t="str">
        <f>"518 N CHAMPION AVE E L MCVEYS 20 FT N S LOT 32"</f>
        <v>518 N CHAMPION AVE E L MCVEYS 20 FT N S LOT 32</v>
      </c>
      <c r="D5308" s="1">
        <v>1155.8800000000001</v>
      </c>
    </row>
    <row r="5309" spans="1:4" x14ac:dyDescent="0.3">
      <c r="A5309" s="1" t="str">
        <f>"59020412900"</f>
        <v>59020412900</v>
      </c>
      <c r="B5309" s="1" t="str">
        <f>"HAN GLORIA A, HAN BRUCE MYONG HO"</f>
        <v>HAN GLORIA A, HAN BRUCE MYONG HO</v>
      </c>
      <c r="C5309" s="1" t="str">
        <f>"TANGAREY COURT MCKITRICK ESTATES SECTION 9 LOT 214"</f>
        <v>TANGAREY COURT MCKITRICK ESTATES SECTION 9 LOT 214</v>
      </c>
      <c r="D5309" s="1">
        <v>1265.4000000000001</v>
      </c>
    </row>
    <row r="5310" spans="1:4" x14ac:dyDescent="0.3">
      <c r="A5310" s="1" t="str">
        <f>"01007291500"</f>
        <v>01007291500</v>
      </c>
      <c r="B5310" s="1" t="str">
        <f>"HANAS KAREN"</f>
        <v>HANAS KAREN</v>
      </c>
      <c r="C5310" s="1" t="str">
        <f>"2545 OCEOLA ALMADA LOT 184"</f>
        <v>2545 OCEOLA ALMADA LOT 184</v>
      </c>
      <c r="D5310" s="1">
        <v>756.25</v>
      </c>
    </row>
    <row r="5311" spans="1:4" x14ac:dyDescent="0.3">
      <c r="A5311" s="1" t="str">
        <f>"01000019000"</f>
        <v>01000019000</v>
      </c>
      <c r="B5311" s="1" t="str">
        <f>"HANAS KAREN K"</f>
        <v>HANAS KAREN K</v>
      </c>
      <c r="C5311" s="1" t="str">
        <f>"569 LATHROP STREET KRAUSS LOT 5"</f>
        <v>569 LATHROP STREET KRAUSS LOT 5</v>
      </c>
      <c r="D5311" s="1">
        <v>719.69</v>
      </c>
    </row>
    <row r="5312" spans="1:4" x14ac:dyDescent="0.3">
      <c r="A5312" s="1" t="str">
        <f>"60030365000"</f>
        <v>60030365000</v>
      </c>
      <c r="B5312" s="1" t="str">
        <f>"HANCOCK ANGE MARIE TTEE"</f>
        <v>HANCOCK ANGE MARIE TTEE</v>
      </c>
      <c r="C5312" s="1" t="str">
        <f>"THE COVE SECTION 2 LOT 45"</f>
        <v>THE COVE SECTION 2 LOT 45</v>
      </c>
      <c r="D5312" s="1">
        <v>650.49</v>
      </c>
    </row>
    <row r="5313" spans="1:4" x14ac:dyDescent="0.3">
      <c r="A5313" s="1" t="str">
        <f>"56021522000"</f>
        <v>56021522000</v>
      </c>
      <c r="B5313" s="1" t="str">
        <f>"HANCOCK ROBERT A, HANCOCK MARY E"</f>
        <v>HANCOCK ROBERT A, HANCOCK MARY E</v>
      </c>
      <c r="C5313" s="1" t="str">
        <f>"HILLIARD HEIGHTS CONDOMINIUM 3RD AMD UNIT 14A"</f>
        <v>HILLIARD HEIGHTS CONDOMINIUM 3RD AMD UNIT 14A</v>
      </c>
      <c r="D5313" s="1">
        <v>1774.41</v>
      </c>
    </row>
    <row r="5314" spans="1:4" x14ac:dyDescent="0.3">
      <c r="A5314" s="1" t="str">
        <f>"01005728300"</f>
        <v>01005728300</v>
      </c>
      <c r="B5314" s="1" t="str">
        <f>"HAND HOPE, HAND-LANG HOPE"</f>
        <v>HAND HOPE, HAND-LANG HOPE</v>
      </c>
      <c r="C5314" s="1" t="str">
        <f>"PARSONS AVE JACOB ZIMPFER HRS LOTS 4 &amp; 5"</f>
        <v>PARSONS AVE JACOB ZIMPFER HRS LOTS 4 &amp; 5</v>
      </c>
      <c r="D5314" s="1">
        <v>1531.64</v>
      </c>
    </row>
    <row r="5315" spans="1:4" x14ac:dyDescent="0.3">
      <c r="A5315" s="1" t="str">
        <f>"58026263600"</f>
        <v>58026263600</v>
      </c>
      <c r="B5315" s="1" t="str">
        <f>"HANDLAN ALLEN L TR (ALLEN L HANDLAN TRUST), HANDLAN ELIZABETH W TR"</f>
        <v>HANDLAN ALLEN L TR (ALLEN L HANDLAN TRUST), HANDLAN ELIZABETH W TR</v>
      </c>
      <c r="C5315" s="1" t="str">
        <f>"CONDOMINIUM AT LANE WOODS 4TH AMD BLDG 4 UNIT 3060"</f>
        <v>CONDOMINIUM AT LANE WOODS 4TH AMD BLDG 4 UNIT 3060</v>
      </c>
      <c r="D5315" s="1">
        <v>728.34</v>
      </c>
    </row>
    <row r="5316" spans="1:4" x14ac:dyDescent="0.3">
      <c r="A5316" s="1" t="str">
        <f>"01001552500"</f>
        <v>01001552500</v>
      </c>
      <c r="B5316" s="1" t="str">
        <f>"HANDLER REAL ESTATE LLC"</f>
        <v>HANDLER REAL ESTATE LLC</v>
      </c>
      <c r="C5316" s="1" t="str">
        <f>"0.591 ACRE 2040 FAIRWOOD AVE "</f>
        <v xml:space="preserve">0.591 ACRE 2040 FAIRWOOD AVE </v>
      </c>
      <c r="D5316" s="1">
        <v>524.08000000000004</v>
      </c>
    </row>
    <row r="5317" spans="1:4" x14ac:dyDescent="0.3">
      <c r="A5317" s="1" t="str">
        <f>"18500058500"</f>
        <v>18500058500</v>
      </c>
      <c r="B5317" s="1" t="str">
        <f>"HANDZEL DAVID"</f>
        <v>HANDZEL DAVID</v>
      </c>
      <c r="C5317" s="1" t="str">
        <f>"MAIN ST R21 T11 S27-28 0.413 ACRE"</f>
        <v>MAIN ST R21 T11 S27-28 0.413 ACRE</v>
      </c>
      <c r="D5317" s="1">
        <v>1866.3</v>
      </c>
    </row>
    <row r="5318" spans="1:4" x14ac:dyDescent="0.3">
      <c r="A5318" s="1" t="str">
        <f>"01010024000"</f>
        <v>01010024000</v>
      </c>
      <c r="B5318" s="1" t="str">
        <f>"HANER SHANE R, HANER ELIZABETH"</f>
        <v>HANER SHANE R, HANER ELIZABETH</v>
      </c>
      <c r="C5318" s="1" t="str">
        <f>"SIMPSON DR SHADY LANE PARK LOT 188"</f>
        <v>SIMPSON DR SHADY LANE PARK LOT 188</v>
      </c>
      <c r="D5318" s="1">
        <v>1511.37</v>
      </c>
    </row>
    <row r="5319" spans="1:4" x14ac:dyDescent="0.3">
      <c r="A5319" s="1" t="str">
        <f>"24000344100"</f>
        <v>24000344100</v>
      </c>
      <c r="B5319" s="1" t="str">
        <f>"HANEY JAMES T"</f>
        <v>HANEY JAMES T</v>
      </c>
      <c r="C5319" s="1" t="str">
        <f>"HAMDEN WAY LINCOLN VILLAGE 301 "</f>
        <v xml:space="preserve">HAMDEN WAY LINCOLN VILLAGE 301 </v>
      </c>
      <c r="D5319" s="1">
        <v>71.010000000000005</v>
      </c>
    </row>
    <row r="5320" spans="1:4" x14ac:dyDescent="0.3">
      <c r="A5320" s="1" t="str">
        <f>"01002219300"</f>
        <v>01002219300</v>
      </c>
      <c r="B5320" s="1" t="str">
        <f>"HANFORD BROWNSTONES LLC"</f>
        <v>HANFORD BROWNSTONES LLC</v>
      </c>
      <c r="C5320" s="1" t="str">
        <f>"HANFORD ST. J SCHMIDT LOT 3-4"</f>
        <v>HANFORD ST. J SCHMIDT LOT 3-4</v>
      </c>
      <c r="D5320" s="1">
        <v>4492.1099999999997</v>
      </c>
    </row>
    <row r="5321" spans="1:4" x14ac:dyDescent="0.3">
      <c r="A5321" s="1" t="str">
        <f>"01002219600"</f>
        <v>01002219600</v>
      </c>
      <c r="B5321" s="1" t="str">
        <f>"HANFORD BROWNSTONES LLC"</f>
        <v>HANFORD BROWNSTONES LLC</v>
      </c>
      <c r="C5321" s="1" t="str">
        <f>" HANFORD ST J SCHMIDT LOT 5-6-7"</f>
        <v xml:space="preserve"> HANFORD ST J SCHMIDT LOT 5-6-7</v>
      </c>
      <c r="D5321" s="1">
        <v>8854.32</v>
      </c>
    </row>
    <row r="5322" spans="1:4" x14ac:dyDescent="0.3">
      <c r="A5322" s="1" t="str">
        <f>"01000137700"</f>
        <v>01000137700</v>
      </c>
      <c r="B5322" s="1" t="str">
        <f>"HANGER SHARON L"</f>
        <v>HANGER SHARON L</v>
      </c>
      <c r="C5322" s="1" t="str">
        <f>"407 SIEBERT WIRTH BARTH &amp; HUBER LOT 13"</f>
        <v>407 SIEBERT WIRTH BARTH &amp; HUBER LOT 13</v>
      </c>
      <c r="D5322" s="1">
        <v>1298.68</v>
      </c>
    </row>
    <row r="5323" spans="1:4" x14ac:dyDescent="0.3">
      <c r="A5323" s="1" t="str">
        <f>"01003493900"</f>
        <v>01003493900</v>
      </c>
      <c r="B5323" s="1" t="str">
        <f>"HANLEY DOROTHY P TR"</f>
        <v>HANLEY DOROTHY P TR</v>
      </c>
      <c r="C5323" s="1" t="str">
        <f>"661 MILLER AVE W M FULLER SUB 1 "</f>
        <v xml:space="preserve">661 MILLER AVE W M FULLER SUB 1 </v>
      </c>
      <c r="D5323" s="1">
        <v>208.81</v>
      </c>
    </row>
    <row r="5324" spans="1:4" x14ac:dyDescent="0.3">
      <c r="A5324" s="1" t="str">
        <f>"01003620700"</f>
        <v>01003620700</v>
      </c>
      <c r="B5324" s="1" t="str">
        <f>"HANLEY DOROTHY P TR"</f>
        <v>HANLEY DOROTHY P TR</v>
      </c>
      <c r="C5324" s="1" t="str">
        <f>"674-76 MILLER AVE 10 FT SSL 81&amp;23.5FT NSL 82 T MILLER LT 81-82"</f>
        <v>674-76 MILLER AVE 10 FT SSL 81&amp;23.5FT NSL 82 T MILLER LT 81-82</v>
      </c>
      <c r="D5324" s="1">
        <v>1124.69</v>
      </c>
    </row>
    <row r="5325" spans="1:4" x14ac:dyDescent="0.3">
      <c r="A5325" s="1" t="str">
        <f>"18400037600"</f>
        <v>18400037600</v>
      </c>
      <c r="B5325" s="1" t="str">
        <f>"HANNA HARRY H III, HANNA CHRISTINA A"</f>
        <v>HANNA HARRY H III, HANNA CHRISTINA A</v>
      </c>
      <c r="C5325" s="1" t="str">
        <f>"COLUMBUS ST .375 AC OUT 1 "</f>
        <v xml:space="preserve">COLUMBUS ST .375 AC OUT 1 </v>
      </c>
      <c r="D5325" s="1">
        <v>336.36</v>
      </c>
    </row>
    <row r="5326" spans="1:4" x14ac:dyDescent="0.3">
      <c r="A5326" s="1" t="str">
        <f>"01028546100"</f>
        <v>01028546100</v>
      </c>
      <c r="B5326" s="1" t="str">
        <f>"HANNA JOHN JAY"</f>
        <v>HANNA JOHN JAY</v>
      </c>
      <c r="C5326" s="1" t="str">
        <f>"TRADITIONS AT ROCKY FORK CONDOMINIUM 7TH AMD BLDG 7 UNIT 6470"</f>
        <v>TRADITIONS AT ROCKY FORK CONDOMINIUM 7TH AMD BLDG 7 UNIT 6470</v>
      </c>
      <c r="D5326" s="1">
        <v>3904.82</v>
      </c>
    </row>
    <row r="5327" spans="1:4" x14ac:dyDescent="0.3">
      <c r="A5327" s="1" t="str">
        <f>"01028546200"</f>
        <v>01028546200</v>
      </c>
      <c r="B5327" s="1" t="str">
        <f>"HANNA JOHN JAY"</f>
        <v>HANNA JOHN JAY</v>
      </c>
      <c r="C5327" s="1" t="str">
        <f>"TRADITIONS AT ROCKY FORK CONDOMINIUM 7TH AMD UNIT G-76/G-75 (GARAGE)"</f>
        <v>TRADITIONS AT ROCKY FORK CONDOMINIUM 7TH AMD UNIT G-76/G-75 (GARAGE)</v>
      </c>
      <c r="D5327" s="1">
        <v>128.44</v>
      </c>
    </row>
    <row r="5328" spans="1:4" x14ac:dyDescent="0.3">
      <c r="A5328" s="1" t="str">
        <f>"01016387100"</f>
        <v>01016387100</v>
      </c>
      <c r="B5328" s="1" t="str">
        <f>"HANNAH MIRANDA ROSE, BINNING SANDRA KAY"</f>
        <v>HANNAH MIRANDA ROSE, BINNING SANDRA KAY</v>
      </c>
      <c r="C5328" s="1" t="str">
        <f>"COLONY HILL CONDOMINIUM SEC ONE BLDG 10 UNIT 44"</f>
        <v>COLONY HILL CONDOMINIUM SEC ONE BLDG 10 UNIT 44</v>
      </c>
      <c r="D5328" s="1">
        <v>808.68</v>
      </c>
    </row>
    <row r="5329" spans="1:4" x14ac:dyDescent="0.3">
      <c r="A5329" s="1" t="str">
        <f>"14000406100"</f>
        <v>14000406100</v>
      </c>
      <c r="B5329" s="1" t="str">
        <f>"HANSEL LINDA C"</f>
        <v>HANSEL LINDA C</v>
      </c>
      <c r="C5329" s="1" t="str">
        <f>"990 HART RD PT LOT 40 RICHTERS "</f>
        <v xml:space="preserve">990 HART RD PT LOT 40 RICHTERS </v>
      </c>
      <c r="D5329" s="1">
        <v>1506.1</v>
      </c>
    </row>
    <row r="5330" spans="1:4" x14ac:dyDescent="0.3">
      <c r="A5330" s="1" t="str">
        <f>"01004066000"</f>
        <v>01004066000</v>
      </c>
      <c r="B5330" s="1" t="str">
        <f>"HANSEL SUSAN H"</f>
        <v>HANSEL SUSAN H</v>
      </c>
      <c r="C5330" s="1" t="str">
        <f>"721 JAEGER ST 100.71 FT E E OF 23 B F MARTIN"</f>
        <v>721 JAEGER ST 100.71 FT E E OF 23 B F MARTIN</v>
      </c>
      <c r="D5330" s="1">
        <v>3780.15</v>
      </c>
    </row>
    <row r="5331" spans="1:4" x14ac:dyDescent="0.3">
      <c r="A5331" s="1" t="str">
        <f>"01004199700"</f>
        <v>01004199700</v>
      </c>
      <c r="B5331" s="1" t="str">
        <f>"HANSFORD MARK A"</f>
        <v>HANSFORD MARK A</v>
      </c>
      <c r="C5331" s="1" t="str">
        <f>"339 S HAGUE AVE CAMP CHASE HTS LOT 475"</f>
        <v>339 S HAGUE AVE CAMP CHASE HTS LOT 475</v>
      </c>
      <c r="D5331" s="1">
        <v>1705.47</v>
      </c>
    </row>
    <row r="5332" spans="1:4" x14ac:dyDescent="0.3">
      <c r="A5332" s="1" t="str">
        <f>"59019204500"</f>
        <v>59019204500</v>
      </c>
      <c r="B5332" s="1" t="str">
        <f>"HANSGROVE RUDRA VENTURES LLC"</f>
        <v>HANSGROVE RUDRA VENTURES LLC</v>
      </c>
      <c r="C5332" s="1" t="str">
        <f>"SALTERGATE VILLAGE TOWNHOMES CONDO BLDG 10 UNIT 7760"</f>
        <v>SALTERGATE VILLAGE TOWNHOMES CONDO BLDG 10 UNIT 7760</v>
      </c>
      <c r="D5332" s="1">
        <v>760.69</v>
      </c>
    </row>
    <row r="5333" spans="1:4" x14ac:dyDescent="0.3">
      <c r="A5333" s="1" t="str">
        <f>"14000105700"</f>
        <v>14000105700</v>
      </c>
      <c r="B5333" s="1" t="str">
        <f>"HANSON DANNY"</f>
        <v>HANSON DANNY</v>
      </c>
      <c r="C5333" s="1" t="str">
        <f>"1590 HUMPHREY AVE HUMPHREY 10 "</f>
        <v xml:space="preserve">1590 HUMPHREY AVE HUMPHREY 10 </v>
      </c>
      <c r="D5333" s="1">
        <v>1114.97</v>
      </c>
    </row>
    <row r="5334" spans="1:4" x14ac:dyDescent="0.3">
      <c r="A5334" s="1" t="str">
        <f>"01000165600"</f>
        <v>01000165600</v>
      </c>
      <c r="B5334" s="1" t="str">
        <f>"HANSON DANNY"</f>
        <v>HANSON DANNY</v>
      </c>
      <c r="C5334" s="1" t="str">
        <f>"855 BELLOWS AVE OSBORN PLACE LOT 180"</f>
        <v>855 BELLOWS AVE OSBORN PLACE LOT 180</v>
      </c>
      <c r="D5334" s="1">
        <v>925.12</v>
      </c>
    </row>
    <row r="5335" spans="1:4" x14ac:dyDescent="0.3">
      <c r="A5335" s="1" t="str">
        <f>"01009413100"</f>
        <v>01009413100</v>
      </c>
      <c r="B5335" s="1" t="str">
        <f>"HANSON JOHN A"</f>
        <v>HANSON JOHN A</v>
      </c>
      <c r="C5335" s="1" t="str">
        <f>"SUNCREST DR WM TRAPPE HEIRS LOT 11"</f>
        <v>SUNCREST DR WM TRAPPE HEIRS LOT 11</v>
      </c>
      <c r="D5335" s="1">
        <v>765.35</v>
      </c>
    </row>
    <row r="5336" spans="1:4" x14ac:dyDescent="0.3">
      <c r="A5336" s="1" t="str">
        <f>"01010633400"</f>
        <v>01010633400</v>
      </c>
      <c r="B5336" s="1" t="str">
        <f>"HAPPY LOAN LLC"</f>
        <v>HAPPY LOAN LLC</v>
      </c>
      <c r="C5336" s="1" t="str">
        <f>"LIVINGSTON AVE LEA-WOOD GARDENS LOT 233"</f>
        <v>LIVINGSTON AVE LEA-WOOD GARDENS LOT 233</v>
      </c>
      <c r="D5336" s="1">
        <v>3258.11</v>
      </c>
    </row>
    <row r="5337" spans="1:4" x14ac:dyDescent="0.3">
      <c r="A5337" s="1" t="str">
        <f>"01002837800"</f>
        <v>01002837800</v>
      </c>
      <c r="B5337" s="1" t="str">
        <f>"HAPPY SPACES LLC"</f>
        <v>HAPPY SPACES LLC</v>
      </c>
      <c r="C5337" s="1" t="str">
        <f>"428 ST CLAIR AVE RICHARD JONES ESTATES LOT 44"</f>
        <v>428 ST CLAIR AVE RICHARD JONES ESTATES LOT 44</v>
      </c>
      <c r="D5337" s="1">
        <v>48.27</v>
      </c>
    </row>
    <row r="5338" spans="1:4" x14ac:dyDescent="0.3">
      <c r="A5338" s="1" t="str">
        <f>"01004533100"</f>
        <v>01004533100</v>
      </c>
      <c r="B5338" s="1" t="str">
        <f>"HAPPY SPACES LLC, FOUNTAIN MANAGEMENT GROUP LLC"</f>
        <v>HAPPY SPACES LLC, FOUNTAIN MANAGEMENT GROUP LLC</v>
      </c>
      <c r="C5338" s="1" t="str">
        <f>"HAMILTON AVENUE GARRISON PARK PLACE PT LOT 157"</f>
        <v>HAMILTON AVENUE GARRISON PARK PLACE PT LOT 157</v>
      </c>
      <c r="D5338" s="1">
        <v>21.05</v>
      </c>
    </row>
    <row r="5339" spans="1:4" x14ac:dyDescent="0.3">
      <c r="A5339" s="1" t="str">
        <f>"17000187800"</f>
        <v>17000187800</v>
      </c>
      <c r="B5339" s="1" t="str">
        <f>"HAQUE ALI, HAQUE NADIA"</f>
        <v>HAQUE ALI, HAQUE NADIA</v>
      </c>
      <c r="C5339" s="1" t="str">
        <f>"6429 DARLING RD R16 T1 1/4T2 2.000 ACS (0.224 AC R/W)"</f>
        <v>6429 DARLING RD R16 T1 1/4T2 2.000 ACS (0.224 AC R/W)</v>
      </c>
      <c r="D5339" s="1">
        <v>4157.42</v>
      </c>
    </row>
    <row r="5340" spans="1:4" x14ac:dyDescent="0.3">
      <c r="A5340" s="1" t="str">
        <f>"02000207400"</f>
        <v>02000207400</v>
      </c>
      <c r="B5340" s="1" t="str">
        <f>"HARACHIS MARY ANN TR"</f>
        <v>HARACHIS MARY ANN TR</v>
      </c>
      <c r="C5340" s="1" t="str">
        <f>"758 FRANCIS AVE HAMILTON GARDEN PT LOT 35"</f>
        <v>758 FRANCIS AVE HAMILTON GARDEN PT LOT 35</v>
      </c>
      <c r="D5340" s="1">
        <v>6937.78</v>
      </c>
    </row>
    <row r="5341" spans="1:4" x14ac:dyDescent="0.3">
      <c r="A5341" s="1" t="str">
        <f>"01009331100"</f>
        <v>01009331100</v>
      </c>
      <c r="B5341" s="1" t="str">
        <f>"HARAS FREDDY, GUZMAN RACQUEL S"</f>
        <v>HARAS FREDDY, GUZMAN RACQUEL S</v>
      </c>
      <c r="C5341" s="1" t="str">
        <f>"HOMECROFT DR OAK PARK 5 LOT 28"</f>
        <v>HOMECROFT DR OAK PARK 5 LOT 28</v>
      </c>
      <c r="D5341" s="1">
        <v>179.14</v>
      </c>
    </row>
    <row r="5342" spans="1:4" x14ac:dyDescent="0.3">
      <c r="A5342" s="1" t="str">
        <f>"56020715900"</f>
        <v>56020715900</v>
      </c>
      <c r="B5342" s="1" t="str">
        <f>"HARD WESLEY F, ROCHON DARLENE"</f>
        <v>HARD WESLEY F, ROCHON DARLENE</v>
      </c>
      <c r="C5342" s="1" t="str">
        <f>"CHAPS COURT SADDLEBROOK SEC 6 LOT 261"</f>
        <v>CHAPS COURT SADDLEBROOK SEC 6 LOT 261</v>
      </c>
      <c r="D5342" s="1">
        <v>4680.1400000000003</v>
      </c>
    </row>
    <row r="5343" spans="1:4" x14ac:dyDescent="0.3">
      <c r="A5343" s="1" t="str">
        <f>"18400307400"</f>
        <v>18400307400</v>
      </c>
      <c r="B5343" s="1" t="str">
        <f>"HARDEN MILDRED J"</f>
        <v>HARDEN MILDRED J</v>
      </c>
      <c r="C5343" s="1" t="str">
        <f>"CHARLESTON LAKE CONDOMINIUM 6TH AMD BLDG 14 UNIT 6562"</f>
        <v>CHARLESTON LAKE CONDOMINIUM 6TH AMD BLDG 14 UNIT 6562</v>
      </c>
      <c r="D5343" s="1">
        <v>2604.81</v>
      </c>
    </row>
    <row r="5344" spans="1:4" x14ac:dyDescent="0.3">
      <c r="A5344" s="1" t="str">
        <f>"57024388100"</f>
        <v>57024388100</v>
      </c>
      <c r="B5344" s="1" t="str">
        <f>"HARDESTY DANITA A, HARDESTY DANIEL E"</f>
        <v>HARDESTY DANITA A, HARDESTY DANIEL E</v>
      </c>
      <c r="C5344" s="1" t="str">
        <f>"ALAMEDA DRIVE HOLT PARK SECTION 1 LOT 100"</f>
        <v>ALAMEDA DRIVE HOLT PARK SECTION 1 LOT 100</v>
      </c>
      <c r="D5344" s="1">
        <v>1002.47</v>
      </c>
    </row>
    <row r="5345" spans="1:4" x14ac:dyDescent="0.3">
      <c r="A5345" s="1" t="str">
        <f>"05001079200"</f>
        <v>05001079200</v>
      </c>
      <c r="B5345" s="1" t="str">
        <f>"HARDIE ROBERTA"</f>
        <v>HARDIE ROBERTA</v>
      </c>
      <c r="C5345" s="1" t="str">
        <f>"ASHLEIGH VILLAGE          CONDOMINIUM 1ST AMD       BLD 12 UNIT 4889         "</f>
        <v xml:space="preserve">ASHLEIGH VILLAGE          CONDOMINIUM 1ST AMD       BLD 12 UNIT 4889         </v>
      </c>
      <c r="D5345" s="1">
        <v>3857.74</v>
      </c>
    </row>
    <row r="5346" spans="1:4" x14ac:dyDescent="0.3">
      <c r="A5346" s="1" t="str">
        <f>"01012627500"</f>
        <v>01012627500</v>
      </c>
      <c r="B5346" s="1" t="str">
        <f>"HARDIMON BARRETTA, PHILLIPS JEFFREY A, PHILLIPS TRINA E"</f>
        <v>HARDIMON BARRETTA, PHILLIPS JEFFREY A, PHILLIPS TRINA E</v>
      </c>
      <c r="C5346" s="1" t="str">
        <f>"SAMPSON AVE AMERICAN ADDN LOT 150"</f>
        <v>SAMPSON AVE AMERICAN ADDN LOT 150</v>
      </c>
      <c r="D5346" s="1">
        <v>254.84</v>
      </c>
    </row>
    <row r="5347" spans="1:4" x14ac:dyDescent="0.3">
      <c r="A5347" s="1" t="str">
        <f>"01013339400"</f>
        <v>01013339400</v>
      </c>
      <c r="B5347" s="1" t="str">
        <f>"HARDIN KENNETHA"</f>
        <v>HARDIN KENNETHA</v>
      </c>
      <c r="C5347" s="1" t="str">
        <f>"FELIX DR SOUTHFIELD 3 LOT 293"</f>
        <v>FELIX DR SOUTHFIELD 3 LOT 293</v>
      </c>
      <c r="D5347" s="1">
        <v>132</v>
      </c>
    </row>
    <row r="5348" spans="1:4" x14ac:dyDescent="0.3">
      <c r="A5348" s="1" t="str">
        <f>"57028510300"</f>
        <v>57028510300</v>
      </c>
      <c r="B5348" s="1" t="str">
        <f>"HARDING HOSPITALITY LLC"</f>
        <v>HARDING HOSPITALITY LLC</v>
      </c>
      <c r="C5348" s="1" t="str">
        <f>"GEORGESVILLE RD VMS 1482 6.423 ACRES"</f>
        <v>GEORGESVILLE RD VMS 1482 6.423 ACRES</v>
      </c>
      <c r="D5348" s="1">
        <v>56.97</v>
      </c>
    </row>
    <row r="5349" spans="1:4" x14ac:dyDescent="0.3">
      <c r="A5349" s="1" t="str">
        <f>"26000014400"</f>
        <v>26000014400</v>
      </c>
      <c r="B5349" s="1" t="str">
        <f>"HARDWICK PETER ANTHONY"</f>
        <v>HARDWICK PETER ANTHONY</v>
      </c>
      <c r="C5349" s="1" t="str">
        <f>"PARKLINE DR QUALSTAN EAST LOT 287"</f>
        <v>PARKLINE DR QUALSTAN EAST LOT 287</v>
      </c>
      <c r="D5349" s="1">
        <v>1682.31</v>
      </c>
    </row>
    <row r="5350" spans="1:4" x14ac:dyDescent="0.3">
      <c r="A5350" s="1" t="str">
        <f>"04001167500"</f>
        <v>04001167500</v>
      </c>
      <c r="B5350" s="1" t="str">
        <f>"HARDY TREY D, HARDY BETH ANN"</f>
        <v>HARDY TREY D, HARDY BETH ANN</v>
      </c>
      <c r="C5350" s="1" t="str">
        <f>"SUNNY ROCK LANE CREEKSIDE SECTION 3 LOT 151"</f>
        <v>SUNNY ROCK LANE CREEKSIDE SECTION 3 LOT 151</v>
      </c>
      <c r="D5350" s="1">
        <v>340.55</v>
      </c>
    </row>
    <row r="5351" spans="1:4" x14ac:dyDescent="0.3">
      <c r="A5351" s="1" t="str">
        <f>"51017632900"</f>
        <v>51017632900</v>
      </c>
      <c r="B5351" s="1" t="str">
        <f>"HARDYMAN MEGAN L"</f>
        <v>HARDYMAN MEGAN L</v>
      </c>
      <c r="C5351" s="1" t="str">
        <f>"1020 TOBI DR TOWN GREEN LOT 12"</f>
        <v>1020 TOBI DR TOWN GREEN LOT 12</v>
      </c>
      <c r="D5351" s="1">
        <v>2910.16</v>
      </c>
    </row>
    <row r="5352" spans="1:4" x14ac:dyDescent="0.3">
      <c r="A5352" s="1" t="str">
        <f>"23000094000"</f>
        <v>23000094000</v>
      </c>
      <c r="B5352" s="1" t="str">
        <f>"HARE MELINDA G, HARE JEFFERY A"</f>
        <v>HARE MELINDA G, HARE JEFFERY A</v>
      </c>
      <c r="C5352" s="1" t="str">
        <f>"HARRISBURG PIKE 7.059 ACRES ENTRY 6441-2596-97"</f>
        <v>HARRISBURG PIKE 7.059 ACRES ENTRY 6441-2596-97</v>
      </c>
      <c r="D5352" s="1">
        <v>386.27</v>
      </c>
    </row>
    <row r="5353" spans="1:4" x14ac:dyDescent="0.3">
      <c r="A5353" s="1" t="str">
        <f>"27400124800"</f>
        <v>27400124800</v>
      </c>
      <c r="B5353" s="1" t="str">
        <f>"HAREGEWOYN MUSIE, GEORGIS MARIAM"</f>
        <v>HAREGEWOYN MUSIE, GEORGIS MARIAM</v>
      </c>
      <c r="C5353" s="1" t="str">
        <f>"5768 GLENDAVON LOOP BALLANTRAE SECTION 6 PART 1 LOT 502"</f>
        <v>5768 GLENDAVON LOOP BALLANTRAE SECTION 6 PART 1 LOT 502</v>
      </c>
      <c r="D5353" s="1">
        <v>11494.24</v>
      </c>
    </row>
    <row r="5354" spans="1:4" x14ac:dyDescent="0.3">
      <c r="A5354" s="1" t="str">
        <f>"01015214300"</f>
        <v>01015214300</v>
      </c>
      <c r="B5354" s="1" t="str">
        <f>"HARGRAVE CARLA Y"</f>
        <v>HARGRAVE CARLA Y</v>
      </c>
      <c r="C5354" s="1" t="str">
        <f>"PINE VALLEY RD CUMBERLAND RIDGE SEC 1 LOT 22"</f>
        <v>PINE VALLEY RD CUMBERLAND RIDGE SEC 1 LOT 22</v>
      </c>
      <c r="D5354" s="1">
        <v>208.09</v>
      </c>
    </row>
    <row r="5355" spans="1:4" x14ac:dyDescent="0.3">
      <c r="A5355" s="1" t="str">
        <f>"01000493300"</f>
        <v>01000493300</v>
      </c>
      <c r="B5355" s="1" t="str">
        <f>"HARING JAMES W III"</f>
        <v>HARING JAMES W III</v>
      </c>
      <c r="C5355" s="1" t="str">
        <f>"920-22 W RICH ST MARTINS WESTERN PT LOT 63"</f>
        <v>920-22 W RICH ST MARTINS WESTERN PT LOT 63</v>
      </c>
      <c r="D5355" s="1">
        <v>2080.5700000000002</v>
      </c>
    </row>
    <row r="5356" spans="1:4" x14ac:dyDescent="0.3">
      <c r="A5356" s="1" t="str">
        <f>"17000232500"</f>
        <v>17000232500</v>
      </c>
      <c r="B5356" s="1" t="str">
        <f>"HARISHANKAR R TTEE, HARISHANKAR PREMA TTEE"</f>
        <v>HARISHANKAR R TTEE, HARISHANKAR PREMA TTEE</v>
      </c>
      <c r="C5356" s="1" t="str">
        <f>"CREEK HOLLOW RD COLTS NECK PHASE 7 LOT 83  1.025AC"</f>
        <v>CREEK HOLLOW RD COLTS NECK PHASE 7 LOT 83  1.025AC</v>
      </c>
      <c r="D5356" s="1">
        <v>9716.7199999999993</v>
      </c>
    </row>
    <row r="5357" spans="1:4" x14ac:dyDescent="0.3">
      <c r="A5357" s="1" t="str">
        <f>"01021327600"</f>
        <v>01021327600</v>
      </c>
      <c r="B5357" s="1" t="str">
        <f>"HARKLEROAD MARGUERITE"</f>
        <v>HARKLEROAD MARGUERITE</v>
      </c>
      <c r="C5357" s="1" t="str">
        <f>"NORTHLAND SENIOR VILLAGE CONDO IV UNIT 105"</f>
        <v>NORTHLAND SENIOR VILLAGE CONDO IV UNIT 105</v>
      </c>
      <c r="D5357" s="1">
        <v>45.55</v>
      </c>
    </row>
    <row r="5358" spans="1:4" x14ac:dyDescent="0.3">
      <c r="A5358" s="1" t="str">
        <f>"24000468300"</f>
        <v>24000468300</v>
      </c>
      <c r="B5358" s="1" t="str">
        <f>"HARLEY HILL LLC"</f>
        <v>HARLEY HILL LLC</v>
      </c>
      <c r="C5358" s="1" t="str">
        <f>"S MURRAY HILL RD LINCOLN VILLAGE S LOT 520"</f>
        <v>S MURRAY HILL RD LINCOLN VILLAGE S LOT 520</v>
      </c>
      <c r="D5358" s="1">
        <v>1528.57</v>
      </c>
    </row>
    <row r="5359" spans="1:4" x14ac:dyDescent="0.3">
      <c r="A5359" s="1" t="str">
        <f>"01012146000"</f>
        <v>01012146000</v>
      </c>
      <c r="B5359" s="1" t="str">
        <f>"HARLEY ROBERT A"</f>
        <v>HARLEY ROBERT A</v>
      </c>
      <c r="C5359" s="1" t="str">
        <f>"FULTON ST. PINECREST LOT 119"</f>
        <v>FULTON ST. PINECREST LOT 119</v>
      </c>
      <c r="D5359" s="1">
        <v>5655.94</v>
      </c>
    </row>
    <row r="5360" spans="1:4" x14ac:dyDescent="0.3">
      <c r="A5360" s="1" t="str">
        <f>"01018556600"</f>
        <v>01018556600</v>
      </c>
      <c r="B5360" s="1" t="str">
        <f>"HARLEY SHAWN D"</f>
        <v>HARLEY SHAWN D</v>
      </c>
      <c r="C5360" s="1" t="str">
        <f>"CAPTAINS CT THE CUNARD VIL CONDO UNIT B  5235"</f>
        <v>CAPTAINS CT THE CUNARD VIL CONDO UNIT B  5235</v>
      </c>
      <c r="D5360" s="1">
        <v>3099.51</v>
      </c>
    </row>
    <row r="5361" spans="1:4" x14ac:dyDescent="0.3">
      <c r="A5361" s="1" t="str">
        <f>"16100017000"</f>
        <v>16100017000</v>
      </c>
      <c r="B5361" s="1" t="str">
        <f>"HARLOW CHRISTOPHER"</f>
        <v>HARLOW CHRISTOPHER</v>
      </c>
      <c r="C5361" s="1" t="str">
        <f>"VINE ST URBANCREST 11 BLK 9"</f>
        <v>VINE ST URBANCREST 11 BLK 9</v>
      </c>
      <c r="D5361" s="1">
        <v>459.78</v>
      </c>
    </row>
    <row r="5362" spans="1:4" x14ac:dyDescent="0.3">
      <c r="A5362" s="1" t="str">
        <f>"16100105000"</f>
        <v>16100105000</v>
      </c>
      <c r="B5362" s="1" t="str">
        <f>"HARLOW CHRISTOPHER"</f>
        <v>HARLOW CHRISTOPHER</v>
      </c>
      <c r="C5362" s="1" t="str">
        <f>"VINE ST URBANCREST 13 BLK 9"</f>
        <v>VINE ST URBANCREST 13 BLK 9</v>
      </c>
      <c r="D5362" s="1">
        <v>62.35</v>
      </c>
    </row>
    <row r="5363" spans="1:4" x14ac:dyDescent="0.3">
      <c r="A5363" s="1" t="str">
        <f>"16100032800"</f>
        <v>16100032800</v>
      </c>
      <c r="B5363" s="1" t="str">
        <f>"HARLOW CHRISTOPHER"</f>
        <v>HARLOW CHRISTOPHER</v>
      </c>
      <c r="C5363" s="1" t="str">
        <f>"2842 VINE ST URBANCREST 12 BLK 9"</f>
        <v>2842 VINE ST URBANCREST 12 BLK 9</v>
      </c>
      <c r="D5363" s="1">
        <v>1728.6</v>
      </c>
    </row>
    <row r="5364" spans="1:4" x14ac:dyDescent="0.3">
      <c r="A5364" s="1" t="str">
        <f>"16100104700"</f>
        <v>16100104700</v>
      </c>
      <c r="B5364" s="1" t="str">
        <f>"HARLOW CHRISTOPHER G"</f>
        <v>HARLOW CHRISTOPHER G</v>
      </c>
      <c r="C5364" s="1" t="str">
        <f>"3570 THIRD AVE URBANCREST 1 BLK 13"</f>
        <v>3570 THIRD AVE URBANCREST 1 BLK 13</v>
      </c>
      <c r="D5364" s="1">
        <v>1173.02</v>
      </c>
    </row>
    <row r="5365" spans="1:4" x14ac:dyDescent="0.3">
      <c r="A5365" s="1" t="str">
        <f>"06000131500"</f>
        <v>06000131500</v>
      </c>
      <c r="B5365" s="1" t="str">
        <f>"HARLOW MYRNA R"</f>
        <v>HARLOW MYRNA R</v>
      </c>
      <c r="C5365" s="1" t="str">
        <f>"RETTON RD 70FT ES BRICE ESTATES 2 31"</f>
        <v>RETTON RD 70FT ES BRICE ESTATES 2 31</v>
      </c>
      <c r="D5365" s="1">
        <v>3105.15</v>
      </c>
    </row>
    <row r="5366" spans="1:4" x14ac:dyDescent="0.3">
      <c r="A5366" s="1" t="str">
        <f>"06000132000"</f>
        <v>06000132000</v>
      </c>
      <c r="B5366" s="1" t="str">
        <f>"HARLOW MYRNA R"</f>
        <v>HARLOW MYRNA R</v>
      </c>
      <c r="C5366" s="1" t="str">
        <f>"RETTON RD .238AC BRICE EST 2 LOT 31"</f>
        <v>RETTON RD .238AC BRICE EST 2 LOT 31</v>
      </c>
      <c r="D5366" s="1">
        <v>635.5</v>
      </c>
    </row>
    <row r="5367" spans="1:4" x14ac:dyDescent="0.3">
      <c r="A5367" s="1" t="str">
        <f>"20332756000"</f>
        <v>20332756000</v>
      </c>
      <c r="B5367" s="1" t="str">
        <f>"HARMONY DEVELOPMENT GROUP LLC"</f>
        <v>HARMONY DEVELOPMENT GROUP LLC</v>
      </c>
      <c r="C5367" s="1" t="str">
        <f>"RENNER PARK SECTION 3 RESERVE 3A"</f>
        <v>RENNER PARK SECTION 3 RESERVE 3A</v>
      </c>
      <c r="D5367" s="1">
        <v>491.11</v>
      </c>
    </row>
    <row r="5368" spans="1:4" x14ac:dyDescent="0.3">
      <c r="A5368" s="1" t="str">
        <f>"01001927600"</f>
        <v>01001927600</v>
      </c>
      <c r="B5368" s="1" t="str">
        <f>"HARMONY PARTNERS LLC"</f>
        <v>HARMONY PARTNERS LLC</v>
      </c>
      <c r="C5368" s="1" t="str">
        <f>"2234-38 HAMILTON RD CRESWICK 4.303 ACRES LOT 1"</f>
        <v>2234-38 HAMILTON RD CRESWICK 4.303 ACRES LOT 1</v>
      </c>
      <c r="D5368" s="1">
        <v>17273.099999999999</v>
      </c>
    </row>
    <row r="5369" spans="1:4" x14ac:dyDescent="0.3">
      <c r="A5369" s="1" t="str">
        <f>"06000686900"</f>
        <v>06000686900</v>
      </c>
      <c r="B5369" s="1" t="str">
        <f>"HARMONY THEODORE R, HARMONY PHYLLIS A"</f>
        <v>HARMONY THEODORE R, HARMONY PHYLLIS A</v>
      </c>
      <c r="C5369" s="1" t="str">
        <f>"BRIGHTSTONE DR HIGHLANDS OF REYNOLDSBURG LOT 10 &amp; 0.1064 ACRES"</f>
        <v>BRIGHTSTONE DR HIGHLANDS OF REYNOLDSBURG LOT 10 &amp; 0.1064 ACRES</v>
      </c>
      <c r="D5369" s="1">
        <v>2937.3</v>
      </c>
    </row>
    <row r="5370" spans="1:4" x14ac:dyDescent="0.3">
      <c r="A5370" s="1" t="str">
        <f>"24000408200"</f>
        <v>24000408200</v>
      </c>
      <c r="B5370" s="1" t="str">
        <f>"HARMS LINDA A, HARMS KURT A"</f>
        <v>HARMS LINDA A, HARMS KURT A</v>
      </c>
      <c r="C5370" s="1" t="str">
        <f>"BAUSCH RD GENHEIMER NO 2 LOT 17"</f>
        <v>BAUSCH RD GENHEIMER NO 2 LOT 17</v>
      </c>
      <c r="D5370" s="1">
        <v>212.62</v>
      </c>
    </row>
    <row r="5371" spans="1:4" x14ac:dyDescent="0.3">
      <c r="A5371" s="1" t="str">
        <f>"01011619900"</f>
        <v>01011619900</v>
      </c>
      <c r="B5371" s="1" t="str">
        <f>"HARNED RICHARD S"</f>
        <v>HARNED RICHARD S</v>
      </c>
      <c r="C5371" s="1" t="str">
        <f>"SHADY HILL DR SHADY HILL EST LOT 19"</f>
        <v>SHADY HILL DR SHADY HILL EST LOT 19</v>
      </c>
      <c r="D5371" s="1">
        <v>5107.22</v>
      </c>
    </row>
    <row r="5372" spans="1:4" x14ac:dyDescent="0.3">
      <c r="A5372" s="1" t="str">
        <f>"24000449200"</f>
        <v>24000449200</v>
      </c>
      <c r="B5372" s="1" t="str">
        <f>"HARNESS MARSHA L"</f>
        <v>HARNESS MARSHA L</v>
      </c>
      <c r="C5372" s="1" t="str">
        <f>"SO MURRAY HILL RD LINCOLN VILLAGE SO 329"</f>
        <v>SO MURRAY HILL RD LINCOLN VILLAGE SO 329</v>
      </c>
      <c r="D5372" s="1">
        <v>500.22</v>
      </c>
    </row>
    <row r="5373" spans="1:4" x14ac:dyDescent="0.3">
      <c r="A5373" s="1" t="str">
        <f>"15000261800"</f>
        <v>15000261800</v>
      </c>
      <c r="B5373" s="1" t="str">
        <f>"HARNESS TAMI J"</f>
        <v>HARNESS TAMI J</v>
      </c>
      <c r="C5373" s="1" t="str">
        <f>"BIXBY ROAD R22 T4 S26 2.514 ACRES"</f>
        <v>BIXBY ROAD R22 T4 S26 2.514 ACRES</v>
      </c>
      <c r="D5373" s="1">
        <v>208.84</v>
      </c>
    </row>
    <row r="5374" spans="1:4" x14ac:dyDescent="0.3">
      <c r="A5374" s="1" t="str">
        <f>"01022202600"</f>
        <v>01022202600</v>
      </c>
      <c r="B5374" s="1" t="str">
        <f>"HARNESS WENDY ELAINE"</f>
        <v>HARNESS WENDY ELAINE</v>
      </c>
      <c r="C5374" s="1" t="str">
        <f>"WILLOWSIDE DRIVE WILLOW CREEK WOODS 1 LOT 23"</f>
        <v>WILLOWSIDE DRIVE WILLOW CREEK WOODS 1 LOT 23</v>
      </c>
      <c r="D5374" s="1">
        <v>2826.74</v>
      </c>
    </row>
    <row r="5375" spans="1:4" x14ac:dyDescent="0.3">
      <c r="A5375" s="1" t="str">
        <f>"08000666500"</f>
        <v>08000666500</v>
      </c>
      <c r="B5375" s="1" t="str">
        <f>"HARP DARLENE"</f>
        <v>HARP DARLENE</v>
      </c>
      <c r="C5375" s="1" t="str">
        <f>"E COLLEGE AVE SPRING GROVE EXT 2 LOT 353"</f>
        <v>E COLLEGE AVE SPRING GROVE EXT 2 LOT 353</v>
      </c>
      <c r="D5375" s="1">
        <v>6265.44</v>
      </c>
    </row>
    <row r="5376" spans="1:4" x14ac:dyDescent="0.3">
      <c r="A5376" s="1" t="str">
        <f>"16000259400"</f>
        <v>16000259400</v>
      </c>
      <c r="B5376" s="1" t="str">
        <f>"HARPER ANTHONY M, HARPER BEVERLY A"</f>
        <v>HARPER ANTHONY M, HARPER BEVERLY A</v>
      </c>
      <c r="C5376" s="1" t="str">
        <f>"1809 ZUBER RD ENTRY 6115 5.138 ACS"</f>
        <v>1809 ZUBER RD ENTRY 6115 5.138 ACS</v>
      </c>
      <c r="D5376" s="1">
        <v>3441.41</v>
      </c>
    </row>
    <row r="5377" spans="1:4" x14ac:dyDescent="0.3">
      <c r="A5377" s="1" t="str">
        <f>"01006794500"</f>
        <v>01006794500</v>
      </c>
      <c r="B5377" s="1" t="str">
        <f>"HARPER CLAUDIA L TOD"</f>
        <v>HARPER CLAUDIA L TOD</v>
      </c>
      <c r="C5377" s="1" t="str">
        <f>"WOODBURY AVE HILLTONIA ANNEX LOT 14 BLK 6"</f>
        <v>WOODBURY AVE HILLTONIA ANNEX LOT 14 BLK 6</v>
      </c>
      <c r="D5377" s="1">
        <v>2126.63</v>
      </c>
    </row>
    <row r="5378" spans="1:4" x14ac:dyDescent="0.3">
      <c r="A5378" s="1" t="str">
        <f>"01001587900"</f>
        <v>01001587900</v>
      </c>
      <c r="B5378" s="1" t="str">
        <f>"HARPER CLAUDIA L, SMITH LARRY P, SMITH WALTER L"</f>
        <v>HARPER CLAUDIA L, SMITH LARRY P, SMITH WALTER L</v>
      </c>
      <c r="C5378" s="1" t="str">
        <f>"259 S WAYNE AVE BELLAIRE EX LOT 272"</f>
        <v>259 S WAYNE AVE BELLAIRE EX LOT 272</v>
      </c>
      <c r="D5378" s="1">
        <v>302.7</v>
      </c>
    </row>
    <row r="5379" spans="1:4" x14ac:dyDescent="0.3">
      <c r="A5379" s="1" t="str">
        <f>"01004485300"</f>
        <v>01004485300</v>
      </c>
      <c r="B5379" s="1" t="str">
        <f>"HARPER DAJUAN"</f>
        <v>HARPER DAJUAN</v>
      </c>
      <c r="C5379" s="1" t="str">
        <f>"1483 LOCKBOURNE AVE 45FT SS EDGEWOOD LOT 1"</f>
        <v>1483 LOCKBOURNE AVE 45FT SS EDGEWOOD LOT 1</v>
      </c>
      <c r="D5379" s="1">
        <v>1817.4</v>
      </c>
    </row>
    <row r="5380" spans="1:4" x14ac:dyDescent="0.3">
      <c r="A5380" s="1" t="str">
        <f>"01001509000"</f>
        <v>01001509000</v>
      </c>
      <c r="B5380" s="1" t="str">
        <f>"HARPER DAJUAN"</f>
        <v>HARPER DAJUAN</v>
      </c>
      <c r="C5380" s="1" t="str">
        <f>"1080 LOCKBOURNE RD 30FT S S SPENCERS LOT 7"</f>
        <v>1080 LOCKBOURNE RD 30FT S S SPENCERS LOT 7</v>
      </c>
      <c r="D5380" s="1">
        <v>1795.96</v>
      </c>
    </row>
    <row r="5381" spans="1:4" x14ac:dyDescent="0.3">
      <c r="A5381" s="1" t="str">
        <f>"01009270000"</f>
        <v>01009270000</v>
      </c>
      <c r="B5381" s="1" t="str">
        <f>"HARPER GEORGE G, HARPER BARBARA L"</f>
        <v>HARPER GEORGE G, HARPER BARBARA L</v>
      </c>
      <c r="C5381" s="1" t="str">
        <f>"HADDON RD SEE DUP FOR DESC NERWICK LOT 762-763"</f>
        <v>HADDON RD SEE DUP FOR DESC NERWICK LOT 762-763</v>
      </c>
      <c r="D5381" s="1">
        <v>5494.48</v>
      </c>
    </row>
    <row r="5382" spans="1:4" x14ac:dyDescent="0.3">
      <c r="A5382" s="1" t="str">
        <f>"56016992000"</f>
        <v>56016992000</v>
      </c>
      <c r="B5382" s="1" t="str">
        <f>"HARPER HOLLY L TTEE, WINGARD ADDIE R"</f>
        <v>HARPER HOLLY L TTEE, WINGARD ADDIE R</v>
      </c>
      <c r="C5382" s="1" t="str">
        <f>"WALDEN RAVINES CONDOMINIUM UNIT 3139 BLDG B"</f>
        <v>WALDEN RAVINES CONDOMINIUM UNIT 3139 BLDG B</v>
      </c>
      <c r="D5382" s="1">
        <v>213.95</v>
      </c>
    </row>
    <row r="5383" spans="1:4" x14ac:dyDescent="0.3">
      <c r="A5383" s="1" t="str">
        <f>"22200416200"</f>
        <v>22200416200</v>
      </c>
      <c r="B5383" s="1" t="str">
        <f>"HARPER MATTHEW, HARPER CAROLYN"</f>
        <v>HARPER MATTHEW, HARPER CAROLYN</v>
      </c>
      <c r="C5383" s="1" t="str">
        <f>"2 EALY CROSSING SOUTH     NEW ALBANY COUNTRY CLUB   SEC 22 EALY CROSS LOT 21 "</f>
        <v xml:space="preserve">2 EALY CROSSING SOUTH     NEW ALBANY COUNTRY CLUB   SEC 22 EALY CROSS LOT 21 </v>
      </c>
      <c r="D5383" s="1">
        <v>1895.33</v>
      </c>
    </row>
    <row r="5384" spans="1:4" x14ac:dyDescent="0.3">
      <c r="A5384" s="1" t="str">
        <f>"60020899600"</f>
        <v>60020899600</v>
      </c>
      <c r="B5384" s="1" t="str">
        <f>"HARPER WILLIAM M"</f>
        <v>HARPER WILLIAM M</v>
      </c>
      <c r="C5384" s="1" t="str">
        <f>"DEER RUN CONDOMINIUM BLDG 13 UNIT 4995"</f>
        <v>DEER RUN CONDOMINIUM BLDG 13 UNIT 4995</v>
      </c>
      <c r="D5384" s="1">
        <v>4055.44</v>
      </c>
    </row>
    <row r="5385" spans="1:4" x14ac:dyDescent="0.3">
      <c r="A5385" s="1" t="str">
        <f>"61028257100"</f>
        <v>61028257100</v>
      </c>
      <c r="B5385" s="1" t="str">
        <f>"HARPER-BOGGS LEAH"</f>
        <v>HARPER-BOGGS LEAH</v>
      </c>
      <c r="C5385" s="1" t="str">
        <f>"TRADITIONS AT WORTHINGTON WOODS CONDOMINIUMS BLDG 15 UNIT 7486"</f>
        <v>TRADITIONS AT WORTHINGTON WOODS CONDOMINIUMS BLDG 15 UNIT 7486</v>
      </c>
      <c r="D5385" s="1">
        <v>1656.61</v>
      </c>
    </row>
    <row r="5386" spans="1:4" x14ac:dyDescent="0.3">
      <c r="A5386" s="1" t="str">
        <f>"01009542100"</f>
        <v>01009542100</v>
      </c>
      <c r="B5386" s="1" t="str">
        <f>"HARPLEY CRAIG A"</f>
        <v>HARPLEY CRAIG A</v>
      </c>
      <c r="C5386" s="1" t="str">
        <f>"VILLAGE DR INDIAN SPRINGS VILL BLKS B-E-G LOT 14"</f>
        <v>VILLAGE DR INDIAN SPRINGS VILL BLKS B-E-G LOT 14</v>
      </c>
      <c r="D5386" s="1">
        <v>2652.82</v>
      </c>
    </row>
    <row r="5387" spans="1:4" x14ac:dyDescent="0.3">
      <c r="A5387" s="1" t="str">
        <f>"01011468900"</f>
        <v>01011468900</v>
      </c>
      <c r="B5387" s="1" t="str">
        <f>"HARRELL ELLA L"</f>
        <v>HARRELL ELLA L</v>
      </c>
      <c r="C5387" s="1" t="str">
        <f>"FABER AVE ACRES .372 R22 T4 S2"</f>
        <v>FABER AVE ACRES .372 R22 T4 S2</v>
      </c>
      <c r="D5387" s="1">
        <v>1296.69</v>
      </c>
    </row>
    <row r="5388" spans="1:4" x14ac:dyDescent="0.3">
      <c r="A5388" s="1" t="str">
        <f>"01015309600"</f>
        <v>01015309600</v>
      </c>
      <c r="B5388" s="1" t="str">
        <f>"HARRINGTON ANGELA L, HARRINGTON RYAN JR"</f>
        <v>HARRINGTON ANGELA L, HARRINGTON RYAN JR</v>
      </c>
      <c r="C5388" s="1" t="str">
        <f>"EDENBURGH DR S BRITTANY HILLS SEC 2 LOT 143"</f>
        <v>EDENBURGH DR S BRITTANY HILLS SEC 2 LOT 143</v>
      </c>
      <c r="D5388" s="1">
        <v>1958.63</v>
      </c>
    </row>
    <row r="5389" spans="1:4" x14ac:dyDescent="0.3">
      <c r="A5389" s="1" t="str">
        <f>"01007505400"</f>
        <v>01007505400</v>
      </c>
      <c r="B5389" s="1" t="str">
        <f>"HARRINGTON CARLA D"</f>
        <v>HARRINGTON CARLA D</v>
      </c>
      <c r="C5389" s="1" t="str">
        <f>"JEFFRESON AVE GRASMERE GRDNS LOT 291"</f>
        <v>JEFFRESON AVE GRASMERE GRDNS LOT 291</v>
      </c>
      <c r="D5389" s="1">
        <v>787.15</v>
      </c>
    </row>
    <row r="5390" spans="1:4" x14ac:dyDescent="0.3">
      <c r="A5390" s="1" t="str">
        <f>"01004008600"</f>
        <v>01004008600</v>
      </c>
      <c r="B5390" s="1" t="str">
        <f>"HARRINGTON DELORIS C, LOCKE LAURA H"</f>
        <v>HARRINGTON DELORIS C, LOCKE LAURA H</v>
      </c>
      <c r="C5390" s="1" t="str">
        <f>"1157 E MT VERNON AVE BEATTY &amp; HANES LOT 25"</f>
        <v>1157 E MT VERNON AVE BEATTY &amp; HANES LOT 25</v>
      </c>
      <c r="D5390" s="1">
        <v>96.79</v>
      </c>
    </row>
    <row r="5391" spans="1:4" x14ac:dyDescent="0.3">
      <c r="A5391" s="1" t="str">
        <f>"02000244900"</f>
        <v>02000244900</v>
      </c>
      <c r="B5391" s="1" t="str">
        <f>"HARRIS ASHLEY J"</f>
        <v>HARRIS ASHLEY J</v>
      </c>
      <c r="C5391" s="1" t="str">
        <f>"2604 RUHL AVE ALL LOT 7 -PT 8 BEXLEY WOODS"</f>
        <v>2604 RUHL AVE ALL LOT 7 -PT 8 BEXLEY WOODS</v>
      </c>
      <c r="D5391" s="1">
        <v>3112.04</v>
      </c>
    </row>
    <row r="5392" spans="1:4" x14ac:dyDescent="0.3">
      <c r="A5392" s="1" t="str">
        <f>"01017266300"</f>
        <v>01017266300</v>
      </c>
      <c r="B5392" s="1" t="str">
        <f>"HARRIS CATHY E"</f>
        <v>HARRIS CATHY E</v>
      </c>
      <c r="C5392" s="1" t="str">
        <f>"WEYBURN CT PT LT 1-2 HELEN DEV SUB NO 1 LOT 48"</f>
        <v>WEYBURN CT PT LT 1-2 HELEN DEV SUB NO 1 LOT 48</v>
      </c>
      <c r="D5392" s="1">
        <v>2611.71</v>
      </c>
    </row>
    <row r="5393" spans="1:4" x14ac:dyDescent="0.3">
      <c r="A5393" s="1" t="str">
        <f>"01012680600"</f>
        <v>01012680600</v>
      </c>
      <c r="B5393" s="1" t="str">
        <f>"HARRIS CLIFTON J"</f>
        <v>HARRIS CLIFTON J</v>
      </c>
      <c r="C5393" s="1" t="str">
        <f>"LIVINGSTON AVE R21 T12 S23 1/4S40 1.995 ACRES"</f>
        <v>LIVINGSTON AVE R21 T12 S23 1/4S40 1.995 ACRES</v>
      </c>
      <c r="D5393" s="1">
        <v>13233.31</v>
      </c>
    </row>
    <row r="5394" spans="1:4" x14ac:dyDescent="0.3">
      <c r="A5394" s="1" t="str">
        <f>"01012767000"</f>
        <v>01012767000</v>
      </c>
      <c r="B5394" s="1" t="str">
        <f>"HARRIS CRYSTAL, THORNSLEY RHONDA, HARRIS RONALD JR"</f>
        <v>HARRIS CRYSTAL, THORNSLEY RHONDA, HARRIS RONALD JR</v>
      </c>
      <c r="C5394" s="1" t="str">
        <f>"ORLANDO COURT PINE HILLS LOT 312"</f>
        <v>ORLANDO COURT PINE HILLS LOT 312</v>
      </c>
      <c r="D5394" s="1">
        <v>3614.9</v>
      </c>
    </row>
    <row r="5395" spans="1:4" x14ac:dyDescent="0.3">
      <c r="A5395" s="1" t="str">
        <f>"01005001900"</f>
        <v>01005001900</v>
      </c>
      <c r="B5395" s="1" t="str">
        <f>"HARRIS DARNELL, HARRIS RAMONA"</f>
        <v>HARRIS DARNELL, HARRIS RAMONA</v>
      </c>
      <c r="C5395" s="1" t="str">
        <f>"248 HINKLE AVE KARCH 22 "</f>
        <v xml:space="preserve">248 HINKLE AVE KARCH 22 </v>
      </c>
      <c r="D5395" s="1">
        <v>171.33</v>
      </c>
    </row>
    <row r="5396" spans="1:4" x14ac:dyDescent="0.3">
      <c r="A5396" s="1" t="str">
        <f>"01005541600"</f>
        <v>01005541600</v>
      </c>
      <c r="B5396" s="1" t="str">
        <f>"HARRIS DARNELL, HARRIS RAMONA D"</f>
        <v>HARRIS DARNELL, HARRIS RAMONA D</v>
      </c>
      <c r="C5396" s="1" t="str">
        <f>"KARCH LOT 21 HINKLE AVE"</f>
        <v>KARCH LOT 21 HINKLE AVE</v>
      </c>
      <c r="D5396" s="1">
        <v>93</v>
      </c>
    </row>
    <row r="5397" spans="1:4" x14ac:dyDescent="0.3">
      <c r="A5397" s="1" t="str">
        <f>"01007999400"</f>
        <v>01007999400</v>
      </c>
      <c r="B5397" s="1" t="str">
        <f>"HARRIS DEE KATHLEEN TTEE"</f>
        <v>HARRIS DEE KATHLEEN TTEE</v>
      </c>
      <c r="C5397" s="1" t="str">
        <f>"NORWOOD ST KENMORE PARK BLK11 LOT 5"</f>
        <v>NORWOOD ST KENMORE PARK BLK11 LOT 5</v>
      </c>
      <c r="D5397" s="1">
        <v>1420.36</v>
      </c>
    </row>
    <row r="5398" spans="1:4" x14ac:dyDescent="0.3">
      <c r="A5398" s="1" t="str">
        <f>"24000354400"</f>
        <v>24000354400</v>
      </c>
      <c r="B5398" s="1" t="str">
        <f>"HARRIS DEE KATHLEEN TTEE"</f>
        <v>HARRIS DEE KATHLEEN TTEE</v>
      </c>
      <c r="C5398" s="1" t="str">
        <f>"WEYMOUTH LANE LINCOLN VILLAGE 404 "</f>
        <v xml:space="preserve">WEYMOUTH LANE LINCOLN VILLAGE 404 </v>
      </c>
      <c r="D5398" s="1">
        <v>1996.16</v>
      </c>
    </row>
    <row r="5399" spans="1:4" x14ac:dyDescent="0.3">
      <c r="A5399" s="1" t="str">
        <f>"01013345600"</f>
        <v>01013345600</v>
      </c>
      <c r="B5399" s="1" t="str">
        <f>"HARRIS DHATA, HARRIS-HALL RITA, HARRIS KIP, HARRIS RICARDO, HARRIS-WILLIAMS ALETHA, HARRIS SUNJAY, HARRIS-JONES SUMOANE, HARRIS-JONES SKYESUN"</f>
        <v>HARRIS DHATA, HARRIS-HALL RITA, HARRIS KIP, HARRIS RICARDO, HARRIS-WILLIAMS ALETHA, HARRIS SUNJAY, HARRIS-JONES SUMOANE, HARRIS-JONES SKYESUN</v>
      </c>
      <c r="C5399" s="1" t="str">
        <f>"ORSON DR SOUTHFIELD 3 LOT 355"</f>
        <v>ORSON DR SOUTHFIELD 3 LOT 355</v>
      </c>
      <c r="D5399" s="1">
        <v>3585.67</v>
      </c>
    </row>
    <row r="5400" spans="1:4" x14ac:dyDescent="0.3">
      <c r="A5400" s="1" t="str">
        <f>"01009786400"</f>
        <v>01009786400</v>
      </c>
      <c r="B5400" s="1" t="str">
        <f>"HARRIS FREDA M"</f>
        <v>HARRIS FREDA M</v>
      </c>
      <c r="C5400" s="1" t="str">
        <f>"SCOTTWOOD RD BERWICK HTS LOT 104"</f>
        <v>SCOTTWOOD RD BERWICK HTS LOT 104</v>
      </c>
      <c r="D5400" s="1">
        <v>5294.29</v>
      </c>
    </row>
    <row r="5401" spans="1:4" x14ac:dyDescent="0.3">
      <c r="A5401" s="1" t="str">
        <f>"02000059600"</f>
        <v>02000059600</v>
      </c>
      <c r="B5401" s="1" t="str">
        <f>"HARRIS HAROLD H, HARRIS SHIRLEY SUE"</f>
        <v>HARRIS HAROLD H, HARRIS SHIRLEY SUE</v>
      </c>
      <c r="C5401" s="1" t="str">
        <f>"2805 COLUMBUS AVE BELLWOOD ADD LOT 631 &amp; PT LOT 632"</f>
        <v>2805 COLUMBUS AVE BELLWOOD ADD LOT 631 &amp; PT LOT 632</v>
      </c>
      <c r="D5401" s="1">
        <v>2155.6999999999998</v>
      </c>
    </row>
    <row r="5402" spans="1:4" x14ac:dyDescent="0.3">
      <c r="A5402" s="1" t="str">
        <f>"01002265000"</f>
        <v>01002265000</v>
      </c>
      <c r="B5402" s="1" t="str">
        <f>"HARRIS HOME SERVICES LLC"</f>
        <v>HARRIS HOME SERVICES LLC</v>
      </c>
      <c r="C5402" s="1" t="str">
        <f>"1664-6 CLEVELAND AVE LOUIS HTS PT LOT 15"</f>
        <v>1664-6 CLEVELAND AVE LOUIS HTS PT LOT 15</v>
      </c>
      <c r="D5402" s="1">
        <v>2327.35</v>
      </c>
    </row>
    <row r="5403" spans="1:4" x14ac:dyDescent="0.3">
      <c r="A5403" s="1" t="str">
        <f>"01005064100"</f>
        <v>01005064100</v>
      </c>
      <c r="B5403" s="1" t="str">
        <f>"HARRIS JASON R"</f>
        <v>HARRIS JASON R</v>
      </c>
      <c r="C5403" s="1" t="str">
        <f>"616 STEWART DAVIES LOT 51"</f>
        <v>616 STEWART DAVIES LOT 51</v>
      </c>
      <c r="D5403" s="1">
        <v>2290.4299999999998</v>
      </c>
    </row>
    <row r="5404" spans="1:4" x14ac:dyDescent="0.3">
      <c r="A5404" s="1" t="str">
        <f>"01009778200"</f>
        <v>01009778200</v>
      </c>
      <c r="B5404" s="1" t="str">
        <f>"HARRIS JO A"</f>
        <v>HARRIS JO A</v>
      </c>
      <c r="C5404" s="1" t="str">
        <f>"MILLERDALE RD BERWICK HTS LOT 22"</f>
        <v>MILLERDALE RD BERWICK HTS LOT 22</v>
      </c>
      <c r="D5404" s="1">
        <v>1308.08</v>
      </c>
    </row>
    <row r="5405" spans="1:4" x14ac:dyDescent="0.3">
      <c r="A5405" s="1" t="str">
        <f>"01027132500"</f>
        <v>01027132500</v>
      </c>
      <c r="B5405" s="1" t="str">
        <f>"HARRIS JOHN JR"</f>
        <v>HARRIS JOHN JR</v>
      </c>
      <c r="C5405" s="1" t="str">
        <f>"WHITE OAK PARK CONDOMINIUM 2ND AMD BLDG 7 UNIT 7-6499"</f>
        <v>WHITE OAK PARK CONDOMINIUM 2ND AMD BLDG 7 UNIT 7-6499</v>
      </c>
      <c r="D5405" s="1">
        <v>2405.87</v>
      </c>
    </row>
    <row r="5406" spans="1:4" x14ac:dyDescent="0.3">
      <c r="A5406" s="1" t="str">
        <f>"01007049100"</f>
        <v>01007049100</v>
      </c>
      <c r="B5406" s="1" t="str">
        <f>"HARRIS KEITH ALLEN"</f>
        <v>HARRIS KEITH ALLEN</v>
      </c>
      <c r="C5406" s="1" t="str">
        <f>"226 WESTGATE AVE WESTGATE LOT 57"</f>
        <v>226 WESTGATE AVE WESTGATE LOT 57</v>
      </c>
      <c r="D5406" s="1">
        <v>83.84</v>
      </c>
    </row>
    <row r="5407" spans="1:4" x14ac:dyDescent="0.3">
      <c r="A5407" s="1" t="str">
        <f>"01011931300"</f>
        <v>01011931300</v>
      </c>
      <c r="B5407" s="1" t="str">
        <f>"HARRIS LATALIA N, MCCOY KEVIN"</f>
        <v>HARRIS LATALIA N, MCCOY KEVIN</v>
      </c>
      <c r="C5407" s="1" t="str">
        <f>"2298 WARD RD JENKINSON LOT 30"</f>
        <v>2298 WARD RD JENKINSON LOT 30</v>
      </c>
      <c r="D5407" s="1">
        <v>1167.8499999999999</v>
      </c>
    </row>
    <row r="5408" spans="1:4" x14ac:dyDescent="0.3">
      <c r="A5408" s="1" t="str">
        <f>"01010200400"</f>
        <v>01010200400</v>
      </c>
      <c r="B5408" s="1" t="str">
        <f>"HARRIS LAVERNER, DUNN NEVA"</f>
        <v>HARRIS LAVERNER, DUNN NEVA</v>
      </c>
      <c r="C5408" s="1" t="str">
        <f>"JANWOOD DR SCOTTWOOD LOT 71"</f>
        <v>JANWOOD DR SCOTTWOOD LOT 71</v>
      </c>
      <c r="D5408" s="1">
        <v>1609.39</v>
      </c>
    </row>
    <row r="5409" spans="1:4" x14ac:dyDescent="0.3">
      <c r="A5409" s="1" t="str">
        <f>"01009492300"</f>
        <v>01009492300</v>
      </c>
      <c r="B5409" s="1" t="str">
        <f>"HARRIS LYNN A"</f>
        <v>HARRIS LYNN A</v>
      </c>
      <c r="C5409" s="1" t="str">
        <f>"788 BUCKINGHAM ST GARRISON PK PL LOT 214-15-16"</f>
        <v>788 BUCKINGHAM ST GARRISON PK PL LOT 214-15-16</v>
      </c>
      <c r="D5409" s="1">
        <v>200.72</v>
      </c>
    </row>
    <row r="5410" spans="1:4" x14ac:dyDescent="0.3">
      <c r="A5410" s="1" t="str">
        <f>"01009492200"</f>
        <v>01009492200</v>
      </c>
      <c r="B5410" s="1" t="str">
        <f>"HARRIS LYNN A"</f>
        <v>HARRIS LYNN A</v>
      </c>
      <c r="C5410" s="1" t="str">
        <f>"783 BUCKINGHAM PL GARRISON PK PL SUB PT LOTS 214-215-216"</f>
        <v>783 BUCKINGHAM PL GARRISON PK PL SUB PT LOTS 214-215-216</v>
      </c>
      <c r="D5410" s="1">
        <v>187.95</v>
      </c>
    </row>
    <row r="5411" spans="1:4" x14ac:dyDescent="0.3">
      <c r="A5411" s="1" t="str">
        <f>"01002707000"</f>
        <v>01002707000</v>
      </c>
      <c r="B5411" s="1" t="str">
        <f>"HARRIS LYNN A"</f>
        <v>HARRIS LYNN A</v>
      </c>
      <c r="C5411" s="1" t="str">
        <f>"BUCKINGHAM ST     18 FT MID PT GARRISON PK PLC LT 214-15-16"</f>
        <v>BUCKINGHAM ST     18 FT MID PT GARRISON PK PLC LT 214-15-16</v>
      </c>
      <c r="D5411" s="1">
        <v>241.58</v>
      </c>
    </row>
    <row r="5412" spans="1:4" x14ac:dyDescent="0.3">
      <c r="A5412" s="1" t="str">
        <f>"01009492100"</f>
        <v>01009492100</v>
      </c>
      <c r="B5412" s="1" t="str">
        <f>"HARRIS LYNN A"</f>
        <v>HARRIS LYNN A</v>
      </c>
      <c r="C5412" s="1" t="str">
        <f>"BUCKINGHAM ST GARRISON PK PL SUB PT LOTS 214-15-16"</f>
        <v>BUCKINGHAM ST GARRISON PK PL SUB PT LOTS 214-15-16</v>
      </c>
      <c r="D5412" s="1">
        <v>187.95</v>
      </c>
    </row>
    <row r="5413" spans="1:4" x14ac:dyDescent="0.3">
      <c r="A5413" s="1" t="str">
        <f>"01012400700"</f>
        <v>01012400700</v>
      </c>
      <c r="B5413" s="1" t="str">
        <f>"HARRIS MARY J"</f>
        <v>HARRIS MARY J</v>
      </c>
      <c r="C5413" s="1" t="str">
        <f>"SCHRYVER RD. HILLGATE 3 LOT 237"</f>
        <v>SCHRYVER RD. HILLGATE 3 LOT 237</v>
      </c>
      <c r="D5413" s="1">
        <v>1911.93</v>
      </c>
    </row>
    <row r="5414" spans="1:4" x14ac:dyDescent="0.3">
      <c r="A5414" s="1" t="str">
        <f>"01006073200"</f>
        <v>01006073200</v>
      </c>
      <c r="B5414" s="1" t="str">
        <f>"HARRIS MAURICE"</f>
        <v>HARRIS MAURICE</v>
      </c>
      <c r="C5414" s="1" t="str">
        <f>"1532 E BLAKE AVE INNIS CREST LOT 258"</f>
        <v>1532 E BLAKE AVE INNIS CREST LOT 258</v>
      </c>
      <c r="D5414" s="1">
        <v>3484.8</v>
      </c>
    </row>
    <row r="5415" spans="1:4" x14ac:dyDescent="0.3">
      <c r="A5415" s="1" t="str">
        <f>"61019414600"</f>
        <v>61019414600</v>
      </c>
      <c r="B5415" s="1" t="str">
        <f>"HARRIS MAVIS S TTEE, HARRIS GREGORY L TTEE"</f>
        <v>HARRIS MAVIS S TTEE, HARRIS GREGORY L TTEE</v>
      </c>
      <c r="C5415" s="1" t="str">
        <f>"SURRYWOOD DR OLDE SAWMILL SEC 7 LOT 850"</f>
        <v>SURRYWOOD DR OLDE SAWMILL SEC 7 LOT 850</v>
      </c>
      <c r="D5415" s="1">
        <v>210.25</v>
      </c>
    </row>
    <row r="5416" spans="1:4" x14ac:dyDescent="0.3">
      <c r="A5416" s="1" t="str">
        <f>"01005405000"</f>
        <v>01005405000</v>
      </c>
      <c r="B5416" s="1" t="str">
        <f>"HARRIS PATRICIA A"</f>
        <v>HARRIS PATRICIA A</v>
      </c>
      <c r="C5416" s="1" t="str">
        <f>"636 REYNOLDS AVE ENGLEWOOD LOT 28"</f>
        <v>636 REYNOLDS AVE ENGLEWOOD LOT 28</v>
      </c>
      <c r="D5416" s="1">
        <v>2241.9499999999998</v>
      </c>
    </row>
    <row r="5417" spans="1:4" x14ac:dyDescent="0.3">
      <c r="A5417" s="1" t="str">
        <f>"01008161500"</f>
        <v>01008161500</v>
      </c>
      <c r="B5417" s="1" t="str">
        <f>"HARRIS PATSY ANN"</f>
        <v>HARRIS PATSY ANN</v>
      </c>
      <c r="C5417" s="1" t="str">
        <f>"BUTLER AVE HIGH RIDGE EXT LOT 33 BLK 10"</f>
        <v>BUTLER AVE HIGH RIDGE EXT LOT 33 BLK 10</v>
      </c>
      <c r="D5417" s="1">
        <v>41.88</v>
      </c>
    </row>
    <row r="5418" spans="1:4" x14ac:dyDescent="0.3">
      <c r="A5418" s="1" t="str">
        <f>"01010808100"</f>
        <v>01010808100</v>
      </c>
      <c r="B5418" s="1" t="str">
        <f>"HARRIS RAYMOND T SR TR"</f>
        <v>HARRIS RAYMOND T SR TR</v>
      </c>
      <c r="C5418" s="1" t="str">
        <f>"LILLEY AVE DESHLER PARK LOT 28"</f>
        <v>LILLEY AVE DESHLER PARK LOT 28</v>
      </c>
      <c r="D5418" s="1">
        <v>1112.73</v>
      </c>
    </row>
    <row r="5419" spans="1:4" x14ac:dyDescent="0.3">
      <c r="A5419" s="1" t="str">
        <f>"01008022200"</f>
        <v>01008022200</v>
      </c>
      <c r="B5419" s="1" t="str">
        <f>"HARRIS RAYMOND T SR TR"</f>
        <v>HARRIS RAYMOND T SR TR</v>
      </c>
      <c r="C5419" s="1" t="str">
        <f>"LIVINGSTONAVEALL416&amp; 1/2417LIVINGSTON WHITTIERGARLOT416-7"</f>
        <v>LIVINGSTONAVEALL416&amp; 1/2417LIVINGSTON WHITTIERGARLOT416-7</v>
      </c>
      <c r="D5419" s="1">
        <v>1498.65</v>
      </c>
    </row>
    <row r="5420" spans="1:4" x14ac:dyDescent="0.3">
      <c r="A5420" s="1" t="str">
        <f>"01007625500"</f>
        <v>01007625500</v>
      </c>
      <c r="B5420" s="1" t="str">
        <f>"HARRIS THOMAS K, HARRIS ANN"</f>
        <v>HARRIS THOMAS K, HARRIS ANN</v>
      </c>
      <c r="C5420" s="1" t="str">
        <f>"BLAKE AVE HUDSON MANOR LOT 111"</f>
        <v>BLAKE AVE HUDSON MANOR LOT 111</v>
      </c>
      <c r="D5420" s="1">
        <v>185.16</v>
      </c>
    </row>
    <row r="5421" spans="1:4" x14ac:dyDescent="0.3">
      <c r="A5421" s="1" t="str">
        <f>"01004601700"</f>
        <v>01004601700</v>
      </c>
      <c r="B5421" s="1" t="str">
        <f>"HARRIS TIFFANY L, HARRIS JOSIETTE V"</f>
        <v>HARRIS TIFFANY L, HARRIS JOSIETTE V</v>
      </c>
      <c r="C5421" s="1" t="str">
        <f>"646 BULEN BULENS FAIRWOOD PK LOT 230"</f>
        <v>646 BULEN BULENS FAIRWOOD PK LOT 230</v>
      </c>
      <c r="D5421" s="1">
        <v>4229.3100000000004</v>
      </c>
    </row>
    <row r="5422" spans="1:4" x14ac:dyDescent="0.3">
      <c r="A5422" s="1" t="str">
        <f>"01002688400"</f>
        <v>01002688400</v>
      </c>
      <c r="B5422" s="1" t="str">
        <f>"HARRIS WILLIS SR, HARRIS WILDA"</f>
        <v>HARRIS WILLIS SR, HARRIS WILDA</v>
      </c>
      <c r="C5422" s="1" t="str">
        <f>"846 GIBBARD AVE BIDLEMAN LOT 125"</f>
        <v>846 GIBBARD AVE BIDLEMAN LOT 125</v>
      </c>
      <c r="D5422" s="1">
        <v>647.47</v>
      </c>
    </row>
    <row r="5423" spans="1:4" x14ac:dyDescent="0.3">
      <c r="A5423" s="1" t="str">
        <f>"01003274200"</f>
        <v>01003274200</v>
      </c>
      <c r="B5423" s="1" t="str">
        <f>"HARRISON ASHLEY, SWEETING MELISSA"</f>
        <v>HARRISON ASHLEY, SWEETING MELISSA</v>
      </c>
      <c r="C5423" s="1" t="str">
        <f>"OAKCREST RD LEXINGTON SEC 1 A LOT 250"</f>
        <v>OAKCREST RD LEXINGTON SEC 1 A LOT 250</v>
      </c>
      <c r="D5423" s="1">
        <v>2180.2199999999998</v>
      </c>
    </row>
    <row r="5424" spans="1:4" x14ac:dyDescent="0.3">
      <c r="A5424" s="1" t="str">
        <f>"18000530900"</f>
        <v>18000530900</v>
      </c>
      <c r="B5424" s="1" t="str">
        <f>"HARRISON KATHERINE M"</f>
        <v>HARRISON KATHERINE M</v>
      </c>
      <c r="C5424" s="1" t="str">
        <f>"BAIRD RD R21 T11 S11 5.027 ACRES"</f>
        <v>BAIRD RD R21 T11 S11 5.027 ACRES</v>
      </c>
      <c r="D5424" s="1">
        <v>5423.58</v>
      </c>
    </row>
    <row r="5425" spans="1:4" x14ac:dyDescent="0.3">
      <c r="A5425" s="1" t="str">
        <f>"01015859100"</f>
        <v>01015859100</v>
      </c>
      <c r="B5425" s="1" t="str">
        <f>"HARRISON MARY J TR"</f>
        <v>HARRISON MARY J TR</v>
      </c>
      <c r="C5425" s="1" t="str">
        <f>"WALNUT CREEK DR WALNUT CREEK SEC 1 LOT 122"</f>
        <v>WALNUT CREEK DR WALNUT CREEK SEC 1 LOT 122</v>
      </c>
      <c r="D5425" s="1">
        <v>940</v>
      </c>
    </row>
    <row r="5426" spans="1:4" x14ac:dyDescent="0.3">
      <c r="A5426" s="1" t="str">
        <f>"01027941000"</f>
        <v>01027941000</v>
      </c>
      <c r="B5426" s="1" t="str">
        <f>"HARRISON PARK DEVELOPMENT LTD"</f>
        <v>HARRISON PARK DEVELOPMENT LTD</v>
      </c>
      <c r="C5426" s="1" t="s">
        <v>5</v>
      </c>
      <c r="D5426" s="1">
        <v>18.57</v>
      </c>
    </row>
    <row r="5427" spans="1:4" x14ac:dyDescent="0.3">
      <c r="A5427" s="1" t="str">
        <f>"49027770800"</f>
        <v>49027770800</v>
      </c>
      <c r="B5427" s="1" t="str">
        <f>"HARRISON ROSS C"</f>
        <v>HARRISON ROSS C</v>
      </c>
      <c r="C5427" s="1" t="str">
        <f>"MURPHY'S POND CONDOMINIUM 6TH AMD BLDG 5 UNIT 6108"</f>
        <v>MURPHY'S POND CONDOMINIUM 6TH AMD BLDG 5 UNIT 6108</v>
      </c>
      <c r="D5427" s="1">
        <v>1469.88</v>
      </c>
    </row>
    <row r="5428" spans="1:4" x14ac:dyDescent="0.3">
      <c r="A5428" s="1" t="str">
        <f>"01002306900"</f>
        <v>01002306900</v>
      </c>
      <c r="B5428" s="1" t="str">
        <f>"HARRISON WEST APTSI LLC"</f>
        <v>HARRISON WEST APTSI LLC</v>
      </c>
      <c r="C5428" s="1" t="str">
        <f>"1110 MICHIGAN AVE         COLLINS ATKINSON &amp;        GUITNER LOT 372          "</f>
        <v xml:space="preserve">1110 MICHIGAN AVE         COLLINS ATKINSON &amp;        GUITNER LOT 372          </v>
      </c>
      <c r="D5428" s="1">
        <v>3107.97</v>
      </c>
    </row>
    <row r="5429" spans="1:4" x14ac:dyDescent="0.3">
      <c r="A5429" s="1" t="str">
        <f>"20000088200"</f>
        <v>20000088200</v>
      </c>
      <c r="B5429" s="1" t="str">
        <f>"HARROD NATALIA M, HARROD SCOTT M"</f>
        <v>HARROD NATALIA M, HARROD SCOTT M</v>
      </c>
      <c r="C5429" s="1" t="str">
        <f>"RIVERVIEW DR EMMA A HOWARD LOT 17"</f>
        <v>RIVERVIEW DR EMMA A HOWARD LOT 17</v>
      </c>
      <c r="D5429" s="1">
        <v>720.45</v>
      </c>
    </row>
    <row r="5430" spans="1:4" x14ac:dyDescent="0.3">
      <c r="A5430" s="1" t="str">
        <f>"01006640000"</f>
        <v>01006640000</v>
      </c>
      <c r="B5430" s="1" t="str">
        <f>"HARROP INDUSTRIES INC AFDT"</f>
        <v>HARROP INDUSTRIES INC AFDT</v>
      </c>
      <c r="C5430" s="1" t="str">
        <f>"3470 E 5TH AVE R17 T1 1/4T4 LOT 11 4.779 ACRES"</f>
        <v>3470 E 5TH AVE R17 T1 1/4T4 LOT 11 4.779 ACRES</v>
      </c>
      <c r="D5430" s="1">
        <v>3235.56</v>
      </c>
    </row>
    <row r="5431" spans="1:4" x14ac:dyDescent="0.3">
      <c r="A5431" s="1" t="str">
        <f>"05000188900"</f>
        <v>05000188900</v>
      </c>
      <c r="B5431" s="1" t="str">
        <f>"HARRY HEATHER"</f>
        <v>HARRY HEATHER</v>
      </c>
      <c r="C5431" s="1" t="str">
        <f>"5088 MENGEL LANE DEAN H CONKLIN LOT 139"</f>
        <v>5088 MENGEL LANE DEAN H CONKLIN LOT 139</v>
      </c>
      <c r="D5431" s="1">
        <v>7050.36</v>
      </c>
    </row>
    <row r="5432" spans="1:4" x14ac:dyDescent="0.3">
      <c r="A5432" s="1" t="str">
        <f>"55015615700"</f>
        <v>55015615700</v>
      </c>
      <c r="B5432" s="1" t="str">
        <f>"HARSHAW HATTIE TR, HARSHAW ANDREA L TR, SMITHERMAN EARLENE D TR"</f>
        <v>HARSHAW HATTIE TR, HARSHAW ANDREA L TR, SMITHERMAN EARLENE D TR</v>
      </c>
      <c r="C5432" s="1" t="str">
        <f>"MANOR DRIVE IDLEWILD MANOR EXT LOT 17"</f>
        <v>MANOR DRIVE IDLEWILD MANOR EXT LOT 17</v>
      </c>
      <c r="D5432" s="1">
        <v>368.75</v>
      </c>
    </row>
    <row r="5433" spans="1:4" x14ac:dyDescent="0.3">
      <c r="A5433" s="1" t="str">
        <f>"05000136700"</f>
        <v>05000136700</v>
      </c>
      <c r="B5433" s="1" t="str">
        <f>"HART BENNY G, HART UNA M"</f>
        <v>HART BENNY G, HART UNA M</v>
      </c>
      <c r="C5433" s="1" t="str">
        <f>"3857 HILLCREST ST HILLIARD HTS 2 LOT 37"</f>
        <v>3857 HILLCREST ST HILLIARD HTS 2 LOT 37</v>
      </c>
      <c r="D5433" s="1">
        <v>1757.39</v>
      </c>
    </row>
    <row r="5434" spans="1:4" x14ac:dyDescent="0.3">
      <c r="A5434" s="1" t="str">
        <f>"01009642200"</f>
        <v>01009642200</v>
      </c>
      <c r="B5434" s="1" t="str">
        <f>"HART KEVIN D"</f>
        <v>HART KEVIN D</v>
      </c>
      <c r="C5434" s="1" t="str">
        <f>"JAMES RD PLAT 1 LOT 40 "</f>
        <v xml:space="preserve">JAMES RD PLAT 1 LOT 40 </v>
      </c>
      <c r="D5434" s="1">
        <v>4263.0200000000004</v>
      </c>
    </row>
    <row r="5435" spans="1:4" x14ac:dyDescent="0.3">
      <c r="A5435" s="1" t="str">
        <f>"01008517500"</f>
        <v>01008517500</v>
      </c>
      <c r="B5435" s="1" t="str">
        <f>"HART LINDA K"</f>
        <v>HART LINDA K</v>
      </c>
      <c r="C5435" s="1" t="str">
        <f>"E JEFFREY PLC ZOOLAND LOT 559"</f>
        <v>E JEFFREY PLC ZOOLAND LOT 559</v>
      </c>
      <c r="D5435" s="1">
        <v>208.11</v>
      </c>
    </row>
    <row r="5436" spans="1:4" x14ac:dyDescent="0.3">
      <c r="A5436" s="1" t="str">
        <f>"01014795700"</f>
        <v>01014795700</v>
      </c>
      <c r="B5436" s="1" t="str">
        <f>"HART NICHOLAS J, HART DIANNE P"</f>
        <v>HART NICHOLAS J, HART DIANNE P</v>
      </c>
      <c r="C5436" s="1" t="str">
        <f>"VINTON AVE GABLES SOUTH LOT 10"</f>
        <v>VINTON AVE GABLES SOUTH LOT 10</v>
      </c>
      <c r="D5436" s="1">
        <v>4085.64</v>
      </c>
    </row>
    <row r="5437" spans="1:4" x14ac:dyDescent="0.3">
      <c r="A5437" s="1" t="str">
        <f>"18400113800"</f>
        <v>18400113800</v>
      </c>
      <c r="B5437" s="1" t="str">
        <f>"HART NIKITA"</f>
        <v>HART NIKITA</v>
      </c>
      <c r="C5437" s="1" t="str">
        <f>"365 SARWELL DRIVE WINCHESTER VILLAGE SEC 1 LOT 46"</f>
        <v>365 SARWELL DRIVE WINCHESTER VILLAGE SEC 1 LOT 46</v>
      </c>
      <c r="D5437" s="1">
        <v>6263.27</v>
      </c>
    </row>
    <row r="5438" spans="1:4" x14ac:dyDescent="0.3">
      <c r="A5438" s="1" t="str">
        <f>"01020786300"</f>
        <v>01020786300</v>
      </c>
      <c r="B5438" s="1" t="str">
        <f>"HART RICHARD D, HART TERESA S"</f>
        <v>HART RICHARD D, HART TERESA S</v>
      </c>
      <c r="C5438" s="1" t="str">
        <f>"RIVERWATCH TOWER CONDOMINIUM UNIT 617"</f>
        <v>RIVERWATCH TOWER CONDOMINIUM UNIT 617</v>
      </c>
      <c r="D5438" s="1">
        <v>173.82</v>
      </c>
    </row>
    <row r="5439" spans="1:4" x14ac:dyDescent="0.3">
      <c r="A5439" s="1" t="str">
        <f>"01028247000"</f>
        <v>01028247000</v>
      </c>
      <c r="B5439" s="1" t="str">
        <f>"HARTER JOHN JAY, HARTER KATHY SUE"</f>
        <v>HARTER JOHN JAY, HARTER KATHY SUE</v>
      </c>
      <c r="C5439" s="1" t="str">
        <f>"6174 TOURNAMENT AVENUE    UPPER ALBANY WEST         SECTION 3 LOT 557        "</f>
        <v xml:space="preserve">6174 TOURNAMENT AVENUE    UPPER ALBANY WEST         SECTION 3 LOT 557        </v>
      </c>
      <c r="D5439" s="1">
        <v>1195.7</v>
      </c>
    </row>
    <row r="5440" spans="1:4" x14ac:dyDescent="0.3">
      <c r="A5440" s="1" t="str">
        <f>"08000763200"</f>
        <v>08000763200</v>
      </c>
      <c r="B5440" s="1" t="str">
        <f>"HARTLEY BLAIR"</f>
        <v>HARTLEY BLAIR</v>
      </c>
      <c r="C5440" s="1" t="str">
        <f>"1223 OAK BLUFF CT CHATHAM RIDGE SEC 3 LOT 93"</f>
        <v>1223 OAK BLUFF CT CHATHAM RIDGE SEC 3 LOT 93</v>
      </c>
      <c r="D5440" s="1">
        <v>599.72</v>
      </c>
    </row>
    <row r="5441" spans="1:4" x14ac:dyDescent="0.3">
      <c r="A5441" s="1" t="str">
        <f>"17000228200"</f>
        <v>17000228200</v>
      </c>
      <c r="B5441" s="1" t="str">
        <f>"HARTLEY SCOTT, HARTLEY KAITLIN"</f>
        <v>HARTLEY SCOTT, HARTLEY KAITLIN</v>
      </c>
      <c r="C5441" s="1" t="str">
        <f>"POPPY HILLS DRIVE JEFFERSON MEADOWS SECTION 2 LOT 104"</f>
        <v>POPPY HILLS DRIVE JEFFERSON MEADOWS SECTION 2 LOT 104</v>
      </c>
      <c r="D5441" s="1">
        <v>1368.03</v>
      </c>
    </row>
    <row r="5442" spans="1:4" x14ac:dyDescent="0.3">
      <c r="A5442" s="1" t="str">
        <f>"27200037200"</f>
        <v>27200037200</v>
      </c>
      <c r="B5442" s="1" t="str">
        <f>"HARTMAN ARTHUR RAYMOND TR, HARTMAN BRENDA KAY TR"</f>
        <v>HARTMAN ARTHUR RAYMOND TR, HARTMAN BRENDA KAY TR</v>
      </c>
      <c r="C5442" s="1" t="str">
        <f>"HOLLIDAY LANE OAK-SHIER ESTATES LOT 16"</f>
        <v>HOLLIDAY LANE OAK-SHIER ESTATES LOT 16</v>
      </c>
      <c r="D5442" s="1">
        <v>326.35000000000002</v>
      </c>
    </row>
    <row r="5443" spans="1:4" x14ac:dyDescent="0.3">
      <c r="A5443" s="1" t="str">
        <f>"01028379700"</f>
        <v>01028379700</v>
      </c>
      <c r="B5443" s="1" t="str">
        <f>"HARTMAN PONDS HOMEOWNERS ASSOCIATION INC"</f>
        <v>HARTMAN PONDS HOMEOWNERS ASSOCIATION INC</v>
      </c>
      <c r="C5443" s="1" t="s">
        <v>26</v>
      </c>
      <c r="D5443" s="1">
        <v>78.03</v>
      </c>
    </row>
    <row r="5444" spans="1:4" x14ac:dyDescent="0.3">
      <c r="A5444" s="1" t="str">
        <f>"01021733700"</f>
        <v>01021733700</v>
      </c>
      <c r="B5444" s="1" t="str">
        <f>"HARTMAN RICHARD LEE"</f>
        <v>HARTMAN RICHARD LEE</v>
      </c>
      <c r="C5444" s="1" t="str">
        <f>"THE VILLAGE AT            THIRD CONDOMINIUM         UNIT 493                 "</f>
        <v xml:space="preserve">THE VILLAGE AT            THIRD CONDOMINIUM         UNIT 493                 </v>
      </c>
      <c r="D5444" s="1">
        <v>342.57</v>
      </c>
    </row>
    <row r="5445" spans="1:4" x14ac:dyDescent="0.3">
      <c r="A5445" s="1" t="str">
        <f>"60021171200"</f>
        <v>60021171200</v>
      </c>
      <c r="B5445" s="1" t="str">
        <f>"HARTMEYER MEGAN M, HARTMEYER JAMES L"</f>
        <v>HARTMEYER MEGAN M, HARTMEYER JAMES L</v>
      </c>
      <c r="C5445" s="1" t="str">
        <f>"BEAR TOOTH COURT BLENDON ESTATES SECTION 2 LOT 77"</f>
        <v>BEAR TOOTH COURT BLENDON ESTATES SECTION 2 LOT 77</v>
      </c>
      <c r="D5445" s="1">
        <v>342</v>
      </c>
    </row>
    <row r="5446" spans="1:4" x14ac:dyDescent="0.3">
      <c r="A5446" s="1" t="str">
        <f>"18500050500"</f>
        <v>18500050500</v>
      </c>
      <c r="B5446" s="1" t="str">
        <f>"HARTPENCE CRAIG R"</f>
        <v>HARTPENCE CRAIG R</v>
      </c>
      <c r="C5446" s="1" t="str">
        <f>"KESSLER ST DANIEL KESSLERS SUB 34 "</f>
        <v xml:space="preserve">KESSLER ST DANIEL KESSLERS SUB 34 </v>
      </c>
      <c r="D5446" s="1">
        <v>275.41000000000003</v>
      </c>
    </row>
    <row r="5447" spans="1:4" x14ac:dyDescent="0.3">
      <c r="A5447" s="1" t="str">
        <f>"11000135200"</f>
        <v>11000135200</v>
      </c>
      <c r="B5447" s="1" t="str">
        <f>"HARTSHORN MARY E"</f>
        <v>HARTSHORN MARY E</v>
      </c>
      <c r="C5447" s="1" t="str">
        <f>"3975 MAGNOLIA PL SUNBURY WOODS SEC 2 LOT 396"</f>
        <v>3975 MAGNOLIA PL SUNBURY WOODS SEC 2 LOT 396</v>
      </c>
      <c r="D5447" s="1">
        <v>6055.44</v>
      </c>
    </row>
    <row r="5448" spans="1:4" x14ac:dyDescent="0.3">
      <c r="A5448" s="1" t="str">
        <f>"01002498400"</f>
        <v>01002498400</v>
      </c>
      <c r="B5448" s="1" t="str">
        <f>"HARTWAY DIANNA L"</f>
        <v>HARTWAY DIANNA L</v>
      </c>
      <c r="C5448" s="1" t="str">
        <f>"ST CLAIR AVE ALDRICH &amp; CRITCHFIELD AMD LOTS 1-3"</f>
        <v>ST CLAIR AVE ALDRICH &amp; CRITCHFIELD AMD LOTS 1-3</v>
      </c>
      <c r="D5448" s="1">
        <v>149.97999999999999</v>
      </c>
    </row>
    <row r="5449" spans="1:4" x14ac:dyDescent="0.3">
      <c r="A5449" s="1" t="str">
        <f>"16100089300"</f>
        <v>16100089300</v>
      </c>
      <c r="B5449" s="1" t="str">
        <f>"HARVEY CHARLES ALLEN JR"</f>
        <v>HARVEY CHARLES ALLEN JR</v>
      </c>
      <c r="C5449" s="1" t="str">
        <f>"VINE ST 40 BLK 8 URBANCREST"</f>
        <v>VINE ST 40 BLK 8 URBANCREST</v>
      </c>
      <c r="D5449" s="1">
        <v>62.35</v>
      </c>
    </row>
    <row r="5450" spans="1:4" x14ac:dyDescent="0.3">
      <c r="A5450" s="1" t="str">
        <f>"16100089400"</f>
        <v>16100089400</v>
      </c>
      <c r="B5450" s="1" t="str">
        <f>"HARVEY CHARLES ALLEN JR"</f>
        <v>HARVEY CHARLES ALLEN JR</v>
      </c>
      <c r="C5450" s="1" t="str">
        <f>"VINE ST 41 BLK 8 URBANCREST"</f>
        <v>VINE ST 41 BLK 8 URBANCREST</v>
      </c>
      <c r="D5450" s="1">
        <v>62.35</v>
      </c>
    </row>
    <row r="5451" spans="1:4" x14ac:dyDescent="0.3">
      <c r="A5451" s="1" t="str">
        <f>"16100089500"</f>
        <v>16100089500</v>
      </c>
      <c r="B5451" s="1" t="str">
        <f>"HARVEY CHARLES ALLEN JR"</f>
        <v>HARVEY CHARLES ALLEN JR</v>
      </c>
      <c r="C5451" s="1" t="str">
        <f>"895 VINE ST 42 BLK 8 URBANCREST"</f>
        <v>895 VINE ST 42 BLK 8 URBANCREST</v>
      </c>
      <c r="D5451" s="1">
        <v>62.35</v>
      </c>
    </row>
    <row r="5452" spans="1:4" x14ac:dyDescent="0.3">
      <c r="A5452" s="1" t="str">
        <f>"16100089600"</f>
        <v>16100089600</v>
      </c>
      <c r="B5452" s="1" t="str">
        <f>"HARVEY CHARLES ALLEN JR"</f>
        <v>HARVEY CHARLES ALLEN JR</v>
      </c>
      <c r="C5452" s="1" t="str">
        <f>"VINE ST 43 BLK 8 URBANCREST"</f>
        <v>VINE ST 43 BLK 8 URBANCREST</v>
      </c>
      <c r="D5452" s="1">
        <v>62.35</v>
      </c>
    </row>
    <row r="5453" spans="1:4" x14ac:dyDescent="0.3">
      <c r="A5453" s="1" t="str">
        <f>"01013931200"</f>
        <v>01013931200</v>
      </c>
      <c r="B5453" s="1" t="str">
        <f>"HARVEY JOHN, HARVEY YVETTE"</f>
        <v>HARVEY JOHN, HARVEY YVETTE</v>
      </c>
      <c r="C5453" s="1" t="str">
        <f>"ARCHMERE SQ N DEVONSHIRE 5 SEC 2 LOT 786"</f>
        <v>ARCHMERE SQ N DEVONSHIRE 5 SEC 2 LOT 786</v>
      </c>
      <c r="D5453" s="1">
        <v>518.6</v>
      </c>
    </row>
    <row r="5454" spans="1:4" x14ac:dyDescent="0.3">
      <c r="A5454" s="1" t="str">
        <f>"05000029800"</f>
        <v>05000029800</v>
      </c>
      <c r="B5454" s="1" t="str">
        <f>"HARVEY JOSEPH T, HARVEY CAITLIN M"</f>
        <v>HARVEY JOSEPH T, HARVEY CAITLIN M</v>
      </c>
      <c r="C5454" s="1" t="str">
        <f>"5154 HAMILTON RD NORWICH PL LOT 9"</f>
        <v>5154 HAMILTON RD NORWICH PL LOT 9</v>
      </c>
      <c r="D5454" s="1">
        <v>5774.82</v>
      </c>
    </row>
    <row r="5455" spans="1:4" x14ac:dyDescent="0.3">
      <c r="A5455" s="1" t="str">
        <f>"01009362200"</f>
        <v>01009362200</v>
      </c>
      <c r="B5455" s="1" t="str">
        <f>"HARVEY PHIL"</f>
        <v>HARVEY PHIL</v>
      </c>
      <c r="C5455" s="1" t="str">
        <f>"GLEN AVE MARLBORO PT LOTS 21 &amp; 22"</f>
        <v>GLEN AVE MARLBORO PT LOTS 21 &amp; 22</v>
      </c>
      <c r="D5455" s="1">
        <v>687.35</v>
      </c>
    </row>
    <row r="5456" spans="1:4" x14ac:dyDescent="0.3">
      <c r="A5456" s="1" t="str">
        <f>"01008336300"</f>
        <v>01008336300</v>
      </c>
      <c r="B5456" s="1" t="str">
        <f>"HARVEY SAMUEL R, COULTER KELSEY I"</f>
        <v>HARVEY SAMUEL R, COULTER KELSEY I</v>
      </c>
      <c r="C5456" s="1" t="str">
        <f>"HIAWATHA ST SUNNYSIDE LOTS 218 &amp; 219"</f>
        <v>HIAWATHA ST SUNNYSIDE LOTS 218 &amp; 219</v>
      </c>
      <c r="D5456" s="1">
        <v>147.15</v>
      </c>
    </row>
    <row r="5457" spans="1:4" x14ac:dyDescent="0.3">
      <c r="A5457" s="1" t="str">
        <f>"22200204200"</f>
        <v>22200204200</v>
      </c>
      <c r="B5457" s="1" t="str">
        <f>"HASAN FARHANA, HASAN ASIF"</f>
        <v>HASAN FARHANA, HASAN ASIF</v>
      </c>
      <c r="C5457" s="1" t="str">
        <f>"MILTON NEW ALBANY COUNTRY CLUB SEC 15A LOT 19"</f>
        <v>MILTON NEW ALBANY COUNTRY CLUB SEC 15A LOT 19</v>
      </c>
      <c r="D5457" s="1">
        <v>1769.54</v>
      </c>
    </row>
    <row r="5458" spans="1:4" x14ac:dyDescent="0.3">
      <c r="A5458" s="1" t="str">
        <f>"56021145300"</f>
        <v>56021145300</v>
      </c>
      <c r="B5458" s="1" t="str">
        <f>"HASAN MOHAMMED J"</f>
        <v>HASAN MOHAMMED J</v>
      </c>
      <c r="C5458" s="1" t="str">
        <f>"NIKE DRIVE THE COVENTRY LOT 83"</f>
        <v>NIKE DRIVE THE COVENTRY LOT 83</v>
      </c>
      <c r="D5458" s="1">
        <v>1655.11</v>
      </c>
    </row>
    <row r="5459" spans="1:4" x14ac:dyDescent="0.3">
      <c r="A5459" s="1" t="str">
        <f>"01006583200"</f>
        <v>01006583200</v>
      </c>
      <c r="B5459" s="1" t="str">
        <f>"HASAN MOHAMMED J"</f>
        <v>HASAN MOHAMMED J</v>
      </c>
      <c r="C5459" s="1" t="str">
        <f>"445 HELEN ST WILLIAM WALTER'S FORREST HILL ADD LOT 12 (33.5'X125')"</f>
        <v>445 HELEN ST WILLIAM WALTER'S FORREST HILL ADD LOT 12 (33.5'X125')</v>
      </c>
      <c r="D5459" s="1">
        <v>2120.62</v>
      </c>
    </row>
    <row r="5460" spans="1:4" x14ac:dyDescent="0.3">
      <c r="A5460" s="1" t="str">
        <f>"56027625400"</f>
        <v>56027625400</v>
      </c>
      <c r="B5460" s="1" t="str">
        <f>"HASAN SHAWQI, HASAN SALWA"</f>
        <v>HASAN SHAWQI, HASAN SALWA</v>
      </c>
      <c r="C5460" s="1" t="str">
        <f>"5697 GADSTON WAY VILLAGE AT HILLIARD RUN SECTION 1 PART 1 LOT 55"</f>
        <v>5697 GADSTON WAY VILLAGE AT HILLIARD RUN SECTION 1 PART 1 LOT 55</v>
      </c>
      <c r="D5460" s="1">
        <v>343.66</v>
      </c>
    </row>
    <row r="5461" spans="1:4" x14ac:dyDescent="0.3">
      <c r="A5461" s="1" t="str">
        <f>"01010569100"</f>
        <v>01010569100</v>
      </c>
      <c r="B5461" s="1" t="str">
        <f>"HASEN SOFIA"</f>
        <v>HASEN SOFIA</v>
      </c>
      <c r="C5461" s="1" t="str">
        <f>"MCALLISTER AVE WILLIS PARK 2 LOT 211"</f>
        <v>MCALLISTER AVE WILLIS PARK 2 LOT 211</v>
      </c>
      <c r="D5461" s="1">
        <v>3055.86</v>
      </c>
    </row>
    <row r="5462" spans="1:4" x14ac:dyDescent="0.3">
      <c r="A5462" s="1" t="str">
        <f>"01012832200"</f>
        <v>01012832200</v>
      </c>
      <c r="B5462" s="1" t="str">
        <f>"HASHEM HAIDAR"</f>
        <v>HASHEM HAIDAR</v>
      </c>
      <c r="C5462" s="1" t="str">
        <f>"2170 EARL AVE ORCHARD HTS LOT 16"</f>
        <v>2170 EARL AVE ORCHARD HTS LOT 16</v>
      </c>
      <c r="D5462" s="1">
        <v>991.4</v>
      </c>
    </row>
    <row r="5463" spans="1:4" x14ac:dyDescent="0.3">
      <c r="A5463" s="1" t="str">
        <f>"05000496200"</f>
        <v>05000496200</v>
      </c>
      <c r="B5463" s="1" t="str">
        <f>"HASHEM HAIDAR"</f>
        <v>HASHEM HAIDAR</v>
      </c>
      <c r="C5463" s="1" t="str">
        <f>"5299 DUTCHESS LANE AVERY ESTATES CONDO UNIT 23B"</f>
        <v>5299 DUTCHESS LANE AVERY ESTATES CONDO UNIT 23B</v>
      </c>
      <c r="D5463" s="1">
        <v>2270.3200000000002</v>
      </c>
    </row>
    <row r="5464" spans="1:4" x14ac:dyDescent="0.3">
      <c r="A5464" s="1" t="str">
        <f>"01019103900"</f>
        <v>01019103900</v>
      </c>
      <c r="B5464" s="1" t="str">
        <f>"HASHEM HAIDAR"</f>
        <v>HASHEM HAIDAR</v>
      </c>
      <c r="C5464" s="1" t="str">
        <f>"WORTHINGTON FOREST CONDO UNIT 5485 BLDG 5"</f>
        <v>WORTHINGTON FOREST CONDO UNIT 5485 BLDG 5</v>
      </c>
      <c r="D5464" s="1">
        <v>827.52</v>
      </c>
    </row>
    <row r="5465" spans="1:4" x14ac:dyDescent="0.3">
      <c r="A5465" s="1" t="str">
        <f>"05000496100"</f>
        <v>05000496100</v>
      </c>
      <c r="B5465" s="1" t="str">
        <f>"HASHEM HOLDINGS LLC"</f>
        <v>HASHEM HOLDINGS LLC</v>
      </c>
      <c r="C5465" s="1" t="str">
        <f>"4851 LADY JANE AVE AVERY ESTATES CONDO UNIT 23A"</f>
        <v>4851 LADY JANE AVE AVERY ESTATES CONDO UNIT 23A</v>
      </c>
      <c r="D5465" s="1">
        <v>2270.3200000000002</v>
      </c>
    </row>
    <row r="5466" spans="1:4" x14ac:dyDescent="0.3">
      <c r="A5466" s="1" t="str">
        <f>"60016469200"</f>
        <v>60016469200</v>
      </c>
      <c r="B5466" s="1" t="str">
        <f>"HASHI SUAD A"</f>
        <v>HASHI SUAD A</v>
      </c>
      <c r="C5466" s="1" t="str">
        <f>"PEPPERTREE CONDM SEC TWO BLDG 14 UNIT 54"</f>
        <v>PEPPERTREE CONDM SEC TWO BLDG 14 UNIT 54</v>
      </c>
      <c r="D5466" s="1">
        <v>2421.89</v>
      </c>
    </row>
    <row r="5467" spans="1:4" x14ac:dyDescent="0.3">
      <c r="A5467" s="1" t="str">
        <f>"01016628300"</f>
        <v>01016628300</v>
      </c>
      <c r="B5467" s="1" t="str">
        <f>"HASHI SUAD A"</f>
        <v>HASHI SUAD A</v>
      </c>
      <c r="C5467" s="1" t="str">
        <f>"3240 VALLEY LANE S RAVINE CONDOMINIUMS I LOT Z 32"</f>
        <v>3240 VALLEY LANE S RAVINE CONDOMINIUMS I LOT Z 32</v>
      </c>
      <c r="D5467" s="1">
        <v>2368.81</v>
      </c>
    </row>
    <row r="5468" spans="1:4" x14ac:dyDescent="0.3">
      <c r="A5468" s="1" t="str">
        <f>"06000777100"</f>
        <v>06000777100</v>
      </c>
      <c r="B5468" s="1" t="str">
        <f>"HASKAKIS NICKOLAOS M TR, HASKAKIS DJURDJICA J TR"</f>
        <v>HASKAKIS NICKOLAOS M TR, HASKAKIS DJURDJICA J TR</v>
      </c>
      <c r="C5468" s="1" t="str">
        <f>"7523 DAUGHERTY DRIVE CRYSTAL LAKES SEC 1 LOT 10"</f>
        <v>7523 DAUGHERTY DRIVE CRYSTAL LAKES SEC 1 LOT 10</v>
      </c>
      <c r="D5468" s="1">
        <v>3287.97</v>
      </c>
    </row>
    <row r="5469" spans="1:4" x14ac:dyDescent="0.3">
      <c r="A5469" s="1" t="str">
        <f>"01011007100"</f>
        <v>01011007100</v>
      </c>
      <c r="B5469" s="1" t="str">
        <f>"HASKE KEVIN C F"</f>
        <v>HASKE KEVIN C F</v>
      </c>
      <c r="C5469" s="1" t="str">
        <f>"INDIANOLA AVE LOT 36 INDIANOLA ACRES"</f>
        <v>INDIANOLA AVE LOT 36 INDIANOLA ACRES</v>
      </c>
      <c r="D5469" s="1">
        <v>3390.01</v>
      </c>
    </row>
    <row r="5470" spans="1:4" x14ac:dyDescent="0.3">
      <c r="A5470" s="1" t="str">
        <f>"24000582000"</f>
        <v>24000582000</v>
      </c>
      <c r="B5470" s="1" t="str">
        <f>"HASLAM WILLIAM CHRIS TR"</f>
        <v>HASLAM WILLIAM CHRIS TR</v>
      </c>
      <c r="C5470" s="1" t="str">
        <f>"IDLE BROOK PLACE LAKE DARBY ESTATES 1 LOT 317"</f>
        <v>IDLE BROOK PLACE LAKE DARBY ESTATES 1 LOT 317</v>
      </c>
      <c r="D5470" s="1">
        <v>1516.78</v>
      </c>
    </row>
    <row r="5471" spans="1:4" x14ac:dyDescent="0.3">
      <c r="A5471" s="1" t="str">
        <f>"60022330400"</f>
        <v>60022330400</v>
      </c>
      <c r="B5471" s="1" t="str">
        <f>"HASSAN ABDIRIZAK S"</f>
        <v>HASSAN ABDIRIZAK S</v>
      </c>
      <c r="C5471" s="1" t="str">
        <f>"0000 LONGSHADOW DR TREMONT PLACE LOT 44"</f>
        <v>0000 LONGSHADOW DR TREMONT PLACE LOT 44</v>
      </c>
      <c r="D5471" s="1">
        <v>5683.94</v>
      </c>
    </row>
    <row r="5472" spans="1:4" x14ac:dyDescent="0.3">
      <c r="A5472" s="1" t="str">
        <f>"24000702300"</f>
        <v>24000702300</v>
      </c>
      <c r="B5472" s="1" t="str">
        <f>"HASSAN ABUKAR OMAR"</f>
        <v>HASSAN ABUKAR OMAR</v>
      </c>
      <c r="C5472" s="1" t="str">
        <f>"VILLAGES AT GALLOWAY PHASE 3 LOT 67"</f>
        <v>VILLAGES AT GALLOWAY PHASE 3 LOT 67</v>
      </c>
      <c r="D5472" s="1">
        <v>2200</v>
      </c>
    </row>
    <row r="5473" spans="1:4" x14ac:dyDescent="0.3">
      <c r="A5473" s="1" t="str">
        <f>"01005279800"</f>
        <v>01005279800</v>
      </c>
      <c r="B5473" s="1" t="str">
        <f>"HASSAN FAHAD"</f>
        <v>HASSAN FAHAD</v>
      </c>
      <c r="C5473" s="1" t="str">
        <f>"917 CHITTENDEN AVE DOW HRS LOT 69 "</f>
        <v xml:space="preserve">917 CHITTENDEN AVE DOW HRS LOT 69 </v>
      </c>
      <c r="D5473" s="1">
        <v>2013.31</v>
      </c>
    </row>
    <row r="5474" spans="1:4" x14ac:dyDescent="0.3">
      <c r="A5474" s="1" t="str">
        <f>"04001377800"</f>
        <v>04001377800</v>
      </c>
      <c r="B5474" s="1" t="str">
        <f>"HASSAN HAFEEZ UL, RIAZ IQRA"</f>
        <v>HASSAN HAFEEZ UL, RIAZ IQRA</v>
      </c>
      <c r="C5474" s="1" t="str">
        <f>"4719 HIRTH HILL ROAD WEST PINNACLE CLUB SECTION 5   LOT 460                  "</f>
        <v xml:space="preserve">4719 HIRTH HILL ROAD WEST PINNACLE CLUB SECTION 5   LOT 460                  </v>
      </c>
      <c r="D5474" s="1">
        <v>17748.54</v>
      </c>
    </row>
    <row r="5475" spans="1:4" x14ac:dyDescent="0.3">
      <c r="A5475" s="1" t="str">
        <f>"01018615900"</f>
        <v>01018615900</v>
      </c>
      <c r="B5475" s="1" t="str">
        <f>"HASSAN MAHAD"</f>
        <v>HASSAN MAHAD</v>
      </c>
      <c r="C5475" s="1" t="str">
        <f>"HIDDEN ACRES CT THE HIDDEN AC CONDO BLDG 1 UNIT 1005"</f>
        <v>HIDDEN ACRES CT THE HIDDEN AC CONDO BLDG 1 UNIT 1005</v>
      </c>
      <c r="D5475" s="1">
        <v>690.77</v>
      </c>
    </row>
    <row r="5476" spans="1:4" x14ac:dyDescent="0.3">
      <c r="A5476" s="1" t="str">
        <f>"01007096800"</f>
        <v>01007096800</v>
      </c>
      <c r="B5476" s="1" t="str">
        <f>"HASSAN MOHAMED"</f>
        <v>HASSAN MOHAMED</v>
      </c>
      <c r="C5476" s="1" t="str">
        <f>"EDDYSTONE AVE EDDYSTONE PL LOT 50"</f>
        <v>EDDYSTONE AVE EDDYSTONE PL LOT 50</v>
      </c>
      <c r="D5476" s="1">
        <v>784.67</v>
      </c>
    </row>
    <row r="5477" spans="1:4" x14ac:dyDescent="0.3">
      <c r="A5477" s="1" t="str">
        <f>"01007096900"</f>
        <v>01007096900</v>
      </c>
      <c r="B5477" s="1" t="str">
        <f>"HASSAN MOHAMED"</f>
        <v>HASSAN MOHAMED</v>
      </c>
      <c r="C5477" s="1" t="str">
        <f>"EDDYSTONE AVE EDDYSTONE PL LOT 51"</f>
        <v>EDDYSTONE AVE EDDYSTONE PL LOT 51</v>
      </c>
      <c r="D5477" s="1">
        <v>772.55</v>
      </c>
    </row>
    <row r="5478" spans="1:4" x14ac:dyDescent="0.3">
      <c r="A5478" s="1" t="str">
        <f>"01007042100"</f>
        <v>01007042100</v>
      </c>
      <c r="B5478" s="1" t="str">
        <f>"HASSAN MOHAMED"</f>
        <v>HASSAN MOHAMED</v>
      </c>
      <c r="C5478" s="1" t="str">
        <f>"EDDYSTONE AVE EDDYSTONE PL LOT 52"</f>
        <v>EDDYSTONE AVE EDDYSTONE PL LOT 52</v>
      </c>
      <c r="D5478" s="1">
        <v>763</v>
      </c>
    </row>
    <row r="5479" spans="1:4" x14ac:dyDescent="0.3">
      <c r="A5479" s="1" t="str">
        <f>"19100045400"</f>
        <v>19100045400</v>
      </c>
      <c r="B5479" s="1" t="str">
        <f>"HASSAN MOHAMED"</f>
        <v>HASSAN MOHAMED</v>
      </c>
      <c r="C5479" s="1" t="str">
        <f>"GENESSEE AVENUE LEONARD PARK LOT 37 BLK D"</f>
        <v>GENESSEE AVENUE LEONARD PARK LOT 37 BLK D</v>
      </c>
      <c r="D5479" s="1">
        <v>782.69</v>
      </c>
    </row>
    <row r="5480" spans="1:4" x14ac:dyDescent="0.3">
      <c r="A5480" s="1" t="str">
        <f>"01000401200"</f>
        <v>01000401200</v>
      </c>
      <c r="B5480" s="1" t="str">
        <f>"HASSAN MOHAMMED R"</f>
        <v>HASSAN MOHAMMED R</v>
      </c>
      <c r="C5480" s="1" t="str">
        <f>"1091 WALTERS ST SHORTS LOT 17"</f>
        <v>1091 WALTERS ST SHORTS LOT 17</v>
      </c>
      <c r="D5480" s="1">
        <v>724.74</v>
      </c>
    </row>
    <row r="5481" spans="1:4" x14ac:dyDescent="0.3">
      <c r="A5481" s="1" t="str">
        <f>"01016202000"</f>
        <v>01016202000</v>
      </c>
      <c r="B5481" s="1" t="str">
        <f>"HASSAN SHAMSO YOSUF, ISMAIL LIIBAAN M"</f>
        <v>HASSAN SHAMSO YOSUF, ISMAIL LIIBAAN M</v>
      </c>
      <c r="C5481" s="1" t="str">
        <f>"BOYLESTON BLVD FRAMINGHAM LOT 194"</f>
        <v>BOYLESTON BLVD FRAMINGHAM LOT 194</v>
      </c>
      <c r="D5481" s="1">
        <v>1141.54</v>
      </c>
    </row>
    <row r="5482" spans="1:4" x14ac:dyDescent="0.3">
      <c r="A5482" s="1" t="str">
        <f>"02500666000"</f>
        <v>02500666000</v>
      </c>
      <c r="B5482" s="1" t="str">
        <f>"HASSKEW JOSEPH LEE, HASSKEW JILL"</f>
        <v>HASSKEW JOSEPH LEE, HASSKEW JILL</v>
      </c>
      <c r="C5482" s="1" t="str">
        <f>"880 S TAMARA DRIVE HUNTERS RIDGE SEC 7 LOT 488"</f>
        <v>880 S TAMARA DRIVE HUNTERS RIDGE SEC 7 LOT 488</v>
      </c>
      <c r="D5482" s="1">
        <v>209.08</v>
      </c>
    </row>
    <row r="5483" spans="1:4" x14ac:dyDescent="0.3">
      <c r="A5483" s="1" t="str">
        <f>"01027555800"</f>
        <v>01027555800</v>
      </c>
      <c r="B5483" s="1" t="str">
        <f>"HASTINGS KATHY"</f>
        <v>HASTINGS KATHY</v>
      </c>
      <c r="C5483" s="1" t="str">
        <f>"4030 PEREGRINE PASS       TOWN SQUARE VILLAGES AT   PRESERVE CROSS S-1 LOT 29"</f>
        <v>4030 PEREGRINE PASS       TOWN SQUARE VILLAGES AT   PRESERVE CROSS S-1 LOT 29</v>
      </c>
      <c r="D5483" s="1">
        <v>4548.6400000000003</v>
      </c>
    </row>
    <row r="5484" spans="1:4" x14ac:dyDescent="0.3">
      <c r="A5484" s="1" t="str">
        <f>"01005029100"</f>
        <v>01005029100</v>
      </c>
      <c r="B5484" s="1" t="str">
        <f>"HATCH MARILYN D S"</f>
        <v>HATCH MARILYN D S</v>
      </c>
      <c r="C5484" s="1" t="str">
        <f>"DENBRIDGE WY EAST GATE 2 BLK 11 LOT 29"</f>
        <v>DENBRIDGE WY EAST GATE 2 BLK 11 LOT 29</v>
      </c>
      <c r="D5484" s="1">
        <v>879.87</v>
      </c>
    </row>
    <row r="5485" spans="1:4" x14ac:dyDescent="0.3">
      <c r="A5485" s="1" t="str">
        <f>"22000219300"</f>
        <v>22000219300</v>
      </c>
      <c r="B5485" s="1" t="str">
        <f>"HATCH MELVIN D, HATCH KAREN M"</f>
        <v>HATCH MELVIN D, HATCH KAREN M</v>
      </c>
      <c r="C5485" s="1" t="str">
        <f>"SMOTHERS ROAD R16 T2 1/4T2 4.860 ACRES"</f>
        <v>SMOTHERS ROAD R16 T2 1/4T2 4.860 ACRES</v>
      </c>
      <c r="D5485" s="1">
        <v>2581.17</v>
      </c>
    </row>
    <row r="5486" spans="1:4" x14ac:dyDescent="0.3">
      <c r="A5486" s="1" t="str">
        <f>"13000157000"</f>
        <v>13000157000</v>
      </c>
      <c r="B5486" s="1" t="str">
        <f>"HATCHER DONALD D, HATCHER TERESA L"</f>
        <v>HATCHER DONALD D, HATCHER TERESA L</v>
      </c>
      <c r="C5486" s="1" t="str">
        <f>"1895 CASE RD NORTH LINDEN 1 LOT 203"</f>
        <v>1895 CASE RD NORTH LINDEN 1 LOT 203</v>
      </c>
      <c r="D5486" s="1">
        <v>195.64</v>
      </c>
    </row>
    <row r="5487" spans="1:4" x14ac:dyDescent="0.3">
      <c r="A5487" s="1" t="str">
        <f>"01003806700"</f>
        <v>01003806700</v>
      </c>
      <c r="B5487" s="1" t="str">
        <f>"HATCHER HEATHER"</f>
        <v>HATCHER HEATHER</v>
      </c>
      <c r="C5487" s="1" t="str">
        <f>"HAGUE AVE WICKLOW EXT LOT 761-62"</f>
        <v>HAGUE AVE WICKLOW EXT LOT 761-62</v>
      </c>
      <c r="D5487" s="1">
        <v>2176.5300000000002</v>
      </c>
    </row>
    <row r="5488" spans="1:4" x14ac:dyDescent="0.3">
      <c r="A5488" s="1" t="str">
        <f>"01011223500"</f>
        <v>01011223500</v>
      </c>
      <c r="B5488" s="1" t="str">
        <f>"HATEM ANTON E"</f>
        <v>HATEM ANTON E</v>
      </c>
      <c r="C5488" s="1" t="str">
        <f>"2643 S HIGH ST BROOKSIDE LOT 15"</f>
        <v>2643 S HIGH ST BROOKSIDE LOT 15</v>
      </c>
      <c r="D5488" s="1">
        <v>5236.7</v>
      </c>
    </row>
    <row r="5489" spans="1:4" x14ac:dyDescent="0.3">
      <c r="A5489" s="1" t="str">
        <f>"15000031500"</f>
        <v>15000031500</v>
      </c>
      <c r="B5489" s="1" t="str">
        <f>"HATFIELD JIMMY JOE JR"</f>
        <v>HATFIELD JIMMY JOE JR</v>
      </c>
      <c r="C5489" s="1" t="str">
        <f>"3549 S CHAMPION AVE GREEN ACRES 3 12"</f>
        <v>3549 S CHAMPION AVE GREEN ACRES 3 12</v>
      </c>
      <c r="D5489" s="1">
        <v>2279.25</v>
      </c>
    </row>
    <row r="5490" spans="1:4" x14ac:dyDescent="0.3">
      <c r="A5490" s="1" t="str">
        <f>"59021679600"</f>
        <v>59021679600</v>
      </c>
      <c r="B5490" s="1" t="str">
        <f>"HATTA CAROLYN J"</f>
        <v>HATTA CAROLYN J</v>
      </c>
      <c r="C5490" s="1" t="str">
        <f>"TROTTERS CHASE CONDOMINIUM BLDG 21 UNIT 2573"</f>
        <v>TROTTERS CHASE CONDOMINIUM BLDG 21 UNIT 2573</v>
      </c>
      <c r="D5490" s="1">
        <v>2447.9699999999998</v>
      </c>
    </row>
    <row r="5491" spans="1:4" x14ac:dyDescent="0.3">
      <c r="A5491" s="1" t="str">
        <f>"01011205900"</f>
        <v>01011205900</v>
      </c>
      <c r="B5491" s="1" t="str">
        <f>"HATTEN JERRIE"</f>
        <v>HATTEN JERRIE</v>
      </c>
      <c r="C5491" s="1" t="str">
        <f>"768 STAMBAUGH AVE ALICE MARION LOTS 29-31"</f>
        <v>768 STAMBAUGH AVE ALICE MARION LOTS 29-31</v>
      </c>
      <c r="D5491" s="1">
        <v>1308.58</v>
      </c>
    </row>
    <row r="5492" spans="1:4" x14ac:dyDescent="0.3">
      <c r="A5492" s="1" t="str">
        <f>"27400165800"</f>
        <v>27400165800</v>
      </c>
      <c r="B5492" s="1" t="str">
        <f>"HAUGHAWOUT BOBBYE J, HAUGHAWOUT JOHN D"</f>
        <v>HAUGHAWOUT BOBBYE J, HAUGHAWOUT JOHN D</v>
      </c>
      <c r="C5492" s="1" t="str">
        <f>"VILLAS AT BALLANTRAE      CONDOMINIUM 30TH AMD      UNIT 25-6655             "</f>
        <v xml:space="preserve">VILLAS AT BALLANTRAE      CONDOMINIUM 30TH AMD      UNIT 25-6655             </v>
      </c>
      <c r="D5492" s="1">
        <v>711.76</v>
      </c>
    </row>
    <row r="5493" spans="1:4" x14ac:dyDescent="0.3">
      <c r="A5493" s="1" t="str">
        <f>"01002788900"</f>
        <v>01002788900</v>
      </c>
      <c r="B5493" s="1" t="str">
        <f>"HAVENS EDGE APARTMENTS LLC"</f>
        <v>HAVENS EDGE APARTMENTS LLC</v>
      </c>
      <c r="C5493" s="1" t="str">
        <f>"FOREST GREEN CT HELEN DEVELOPMENT 6.478 ACRES"</f>
        <v>FOREST GREEN CT HELEN DEVELOPMENT 6.478 ACRES</v>
      </c>
      <c r="D5493" s="1">
        <v>318</v>
      </c>
    </row>
    <row r="5494" spans="1:4" x14ac:dyDescent="0.3">
      <c r="A5494" s="1" t="str">
        <f>"01011867700"</f>
        <v>01011867700</v>
      </c>
      <c r="B5494" s="1" t="str">
        <f>"HAVICE KEN W"</f>
        <v>HAVICE KEN W</v>
      </c>
      <c r="C5494" s="1" t="str">
        <f>"CONDON DRIVE CATALPA PARK LOT 7"</f>
        <v>CONDON DRIVE CATALPA PARK LOT 7</v>
      </c>
      <c r="D5494" s="1">
        <v>62.26</v>
      </c>
    </row>
    <row r="5495" spans="1:4" x14ac:dyDescent="0.3">
      <c r="A5495" s="1" t="str">
        <f>"01011868800"</f>
        <v>01011868800</v>
      </c>
      <c r="B5495" s="1" t="str">
        <f>"HAVICE KEN W"</f>
        <v>HAVICE KEN W</v>
      </c>
      <c r="C5495" s="1" t="str">
        <f>"CONDON DRIVE CATALPA PARK LOT 18"</f>
        <v>CONDON DRIVE CATALPA PARK LOT 18</v>
      </c>
      <c r="D5495" s="1">
        <v>721.56</v>
      </c>
    </row>
    <row r="5496" spans="1:4" x14ac:dyDescent="0.3">
      <c r="A5496" s="1" t="str">
        <f>"02500037800"</f>
        <v>02500037800</v>
      </c>
      <c r="B5496" s="1" t="str">
        <f>"HAW CHARLES F"</f>
        <v>HAW CHARLES F</v>
      </c>
      <c r="C5496" s="1" t="str">
        <f>"108 JAHN DR CHESTERFIELD EST LOT 48"</f>
        <v>108 JAHN DR CHESTERFIELD EST LOT 48</v>
      </c>
      <c r="D5496" s="1">
        <v>133.79</v>
      </c>
    </row>
    <row r="5497" spans="1:4" x14ac:dyDescent="0.3">
      <c r="A5497" s="1" t="str">
        <f>"02500504400"</f>
        <v>02500504400</v>
      </c>
      <c r="B5497" s="1" t="str">
        <f>"HAWK DWAYNE E, HAWK KARI K"</f>
        <v>HAWK DWAYNE E, HAWK KARI K</v>
      </c>
      <c r="C5497" s="1" t="str">
        <f>"765 TABON COURT HUNTERS RIDGE SEC 4 LOT 242"</f>
        <v>765 TABON COURT HUNTERS RIDGE SEC 4 LOT 242</v>
      </c>
      <c r="D5497" s="1">
        <v>7539.17</v>
      </c>
    </row>
    <row r="5498" spans="1:4" x14ac:dyDescent="0.3">
      <c r="A5498" s="1" t="str">
        <f>"07000586900"</f>
        <v>07000586900</v>
      </c>
      <c r="B5498" s="1" t="str">
        <f>"HAWK TRACY, CARR TYLER"</f>
        <v>HAWK TRACY, CARR TYLER</v>
      </c>
      <c r="C5498" s="1" t="str">
        <f>"LEIGHTON RD N MOUNTVIEW EXT 1 31 BLK 282"</f>
        <v>LEIGHTON RD N MOUNTVIEW EXT 1 31 BLK 282</v>
      </c>
      <c r="D5498" s="1">
        <v>9017.3799999999992</v>
      </c>
    </row>
    <row r="5499" spans="1:4" x14ac:dyDescent="0.3">
      <c r="A5499" s="1" t="str">
        <f>"57016574200"</f>
        <v>57016574200</v>
      </c>
      <c r="B5499" s="1" t="str">
        <f>"HAWKES TERRY, HAWKES KIMBERLY"</f>
        <v>HAWKES TERRY, HAWKES KIMBERLY</v>
      </c>
      <c r="C5499" s="1" t="str">
        <f>"WESTBURY VILLAGE CONDOMINIUM NO 1 UNIT 13-C"</f>
        <v>WESTBURY VILLAGE CONDOMINIUM NO 1 UNIT 13-C</v>
      </c>
      <c r="D5499" s="1">
        <v>2108.87</v>
      </c>
    </row>
    <row r="5500" spans="1:4" x14ac:dyDescent="0.3">
      <c r="A5500" s="1" t="str">
        <f>"08000649400"</f>
        <v>08000649400</v>
      </c>
      <c r="B5500" s="1" t="str">
        <f>"HAWKINBERRY BARTON D TTEE, HAWKINBERRY JULIE A TTEE"</f>
        <v>HAWKINBERRY BARTON D TTEE, HAWKINBERRY JULIE A TTEE</v>
      </c>
      <c r="C5500" s="1" t="str">
        <f>"WOODLAKE COLONY PH 3 LOT 142 &amp; 0.141 ACRE SEE NOTE ON LEGAL"</f>
        <v>WOODLAKE COLONY PH 3 LOT 142 &amp; 0.141 ACRE SEE NOTE ON LEGAL</v>
      </c>
      <c r="D5500" s="1">
        <v>60</v>
      </c>
    </row>
    <row r="5501" spans="1:4" x14ac:dyDescent="0.3">
      <c r="A5501" s="1" t="str">
        <f>"59022369500"</f>
        <v>59022369500</v>
      </c>
      <c r="B5501" s="1" t="str">
        <f>"HAWKINS GREGORY"</f>
        <v>HAWKINS GREGORY</v>
      </c>
      <c r="C5501" s="1" t="str">
        <f>"BETHEL VILLAGE CONDOMINIUM 6TH AMD UNIT 71B"</f>
        <v>BETHEL VILLAGE CONDOMINIUM 6TH AMD UNIT 71B</v>
      </c>
      <c r="D5501" s="1">
        <v>4895.7</v>
      </c>
    </row>
    <row r="5502" spans="1:4" x14ac:dyDescent="0.3">
      <c r="A5502" s="1" t="str">
        <f>"01011901800"</f>
        <v>01011901800</v>
      </c>
      <c r="B5502" s="1" t="str">
        <f>"HAWKINS LORECE"</f>
        <v>HAWKINS LORECE</v>
      </c>
      <c r="C5502" s="1" t="str">
        <f>"GROVEWOOD DR SOUTHFIELD LOT 41"</f>
        <v>GROVEWOOD DR SOUTHFIELD LOT 41</v>
      </c>
      <c r="D5502" s="1">
        <v>441.71</v>
      </c>
    </row>
    <row r="5503" spans="1:4" x14ac:dyDescent="0.3">
      <c r="A5503" s="1" t="str">
        <f>"01010868100"</f>
        <v>01010868100</v>
      </c>
      <c r="B5503" s="1" t="str">
        <f>"HAWKINS ROBIN BETH"</f>
        <v>HAWKINS ROBIN BETH</v>
      </c>
      <c r="C5503" s="1" t="str">
        <f>"2168 PARKWOOD AVE GREENDALE PLACE LOT 35 &amp; PT LOT 36"</f>
        <v>2168 PARKWOOD AVE GREENDALE PLACE LOT 35 &amp; PT LOT 36</v>
      </c>
      <c r="D5503" s="1">
        <v>102.24</v>
      </c>
    </row>
    <row r="5504" spans="1:4" x14ac:dyDescent="0.3">
      <c r="A5504" s="1" t="str">
        <f>"01002382200"</f>
        <v>01002382200</v>
      </c>
      <c r="B5504" s="1" t="str">
        <f>"HAWKS HOWARD E, HAWKS DIANA B"</f>
        <v>HAWKS HOWARD E, HAWKS DIANA B</v>
      </c>
      <c r="C5504" s="1" t="str">
        <f>"195 KELSO RD ALL LOT 962&amp;8.33FT WS OF LOT 963 CRESTVIEW"</f>
        <v>195 KELSO RD ALL LOT 962&amp;8.33FT WS OF LOT 963 CRESTVIEW</v>
      </c>
      <c r="D5504" s="1">
        <v>8.7100000000000009</v>
      </c>
    </row>
    <row r="5505" spans="1:4" x14ac:dyDescent="0.3">
      <c r="A5505" s="1" t="str">
        <f>"60017614700"</f>
        <v>60017614700</v>
      </c>
      <c r="B5505" s="1" t="str">
        <f>"HAWKSWAY LLC"</f>
        <v>HAWKSWAY LLC</v>
      </c>
      <c r="C5505" s="1" t="str">
        <f>"HAWKS-WAY CT COOPER RIDGE LOT 13"</f>
        <v>HAWKS-WAY CT COOPER RIDGE LOT 13</v>
      </c>
      <c r="D5505" s="1">
        <v>227.81</v>
      </c>
    </row>
    <row r="5506" spans="1:4" x14ac:dyDescent="0.3">
      <c r="A5506" s="1" t="str">
        <f>"59020006000"</f>
        <v>59020006000</v>
      </c>
      <c r="B5506" s="1" t="str">
        <f>"HAWRAMANI SHINE"</f>
        <v>HAWRAMANI SHINE</v>
      </c>
      <c r="C5506" s="1" t="str">
        <f>"7874 MEADOWHAVEN BL MILLCREEK COM CONDO 1ST AMD UNIT 97"</f>
        <v>7874 MEADOWHAVEN BL MILLCREEK COM CONDO 1ST AMD UNIT 97</v>
      </c>
      <c r="D5506" s="1">
        <v>1902.56</v>
      </c>
    </row>
    <row r="5507" spans="1:4" x14ac:dyDescent="0.3">
      <c r="A5507" s="1" t="str">
        <f>"05000530900"</f>
        <v>05000530900</v>
      </c>
      <c r="B5507" s="1" t="str">
        <f>"HAWS KEITH JESSE, HAWS ALANA ELIZABETH"</f>
        <v>HAWS KEITH JESSE, HAWS ALANA ELIZABETH</v>
      </c>
      <c r="C5507" s="1" t="str">
        <f>"DAVIDSON ROAD BRIXSTON SUBDIVISION LOT 84"</f>
        <v>DAVIDSON ROAD BRIXSTON SUBDIVISION LOT 84</v>
      </c>
      <c r="D5507" s="1">
        <v>444.42</v>
      </c>
    </row>
    <row r="5508" spans="1:4" x14ac:dyDescent="0.3">
      <c r="A5508" s="1" t="str">
        <f>"01005007500"</f>
        <v>01005007500</v>
      </c>
      <c r="B5508" s="1" t="str">
        <f>"HAWTHORNE SHERRY"</f>
        <v>HAWTHORNE SHERRY</v>
      </c>
      <c r="C5508" s="1" t="str">
        <f>"1868 S 6TH ST LINTON &amp; MCLARREN'S PARCELS PT OF LOT 94"</f>
        <v>1868 S 6TH ST LINTON &amp; MCLARREN'S PARCELS PT OF LOT 94</v>
      </c>
      <c r="D5508" s="1">
        <v>83.44</v>
      </c>
    </row>
    <row r="5509" spans="1:4" x14ac:dyDescent="0.3">
      <c r="A5509" s="1" t="str">
        <f>"01007789500"</f>
        <v>01007789500</v>
      </c>
      <c r="B5509" s="1" t="str">
        <f>"HAYDEN AILEEN"</f>
        <v>HAYDEN AILEEN</v>
      </c>
      <c r="C5509" s="1" t="str">
        <f>"1246 MINNESOTA AVE LINDEN LOT 608"</f>
        <v>1246 MINNESOTA AVE LINDEN LOT 608</v>
      </c>
      <c r="D5509" s="1">
        <v>770.13</v>
      </c>
    </row>
    <row r="5510" spans="1:4" x14ac:dyDescent="0.3">
      <c r="A5510" s="1" t="str">
        <f>"01006000700"</f>
        <v>01006000700</v>
      </c>
      <c r="B5510" s="1" t="str">
        <f>"HAYDEN AILEEN L"</f>
        <v>HAYDEN AILEEN L</v>
      </c>
      <c r="C5510" s="1" t="str">
        <f>"1242 MINNESOTA LINDEN LOT 609"</f>
        <v>1242 MINNESOTA LINDEN LOT 609</v>
      </c>
      <c r="D5510" s="1">
        <v>952.52</v>
      </c>
    </row>
    <row r="5511" spans="1:4" x14ac:dyDescent="0.3">
      <c r="A5511" s="1" t="str">
        <f>"59019981800"</f>
        <v>59019981800</v>
      </c>
      <c r="B5511" s="1" t="str">
        <f>"HAYDEN PATRICIA S"</f>
        <v>HAYDEN PATRICIA S</v>
      </c>
      <c r="C5511" s="1" t="str">
        <f>"KEATING DR BALLYMEAD DUBLIN SEC 3 PT 2 LOT 180"</f>
        <v>KEATING DR BALLYMEAD DUBLIN SEC 3 PT 2 LOT 180</v>
      </c>
      <c r="D5511" s="1">
        <v>7658.32</v>
      </c>
    </row>
    <row r="5512" spans="1:4" x14ac:dyDescent="0.3">
      <c r="A5512" s="1" t="str">
        <f>"01009040700"</f>
        <v>01009040700</v>
      </c>
      <c r="B5512" s="1" t="str">
        <f>"HAYES ANGELA S"</f>
        <v>HAYES ANGELA S</v>
      </c>
      <c r="C5512" s="1" t="str">
        <f>"PARKLAND PL EASTMINSTER LOT 184"</f>
        <v>PARKLAND PL EASTMINSTER LOT 184</v>
      </c>
      <c r="D5512" s="1">
        <v>1705.48</v>
      </c>
    </row>
    <row r="5513" spans="1:4" x14ac:dyDescent="0.3">
      <c r="A5513" s="1" t="str">
        <f>"23000302300"</f>
        <v>23000302300</v>
      </c>
      <c r="B5513" s="1" t="str">
        <f>"HAYES BRENT T TTEE, HAYES BRIAN K TTEE"</f>
        <v>HAYES BRENT T TTEE, HAYES BRIAN K TTEE</v>
      </c>
      <c r="C5513" s="1" t="str">
        <f>"WM SCOTT ROAD ENTRY 6309-6582 39.026 ACRES"</f>
        <v>WM SCOTT ROAD ENTRY 6309-6582 39.026 ACRES</v>
      </c>
      <c r="D5513" s="1">
        <v>195.4</v>
      </c>
    </row>
    <row r="5514" spans="1:4" x14ac:dyDescent="0.3">
      <c r="A5514" s="1" t="str">
        <f>"01015710400"</f>
        <v>01015710400</v>
      </c>
      <c r="B5514" s="1" t="str">
        <f>"HAYES DANNY L, HAYES SHIRLEY A"</f>
        <v>HAYES DANNY L, HAYES SHIRLEY A</v>
      </c>
      <c r="C5514" s="1" t="str">
        <f>"1677 AMERICANA CT SKYWAE HTS SEC 7 LOT 294"</f>
        <v>1677 AMERICANA CT SKYWAE HTS SEC 7 LOT 294</v>
      </c>
      <c r="D5514" s="1">
        <v>4391.63</v>
      </c>
    </row>
    <row r="5515" spans="1:4" x14ac:dyDescent="0.3">
      <c r="A5515" s="1" t="str">
        <f>"01016701900"</f>
        <v>01016701900</v>
      </c>
      <c r="B5515" s="1" t="str">
        <f>"HAYES HERBERT"</f>
        <v>HAYES HERBERT</v>
      </c>
      <c r="C5515" s="1" t="str">
        <f>"2221 SAGAMORE RD AMVET HOMESTEAD 2 LOT 25 BLK P"</f>
        <v>2221 SAGAMORE RD AMVET HOMESTEAD 2 LOT 25 BLK P</v>
      </c>
      <c r="D5515" s="1">
        <v>1802.2</v>
      </c>
    </row>
    <row r="5516" spans="1:4" x14ac:dyDescent="0.3">
      <c r="A5516" s="1" t="str">
        <f>"01006116400"</f>
        <v>01006116400</v>
      </c>
      <c r="B5516" s="1" t="str">
        <f>"HAYES HERBERT S"</f>
        <v>HAYES HERBERT S</v>
      </c>
      <c r="C5516" s="1" t="str">
        <f>"1472 E BLAKE AVE WEYANTS CLEV AVE PLC LOT 103"</f>
        <v>1472 E BLAKE AVE WEYANTS CLEV AVE PLC LOT 103</v>
      </c>
      <c r="D5516" s="1">
        <v>1371.82</v>
      </c>
    </row>
    <row r="5517" spans="1:4" x14ac:dyDescent="0.3">
      <c r="A5517" s="1" t="str">
        <f>"04001382000"</f>
        <v>04001382000</v>
      </c>
      <c r="B5517" s="1" t="str">
        <f>"HAYES JOHN E TR, HAYES MELISSA A TR"</f>
        <v>HAYES JOHN E TR, HAYES MELISSA A TR</v>
      </c>
      <c r="C5517" s="1" t="str">
        <f>"4614 HIRTH HILL ROAD EAST PINNACLE CLUB SECTION 5   LOT 502                  "</f>
        <v xml:space="preserve">4614 HIRTH HILL ROAD EAST PINNACLE CLUB SECTION 5   LOT 502                  </v>
      </c>
      <c r="D5517" s="1">
        <v>548.99</v>
      </c>
    </row>
    <row r="5518" spans="1:4" x14ac:dyDescent="0.3">
      <c r="A5518" s="1" t="str">
        <f>"57022575800"</f>
        <v>57022575800</v>
      </c>
      <c r="B5518" s="1" t="str">
        <f>"HAYES KIMBERLY D TR"</f>
        <v>HAYES KIMBERLY D TR</v>
      </c>
      <c r="C5518" s="1" t="str">
        <f>"CHESAPEAKE FARMS SECTION 1 LOT 42"</f>
        <v>CHESAPEAKE FARMS SECTION 1 LOT 42</v>
      </c>
      <c r="D5518" s="1">
        <v>2357.9299999999998</v>
      </c>
    </row>
    <row r="5519" spans="1:4" x14ac:dyDescent="0.3">
      <c r="A5519" s="1" t="str">
        <f>"10000135500"</f>
        <v>10000135500</v>
      </c>
      <c r="B5519" s="1" t="str">
        <f>"HAYES LUCIAN ARCHIMEDES"</f>
        <v>HAYES LUCIAN ARCHIMEDES</v>
      </c>
      <c r="C5519" s="1" t="str">
        <f>"410 PARK OVERLOOK DR COLONIAL HILLS 2 LOT 101 RES B"</f>
        <v>410 PARK OVERLOOK DR COLONIAL HILLS 2 LOT 101 RES B</v>
      </c>
      <c r="D5519" s="1">
        <v>7100</v>
      </c>
    </row>
    <row r="5520" spans="1:4" x14ac:dyDescent="0.3">
      <c r="A5520" s="1" t="str">
        <f>"01016784100"</f>
        <v>01016784100</v>
      </c>
      <c r="B5520" s="1" t="str">
        <f>"HAYES MARSHA TR"</f>
        <v>HAYES MARSHA TR</v>
      </c>
      <c r="C5520" s="1" t="str">
        <f>"CORTONA WOODS WOODLOOP LANE LOT 13"</f>
        <v>CORTONA WOODS WOODLOOP LANE LOT 13</v>
      </c>
      <c r="D5520" s="1">
        <v>1439.46</v>
      </c>
    </row>
    <row r="5521" spans="1:4" x14ac:dyDescent="0.3">
      <c r="A5521" s="1" t="str">
        <f>"01012019500"</f>
        <v>01012019500</v>
      </c>
      <c r="B5521" s="1" t="str">
        <f>"HAYES MARY, HAYES REGINALD"</f>
        <v>HAYES MARY, HAYES REGINALD</v>
      </c>
      <c r="C5521" s="1" t="str">
        <f>"WETMORE RD EAST MAIZE MEADOWS LOT 265"</f>
        <v>WETMORE RD EAST MAIZE MEADOWS LOT 265</v>
      </c>
      <c r="D5521" s="1">
        <v>3501.43</v>
      </c>
    </row>
    <row r="5522" spans="1:4" x14ac:dyDescent="0.3">
      <c r="A5522" s="1" t="str">
        <f>"01008656900"</f>
        <v>01008656900</v>
      </c>
      <c r="B5522" s="1" t="str">
        <f>"HAYES ROGER D JR, HAYES LAURA L"</f>
        <v>HAYES ROGER D JR, HAYES LAURA L</v>
      </c>
      <c r="C5522" s="1" t="str">
        <f>"HARDESTY VILLAGE CONDOMINIUM NO V UNIT V-8"</f>
        <v>HARDESTY VILLAGE CONDOMINIUM NO V UNIT V-8</v>
      </c>
      <c r="D5522" s="1">
        <v>2593.58</v>
      </c>
    </row>
    <row r="5523" spans="1:4" x14ac:dyDescent="0.3">
      <c r="A5523" s="1" t="str">
        <f>"53028400800"</f>
        <v>53028400800</v>
      </c>
      <c r="B5523" s="1" t="str">
        <f>"HAYES-MARBAUGH SABRINA"</f>
        <v>HAYES-MARBAUGH SABRINA</v>
      </c>
      <c r="C5523" s="1" t="str">
        <f>"CHATTERTON COMMONS CONDOMINIUM 2ND AMD BLDG 7 UNIT 5910B"</f>
        <v>CHATTERTON COMMONS CONDOMINIUM 2ND AMD BLDG 7 UNIT 5910B</v>
      </c>
      <c r="D5523" s="1">
        <v>3276.55</v>
      </c>
    </row>
    <row r="5524" spans="1:4" x14ac:dyDescent="0.3">
      <c r="A5524" s="1" t="str">
        <f>"01009948900"</f>
        <v>01009948900</v>
      </c>
      <c r="B5524" s="1" t="str">
        <f>"HAYNES DANIELLE L"</f>
        <v>HAYNES DANIELLE L</v>
      </c>
      <c r="C5524" s="1" t="str">
        <f>"ARKWOOD AVE BEECHWOOD LOT 17"</f>
        <v>ARKWOOD AVE BEECHWOOD LOT 17</v>
      </c>
      <c r="D5524" s="1">
        <v>2738</v>
      </c>
    </row>
    <row r="5525" spans="1:4" x14ac:dyDescent="0.3">
      <c r="A5525" s="1" t="str">
        <f>"17000261100"</f>
        <v>17000261100</v>
      </c>
      <c r="B5525" s="1" t="str">
        <f>"HAYNES ROBERT C JR, HAYNES ELAINE M"</f>
        <v>HAYNES ROBERT C JR, HAYNES ELAINE M</v>
      </c>
      <c r="C5525" s="1" t="str">
        <f>"ELKHORN DRIVE JEFFERSON MEADOWS SECTION 3 LOT 139"</f>
        <v>ELKHORN DRIVE JEFFERSON MEADOWS SECTION 3 LOT 139</v>
      </c>
      <c r="D5525" s="1">
        <v>554.52</v>
      </c>
    </row>
    <row r="5526" spans="1:4" x14ac:dyDescent="0.3">
      <c r="A5526" s="1" t="str">
        <f>"01028224700"</f>
        <v>01028224700</v>
      </c>
      <c r="B5526" s="1" t="str">
        <f>"HAYS LAURA LEONARD"</f>
        <v>HAYS LAURA LEONARD</v>
      </c>
      <c r="C5526" s="1" t="str">
        <f>"WHITE OAK PARK CONDOMINIUM 7TH AMD BLDG 18 UNIT 18-6546"</f>
        <v>WHITE OAK PARK CONDOMINIUM 7TH AMD BLDG 18 UNIT 18-6546</v>
      </c>
      <c r="D5526" s="1">
        <v>2068.1999999999998</v>
      </c>
    </row>
    <row r="5527" spans="1:4" x14ac:dyDescent="0.3">
      <c r="A5527" s="1" t="str">
        <f>"57025316900"</f>
        <v>57025316900</v>
      </c>
      <c r="B5527" s="1" t="str">
        <f>"HAYSLIP TIMOTHY A, HAYSLIP SUSAN J"</f>
        <v>HAYSLIP TIMOTHY A, HAYSLIP SUSAN J</v>
      </c>
      <c r="C5527" s="1" t="str">
        <f>"STRANTON PARK DRIVE HOLT PARK SECTION 3 LOT 316"</f>
        <v>STRANTON PARK DRIVE HOLT PARK SECTION 3 LOT 316</v>
      </c>
      <c r="D5527" s="1">
        <v>1797.64</v>
      </c>
    </row>
    <row r="5528" spans="1:4" x14ac:dyDescent="0.3">
      <c r="A5528" s="1" t="str">
        <f>"01001507100"</f>
        <v>01001507100</v>
      </c>
      <c r="B5528" s="1" t="str">
        <f>"HAYWARD DISTRIBUTING CO"</f>
        <v>HAYWARD DISTRIBUTING CO</v>
      </c>
      <c r="C5528" s="1" t="str">
        <f>"4061 PERIMETER DRIVE ENTRY 3316-7325 4.124 ACRES"</f>
        <v>4061 PERIMETER DRIVE ENTRY 3316-7325 4.124 ACRES</v>
      </c>
      <c r="D5528" s="1">
        <v>4509.45</v>
      </c>
    </row>
    <row r="5529" spans="1:4" x14ac:dyDescent="0.3">
      <c r="A5529" s="1" t="str">
        <f>"01025033700"</f>
        <v>01025033700</v>
      </c>
      <c r="B5529" s="1" t="str">
        <f>"HAYWARD TAMARA M"</f>
        <v>HAYWARD TAMARA M</v>
      </c>
      <c r="C5529" s="1" t="str">
        <f>"HAWTHORNE LAKES CONDOMINIUMS GARAGE UNIT G17"</f>
        <v>HAWTHORNE LAKES CONDOMINIUMS GARAGE UNIT G17</v>
      </c>
      <c r="D5529" s="1">
        <v>31.74</v>
      </c>
    </row>
    <row r="5530" spans="1:4" x14ac:dyDescent="0.3">
      <c r="A5530" s="1" t="str">
        <f>"01013429900"</f>
        <v>01013429900</v>
      </c>
      <c r="B5530" s="1" t="str">
        <f>"HAYWOOD RUTH R, MARTIN ANN M"</f>
        <v>HAYWOOD RUTH R, MARTIN ANN M</v>
      </c>
      <c r="C5530" s="1" t="str">
        <f>"FAIRBANK RD RAIRVIEW ESTATES LOT 24"</f>
        <v>FAIRBANK RD RAIRVIEW ESTATES LOT 24</v>
      </c>
      <c r="D5530" s="1">
        <v>497.92</v>
      </c>
    </row>
    <row r="5531" spans="1:4" x14ac:dyDescent="0.3">
      <c r="A5531" s="1" t="str">
        <f>"23000119600"</f>
        <v>23000119600</v>
      </c>
      <c r="B5531" s="1" t="str">
        <f>"HAZEL JAY P, HAZEL TAMI H"</f>
        <v>HAZEL JAY P, HAZEL TAMI H</v>
      </c>
      <c r="C5531" s="1" t="str">
        <f>"2545 GARDNER RD ENTRY 2676 12.851 ACRES"</f>
        <v>2545 GARDNER RD ENTRY 2676 12.851 ACRES</v>
      </c>
      <c r="D5531" s="1">
        <v>425.86</v>
      </c>
    </row>
    <row r="5532" spans="1:4" x14ac:dyDescent="0.3">
      <c r="A5532" s="1" t="str">
        <f>"24000457500"</f>
        <v>24000457500</v>
      </c>
      <c r="B5532" s="1" t="str">
        <f>"HAZEN DEEANNA"</f>
        <v>HAZEN DEEANNA</v>
      </c>
      <c r="C5532" s="1" t="str">
        <f>"457 DAYTONA RD LINCOLN VILLAGE SO 412"</f>
        <v>457 DAYTONA RD LINCOLN VILLAGE SO 412</v>
      </c>
      <c r="D5532" s="1">
        <v>3507.55</v>
      </c>
    </row>
    <row r="5533" spans="1:4" x14ac:dyDescent="0.3">
      <c r="A5533" s="1" t="str">
        <f>"04000993900"</f>
        <v>04000993900</v>
      </c>
      <c r="B5533" s="1" t="str">
        <f>"HCS INVESTMENTS LLC"</f>
        <v>HCS INVESTMENTS LLC</v>
      </c>
      <c r="C5533" s="1" t="str">
        <f>"WEST RIVER DRIVE SCIOTO MEADOWS SEC 1 PART 1 LOT 20"</f>
        <v>WEST RIVER DRIVE SCIOTO MEADOWS SEC 1 PART 1 LOT 20</v>
      </c>
      <c r="D5533" s="1">
        <v>5462.83</v>
      </c>
    </row>
    <row r="5534" spans="1:4" x14ac:dyDescent="0.3">
      <c r="A5534" s="1" t="str">
        <f>"24000661000"</f>
        <v>24000661000</v>
      </c>
      <c r="B5534" s="1" t="str">
        <f>"HD DEVELOPMENT OF MARYLAND INC"</f>
        <v>HD DEVELOPMENT OF MARYLAND INC</v>
      </c>
      <c r="C5534" s="1" t="str">
        <f>"GRENER RD WEST COLUMBUS PARK 0.0638 ACRE"</f>
        <v>GRENER RD WEST COLUMBUS PARK 0.0638 ACRE</v>
      </c>
      <c r="D5534" s="1">
        <v>183.8</v>
      </c>
    </row>
    <row r="5535" spans="1:4" x14ac:dyDescent="0.3">
      <c r="A5535" s="1" t="str">
        <f>"01011454600"</f>
        <v>01011454600</v>
      </c>
      <c r="B5535" s="1" t="str">
        <f>"HD REAL ESTATE HOLDINGS LLC"</f>
        <v>HD REAL ESTATE HOLDINGS LLC</v>
      </c>
      <c r="C5535" s="1" t="str">
        <f>"STAMBAUGH AVE SOUTHGATE LOT 44"</f>
        <v>STAMBAUGH AVE SOUTHGATE LOT 44</v>
      </c>
      <c r="D5535" s="1">
        <v>1645.07</v>
      </c>
    </row>
    <row r="5536" spans="1:4" x14ac:dyDescent="0.3">
      <c r="A5536" s="1" t="str">
        <f>"01006147000"</f>
        <v>01006147000</v>
      </c>
      <c r="B5536" s="1" t="str">
        <f>"HEADIN RICHARD B"</f>
        <v>HEADIN RICHARD B</v>
      </c>
      <c r="C5536" s="1" t="str">
        <f>"182 W PARK AVE WEST PARK LOT 661"</f>
        <v>182 W PARK AVE WEST PARK LOT 661</v>
      </c>
      <c r="D5536" s="1">
        <v>942.14</v>
      </c>
    </row>
    <row r="5537" spans="1:4" x14ac:dyDescent="0.3">
      <c r="A5537" s="1" t="str">
        <f>"07000228900"</f>
        <v>07000228900</v>
      </c>
      <c r="B5537" s="1" t="str">
        <f>"HEAGREN VICTORIA R"</f>
        <v>HEAGREN VICTORIA R</v>
      </c>
      <c r="C5537" s="1" t="str">
        <f>"2029 COLLINGSWOOD RD UPPER ARLINGTON LOT 6 BLK 136"</f>
        <v>2029 COLLINGSWOOD RD UPPER ARLINGTON LOT 6 BLK 136</v>
      </c>
      <c r="D5537" s="1">
        <v>16629.12</v>
      </c>
    </row>
    <row r="5538" spans="1:4" x14ac:dyDescent="0.3">
      <c r="A5538" s="1" t="str">
        <f>"01012951500"</f>
        <v>01012951500</v>
      </c>
      <c r="B5538" s="1" t="str">
        <f>"HEALTH CARE WORKERS BUILDING CORP"</f>
        <v>HEALTH CARE WORKERS BUILDING CORP</v>
      </c>
      <c r="C5538" s="1" t="str">
        <f>"DUBLIN RD R23 T1 S11 1/2S2 3.517 ACRES (1.37 AC R/W)"</f>
        <v>DUBLIN RD R23 T1 S11 1/2S2 3.517 ACRES (1.37 AC R/W)</v>
      </c>
      <c r="D5538" s="1">
        <v>64391.81</v>
      </c>
    </row>
    <row r="5539" spans="1:4" x14ac:dyDescent="0.3">
      <c r="A5539" s="1" t="str">
        <f>"01008345700"</f>
        <v>01008345700</v>
      </c>
      <c r="B5539" s="1" t="str">
        <f>"HEALTHY LINDEN HOMES VII LLC"</f>
        <v>HEALTHY LINDEN HOMES VII LLC</v>
      </c>
      <c r="C5539" s="1" t="str">
        <f>"HOWEY RD SUNNYSIDE LOT 330"</f>
        <v>HOWEY RD SUNNYSIDE LOT 330</v>
      </c>
      <c r="D5539" s="1">
        <v>2.7</v>
      </c>
    </row>
    <row r="5540" spans="1:4" x14ac:dyDescent="0.3">
      <c r="A5540" s="1" t="str">
        <f>"01009748700"</f>
        <v>01009748700</v>
      </c>
      <c r="B5540" s="1" t="str">
        <f>"HEALTHY LINDEN HOMES VII LLC"</f>
        <v>HEALTHY LINDEN HOMES VII LLC</v>
      </c>
      <c r="C5540" s="1" t="str">
        <f>"ZEBULON AVE KINGSWOOD EST LOT 131"</f>
        <v>ZEBULON AVE KINGSWOOD EST LOT 131</v>
      </c>
      <c r="D5540" s="1">
        <v>12.78</v>
      </c>
    </row>
    <row r="5541" spans="1:4" x14ac:dyDescent="0.3">
      <c r="A5541" s="1" t="str">
        <f>"01004473300"</f>
        <v>01004473300</v>
      </c>
      <c r="B5541" s="1" t="str">
        <f>"HEARD ASHLEY"</f>
        <v>HEARD ASHLEY</v>
      </c>
      <c r="C5541" s="1" t="str">
        <f>"1119 PETERS AVE SA SHOEMAKER HRS LOT 191"</f>
        <v>1119 PETERS AVE SA SHOEMAKER HRS LOT 191</v>
      </c>
      <c r="D5541" s="1">
        <v>2156.9699999999998</v>
      </c>
    </row>
    <row r="5542" spans="1:4" x14ac:dyDescent="0.3">
      <c r="A5542" s="1" t="str">
        <f>"01028742000"</f>
        <v>01028742000</v>
      </c>
      <c r="B5542" s="1" t="str">
        <f>"HEARD DAVID, HEARD TINA"</f>
        <v>HEARD DAVID, HEARD TINA</v>
      </c>
      <c r="C5542" s="1" t="str">
        <f>"PRESERVE CROSSING         CONDOMINIUM 14TH AMD      BLDG 32 UNIT 32-6245     "</f>
        <v xml:space="preserve">PRESERVE CROSSING         CONDOMINIUM 14TH AMD      BLDG 32 UNIT 32-6245     </v>
      </c>
      <c r="D5542" s="1">
        <v>4230.1000000000004</v>
      </c>
    </row>
    <row r="5543" spans="1:4" x14ac:dyDescent="0.3">
      <c r="A5543" s="1" t="str">
        <f>"57015405600"</f>
        <v>57015405600</v>
      </c>
      <c r="B5543" s="1" t="str">
        <f>"HEARN DAVID W, HEARN LYNN H"</f>
        <v>HEARN DAVID W, HEARN LYNN H</v>
      </c>
      <c r="C5543" s="1" t="str">
        <f>"WEST WIND LANE RIVER BEND SEC 4 LOT 473"</f>
        <v>WEST WIND LANE RIVER BEND SEC 4 LOT 473</v>
      </c>
      <c r="D5543" s="1">
        <v>1127.3399999999999</v>
      </c>
    </row>
    <row r="5544" spans="1:4" x14ac:dyDescent="0.3">
      <c r="A5544" s="1" t="str">
        <f>"01010614900"</f>
        <v>01010614900</v>
      </c>
      <c r="B5544" s="1" t="str">
        <f>"HEATH VANESSA"</f>
        <v>HEATH VANESSA</v>
      </c>
      <c r="C5544" s="1" t="str">
        <f>"BAXTER DR LEA-WOOD GARDENS LOT 48"</f>
        <v>BAXTER DR LEA-WOOD GARDENS LOT 48</v>
      </c>
      <c r="D5544" s="1">
        <v>3990.96</v>
      </c>
    </row>
    <row r="5545" spans="1:4" x14ac:dyDescent="0.3">
      <c r="A5545" s="1" t="str">
        <f>"01009271500"</f>
        <v>01009271500</v>
      </c>
      <c r="B5545" s="1" t="str">
        <f>"HEATHER SMY PROPERTIES LLC"</f>
        <v>HEATHER SMY PROPERTIES LLC</v>
      </c>
      <c r="C5545" s="1" t="str">
        <f>"LIVINGSTON AVE R21 T12 S23 1/4S33 1.0406 ACRES"</f>
        <v>LIVINGSTON AVE R21 T12 S23 1/4S33 1.0406 ACRES</v>
      </c>
      <c r="D5545" s="1">
        <v>7299.72</v>
      </c>
    </row>
    <row r="5546" spans="1:4" x14ac:dyDescent="0.3">
      <c r="A5546" s="1" t="str">
        <f>"53030107000"</f>
        <v>53030107000</v>
      </c>
      <c r="B5546" s="1" t="str">
        <f>"HEBISO DESTA"</f>
        <v>HEBISO DESTA</v>
      </c>
      <c r="C5546" s="1" t="str">
        <f>"TRAILS AT CHATTERTON EAST SECTION 1 PART 2 LOT 73"</f>
        <v>TRAILS AT CHATTERTON EAST SECTION 1 PART 2 LOT 73</v>
      </c>
      <c r="D5546" s="1">
        <v>2394.06</v>
      </c>
    </row>
    <row r="5547" spans="1:4" x14ac:dyDescent="0.3">
      <c r="A5547" s="1" t="str">
        <f>"01005775600"</f>
        <v>01005775600</v>
      </c>
      <c r="B5547" s="1" t="str">
        <f>"HEBRON INC"</f>
        <v>HEBRON INC</v>
      </c>
      <c r="C5547" s="1" t="str">
        <f>"1118-20 FULTON ST KINNEARS OAKWOOD LOT 13"</f>
        <v>1118-20 FULTON ST KINNEARS OAKWOOD LOT 13</v>
      </c>
      <c r="D5547" s="1">
        <v>326.81</v>
      </c>
    </row>
    <row r="5548" spans="1:4" x14ac:dyDescent="0.3">
      <c r="A5548" s="1" t="str">
        <f>"01013870700"</f>
        <v>01013870700</v>
      </c>
      <c r="B5548" s="1" t="str">
        <f>"HECKATHORN MARY VIRGINIA TR"</f>
        <v>HECKATHORN MARY VIRGINIA TR</v>
      </c>
      <c r="C5548" s="1" t="str">
        <f>"BARBERRY HOLLOW OLDE ORCHARD 3 LOT 128"</f>
        <v>BARBERRY HOLLOW OLDE ORCHARD 3 LOT 128</v>
      </c>
      <c r="D5548" s="1">
        <v>2537.19</v>
      </c>
    </row>
    <row r="5549" spans="1:4" x14ac:dyDescent="0.3">
      <c r="A5549" s="1" t="str">
        <f>"06000878900"</f>
        <v>06000878900</v>
      </c>
      <c r="B5549" s="1" t="str">
        <f>"HECKMAN SCOTT A, HECKMAN KANAH J"</f>
        <v>HECKMAN SCOTT A, HECKMAN KANAH J</v>
      </c>
      <c r="C5549" s="1" t="str">
        <f>"MARBLE PARK AVENUE QUARRY PARK SECTION 3 PART 3 LOT 179"</f>
        <v>MARBLE PARK AVENUE QUARRY PARK SECTION 3 PART 3 LOT 179</v>
      </c>
      <c r="D5549" s="1">
        <v>296.14</v>
      </c>
    </row>
    <row r="5550" spans="1:4" x14ac:dyDescent="0.3">
      <c r="A5550" s="1" t="str">
        <f>"01010738700"</f>
        <v>01010738700</v>
      </c>
      <c r="B5550" s="1" t="str">
        <f>"HECTOR GLORIA"</f>
        <v>HECTOR GLORIA</v>
      </c>
      <c r="C5550" s="1" t="str">
        <f>"AVEN DR LIV-MOOR HTS 3 LOT 134"</f>
        <v>AVEN DR LIV-MOOR HTS 3 LOT 134</v>
      </c>
      <c r="D5550" s="1">
        <v>1374.46</v>
      </c>
    </row>
    <row r="5551" spans="1:4" x14ac:dyDescent="0.3">
      <c r="A5551" s="1" t="str">
        <f>"11000324300"</f>
        <v>11000324300</v>
      </c>
      <c r="B5551" s="1" t="str">
        <f>"HEDRICK PATRICIA B TR"</f>
        <v>HEDRICK PATRICIA B TR</v>
      </c>
      <c r="C5551" s="1" t="str">
        <f>"BUENOS AIRES BLVD H C HUBER PLAT 48 SEC 2 1316"</f>
        <v>BUENOS AIRES BLVD H C HUBER PLAT 48 SEC 2 1316</v>
      </c>
      <c r="D5551" s="1">
        <v>2735.58</v>
      </c>
    </row>
    <row r="5552" spans="1:4" x14ac:dyDescent="0.3">
      <c r="A5552" s="1" t="str">
        <f>"17000382600"</f>
        <v>17000382600</v>
      </c>
      <c r="B5552" s="1" t="str">
        <f>"HEDRICK STERLING W TR"</f>
        <v>HEDRICK STERLING W TR</v>
      </c>
      <c r="C5552" s="1" t="str">
        <f>"1206 ROCK MILL DRIVE PINECREST SECTION 1 LOT 11"</f>
        <v>1206 ROCK MILL DRIVE PINECREST SECTION 1 LOT 11</v>
      </c>
      <c r="D5552" s="1">
        <v>585.07000000000005</v>
      </c>
    </row>
    <row r="5553" spans="1:4" x14ac:dyDescent="0.3">
      <c r="A5553" s="1" t="str">
        <f>"01026919100"</f>
        <v>01026919100</v>
      </c>
      <c r="B5553" s="1" t="str">
        <f>"HEEFELMAN ROBERT W, HEFFELMAN SANDRA A"</f>
        <v>HEEFELMAN ROBERT W, HEFFELMAN SANDRA A</v>
      </c>
      <c r="C5553" s="1" t="str">
        <f>"BLENDON RESERVE CONDOMINIUM 6TH AMD UNIT 23-4000"</f>
        <v>BLENDON RESERVE CONDOMINIUM 6TH AMD UNIT 23-4000</v>
      </c>
      <c r="D5553" s="1">
        <v>5490.2</v>
      </c>
    </row>
    <row r="5554" spans="1:4" x14ac:dyDescent="0.3">
      <c r="A5554" s="1" t="str">
        <f>"01014592600"</f>
        <v>01014592600</v>
      </c>
      <c r="B5554" s="1" t="str">
        <f>"HEER JOHN L, BRENNAN HEER REBECCA E"</f>
        <v>HEER JOHN L, BRENNAN HEER REBECCA E</v>
      </c>
      <c r="C5554" s="1" t="str">
        <f>"FOREST PARK E SEC 4 LOT 543 "</f>
        <v xml:space="preserve">FOREST PARK E SEC 4 LOT 543 </v>
      </c>
      <c r="D5554" s="1">
        <v>599.28</v>
      </c>
    </row>
    <row r="5555" spans="1:4" x14ac:dyDescent="0.3">
      <c r="A5555" s="1" t="str">
        <f>"01007879900"</f>
        <v>01007879900</v>
      </c>
      <c r="B5555" s="1" t="str">
        <f>"HEGELE HELEN L"</f>
        <v>HEGELE HELEN L</v>
      </c>
      <c r="C5555" s="1" t="str">
        <f>"LETCHWORTH AVE WESTGATE PARK LOT 285"</f>
        <v>LETCHWORTH AVE WESTGATE PARK LOT 285</v>
      </c>
      <c r="D5555" s="1">
        <v>3065.94</v>
      </c>
    </row>
    <row r="5556" spans="1:4" x14ac:dyDescent="0.3">
      <c r="A5556" s="1" t="str">
        <f>"04000695900"</f>
        <v>04000695900</v>
      </c>
      <c r="B5556" s="1" t="str">
        <f>"HEIBY VALERIE T"</f>
        <v>HEIBY VALERIE T</v>
      </c>
      <c r="C5556" s="1" t="str">
        <f>"000 BENT CREEK PL SECTION 6 LOT 18 BRIARWOOD HILLS"</f>
        <v>000 BENT CREEK PL SECTION 6 LOT 18 BRIARWOOD HILLS</v>
      </c>
      <c r="D5556" s="1">
        <v>4381.92</v>
      </c>
    </row>
    <row r="5557" spans="1:4" x14ac:dyDescent="0.3">
      <c r="A5557" s="1" t="str">
        <f>"01015453200"</f>
        <v>01015453200</v>
      </c>
      <c r="B5557" s="1" t="str">
        <f>"HEID BRIGID E TTEE (JENNIFER M TOBIN TRUST)"</f>
        <v>HEID BRIGID E TTEE (JENNIFER M TOBIN TRUST)</v>
      </c>
      <c r="C5557" s="1" t="str">
        <f>"SANDGATE RD SHARON WOODS SEC 5 LOT 475"</f>
        <v>SANDGATE RD SHARON WOODS SEC 5 LOT 475</v>
      </c>
      <c r="D5557" s="1">
        <v>2022.66</v>
      </c>
    </row>
    <row r="5558" spans="1:4" x14ac:dyDescent="0.3">
      <c r="A5558" s="1" t="str">
        <f>"27300195700"</f>
        <v>27300195700</v>
      </c>
      <c r="B5558" s="1" t="str">
        <f>"HEINBACH EDGAR L, HEINBACH JANE L"</f>
        <v>HEINBACH EDGAR L, HEINBACH JANE L</v>
      </c>
      <c r="C5558" s="1" t="str">
        <f>"5744 LOCH MAREE CT MUIRFIELD VIL 4 PT 3 LOT 916"</f>
        <v>5744 LOCH MAREE CT MUIRFIELD VIL 4 PT 3 LOT 916</v>
      </c>
      <c r="D5558" s="1">
        <v>6651.5</v>
      </c>
    </row>
    <row r="5559" spans="1:4" x14ac:dyDescent="0.3">
      <c r="A5559" s="1" t="str">
        <f>"01001460200"</f>
        <v>01001460200</v>
      </c>
      <c r="B5559" s="1" t="str">
        <f>"HEINLEIN MADELINE"</f>
        <v>HEINLEIN MADELINE</v>
      </c>
      <c r="C5559" s="1" t="str">
        <f>"35 RODGERS AVE COTTAGE PLACE LOT 106"</f>
        <v>35 RODGERS AVE COTTAGE PLACE LOT 106</v>
      </c>
      <c r="D5559" s="1">
        <v>1838.43</v>
      </c>
    </row>
    <row r="5560" spans="1:4" x14ac:dyDescent="0.3">
      <c r="A5560" s="1" t="str">
        <f>"02500546400"</f>
        <v>02500546400</v>
      </c>
      <c r="B5560" s="1" t="str">
        <f>"HEINMILLER MARK, HEINMILLER JULIE"</f>
        <v>HEINMILLER MARK, HEINMILLER JULIE</v>
      </c>
      <c r="C5560" s="1" t="str">
        <f>"875 THAYER DRIVE HUNTERS RIDGE SEC 5 LOT 413"</f>
        <v>875 THAYER DRIVE HUNTERS RIDGE SEC 5 LOT 413</v>
      </c>
      <c r="D5560" s="1">
        <v>1668.07</v>
      </c>
    </row>
    <row r="5561" spans="1:4" x14ac:dyDescent="0.3">
      <c r="A5561" s="1" t="str">
        <f>"01019519600"</f>
        <v>01019519600</v>
      </c>
      <c r="B5561" s="1" t="str">
        <f>"HEINRICHS CYNTHIA A"</f>
        <v>HEINRICHS CYNTHIA A</v>
      </c>
      <c r="C5561" s="1" t="str">
        <f>"E BROAD ST PARK TOWERS CONDO UNIT 607"</f>
        <v>E BROAD ST PARK TOWERS CONDO UNIT 607</v>
      </c>
      <c r="D5561" s="1">
        <v>138.24</v>
      </c>
    </row>
    <row r="5562" spans="1:4" x14ac:dyDescent="0.3">
      <c r="A5562" s="1" t="str">
        <f>"01012540300"</f>
        <v>01012540300</v>
      </c>
      <c r="B5562" s="1" t="str">
        <f>"HEIR SOLUTIONS LLC, FOSTER STEPHEN L"</f>
        <v>HEIR SOLUTIONS LLC, FOSTER STEPHEN L</v>
      </c>
      <c r="C5562" s="1" t="str">
        <f>"WEIRTON DR SOUTHFIELD 2ND LOT 208"</f>
        <v>WEIRTON DR SOUTHFIELD 2ND LOT 208</v>
      </c>
      <c r="D5562" s="1">
        <v>2733.81</v>
      </c>
    </row>
    <row r="5563" spans="1:4" x14ac:dyDescent="0.3">
      <c r="A5563" s="1" t="str">
        <f>"18000477500"</f>
        <v>18000477500</v>
      </c>
      <c r="B5563" s="1" t="str">
        <f>"HELBER SUZANNE M"</f>
        <v>HELBER SUZANNE M</v>
      </c>
      <c r="C5563" s="1" t="str">
        <f>"DUNLOE RD RESUB OF PART OF QUALSTAN EAST LOT 694"</f>
        <v>DUNLOE RD RESUB OF PART OF QUALSTAN EAST LOT 694</v>
      </c>
      <c r="D5563" s="1">
        <v>463</v>
      </c>
    </row>
    <row r="5564" spans="1:4" x14ac:dyDescent="0.3">
      <c r="A5564" s="1" t="str">
        <f>"08000522200"</f>
        <v>08000522200</v>
      </c>
      <c r="B5564" s="1" t="str">
        <f>"HELD TIMOTHY W, HELD SUSAN M"</f>
        <v>HELD TIMOTHY W, HELD SUSAN M</v>
      </c>
      <c r="C5564" s="1" t="str">
        <f>"ARUNDEL AVE ANNEHURST VILLAGE 10 LOT 712"</f>
        <v>ARUNDEL AVE ANNEHURST VILLAGE 10 LOT 712</v>
      </c>
      <c r="D5564" s="1">
        <v>3391.78</v>
      </c>
    </row>
    <row r="5565" spans="1:4" x14ac:dyDescent="0.3">
      <c r="A5565" s="1" t="str">
        <f>"02500544400"</f>
        <v>02500544400</v>
      </c>
      <c r="B5565" s="1" t="str">
        <f>"HELFRICH JAMES B, HELFRICH NAOMI E"</f>
        <v>HELFRICH JAMES B, HELFRICH NAOMI E</v>
      </c>
      <c r="C5565" s="1" t="str">
        <f>"824 RONSON DRIVE HUNTERS RIDGE SEC 5 LOT 393"</f>
        <v>824 RONSON DRIVE HUNTERS RIDGE SEC 5 LOT 393</v>
      </c>
      <c r="D5565" s="1">
        <v>361.23</v>
      </c>
    </row>
    <row r="5566" spans="1:4" x14ac:dyDescent="0.3">
      <c r="A5566" s="1" t="str">
        <f>"01009860800"</f>
        <v>01009860800</v>
      </c>
      <c r="B5566" s="1" t="str">
        <f>"HELLER CHERYL C"</f>
        <v>HELLER CHERYL C</v>
      </c>
      <c r="C5566" s="1" t="str">
        <f>"24TH AVE CASITA PK LOT 72-73"</f>
        <v>24TH AVE CASITA PK LOT 72-73</v>
      </c>
      <c r="D5566" s="1">
        <v>1010.46</v>
      </c>
    </row>
    <row r="5567" spans="1:4" x14ac:dyDescent="0.3">
      <c r="A5567" s="1" t="str">
        <f>"13000535800"</f>
        <v>13000535800</v>
      </c>
      <c r="B5567" s="1" t="str">
        <f>"HELLER CHERYL C"</f>
        <v>HELLER CHERYL C</v>
      </c>
      <c r="C5567" s="1" t="str">
        <f>"DUNBAR DRIVE 50FT MID PT DUNBARS ALLOTMENT 10"</f>
        <v>DUNBAR DRIVE 50FT MID PT DUNBARS ALLOTMENT 10</v>
      </c>
      <c r="D5567" s="1">
        <v>382.12</v>
      </c>
    </row>
    <row r="5568" spans="1:4" x14ac:dyDescent="0.3">
      <c r="A5568" s="1" t="str">
        <f>"01001823300"</f>
        <v>01001823300</v>
      </c>
      <c r="B5568" s="1" t="str">
        <f>"HELLER CHERYL C"</f>
        <v>HELLER CHERYL C</v>
      </c>
      <c r="C5568" s="1" t="str">
        <f>"1244 12441/2 ATCHESON ST WETMORE 84"</f>
        <v>1244 12441/2 ATCHESON ST WETMORE 84</v>
      </c>
      <c r="D5568" s="1">
        <v>1869.12</v>
      </c>
    </row>
    <row r="5569" spans="1:4" x14ac:dyDescent="0.3">
      <c r="A5569" s="1" t="str">
        <f>"01004838900"</f>
        <v>01004838900</v>
      </c>
      <c r="B5569" s="1" t="str">
        <f>"HELLER CHERYL C"</f>
        <v>HELLER CHERYL C</v>
      </c>
      <c r="C5569" s="1" t="str">
        <f>"1067-1069 15TH AVE DREXEL PARK LOT 117"</f>
        <v>1067-1069 15TH AVE DREXEL PARK LOT 117</v>
      </c>
      <c r="D5569" s="1">
        <v>1339.78</v>
      </c>
    </row>
    <row r="5570" spans="1:4" x14ac:dyDescent="0.3">
      <c r="A5570" s="1" t="str">
        <f>"01002951900"</f>
        <v>01002951900</v>
      </c>
      <c r="B5570" s="1" t="str">
        <f>"HELLER CHERYL C"</f>
        <v>HELLER CHERYL C</v>
      </c>
      <c r="C5570" s="1" t="str">
        <f>"2094 WILLAMONT AVE WILSHIRE PLC PT LOT 34"</f>
        <v>2094 WILLAMONT AVE WILSHIRE PLC PT LOT 34</v>
      </c>
      <c r="D5570" s="1">
        <v>1089.46</v>
      </c>
    </row>
    <row r="5571" spans="1:4" x14ac:dyDescent="0.3">
      <c r="A5571" s="1" t="str">
        <f>"01015316900"</f>
        <v>01015316900</v>
      </c>
      <c r="B5571" s="1" t="str">
        <f>"HELLER FREIDA A"</f>
        <v>HELLER FREIDA A</v>
      </c>
      <c r="C5571" s="1" t="str">
        <f>"DUNNING COURT BRITTANY HILLS SEC 2 LOT 216"</f>
        <v>DUNNING COURT BRITTANY HILLS SEC 2 LOT 216</v>
      </c>
      <c r="D5571" s="1">
        <v>1235.02</v>
      </c>
    </row>
    <row r="5572" spans="1:4" x14ac:dyDescent="0.3">
      <c r="A5572" s="1" t="str">
        <f>"07001259600"</f>
        <v>07001259600</v>
      </c>
      <c r="B5572" s="1" t="str">
        <f>"HELLER NANCY B"</f>
        <v>HELLER NANCY B</v>
      </c>
      <c r="C5572" s="1" t="str">
        <f>"TROUVILLE KENNY COND UNIT K36-U GAR KG36-U"</f>
        <v>TROUVILLE KENNY COND UNIT K36-U GAR KG36-U</v>
      </c>
      <c r="D5572" s="1">
        <v>324.91000000000003</v>
      </c>
    </row>
    <row r="5573" spans="1:4" x14ac:dyDescent="0.3">
      <c r="A5573" s="1" t="str">
        <f>"01013665200"</f>
        <v>01013665200</v>
      </c>
      <c r="B5573" s="1" t="str">
        <f>"HELM YVETTE S, KINCANNON LAVONE A"</f>
        <v>HELM YVETTE S, KINCANNON LAVONE A</v>
      </c>
      <c r="C5573" s="1" t="str">
        <f>"DYSART AVE ARGYLE PARK 36 "</f>
        <v xml:space="preserve">DYSART AVE ARGYLE PARK 36 </v>
      </c>
      <c r="D5573" s="1">
        <v>705.67</v>
      </c>
    </row>
    <row r="5574" spans="1:4" x14ac:dyDescent="0.3">
      <c r="A5574" s="1" t="str">
        <f>"01023269400"</f>
        <v>01023269400</v>
      </c>
      <c r="B5574" s="1" t="str">
        <f>"HELMS BILLIE LEE"</f>
        <v>HELMS BILLIE LEE</v>
      </c>
      <c r="C5574" s="1" t="str">
        <f>"WOODWILLOW ROAD WILLOW CREEK WOODS SECTION 2 LOT 37"</f>
        <v>WOODWILLOW ROAD WILLOW CREEK WOODS SECTION 2 LOT 37</v>
      </c>
      <c r="D5574" s="1">
        <v>147.1</v>
      </c>
    </row>
    <row r="5575" spans="1:4" x14ac:dyDescent="0.3">
      <c r="A5575" s="1" t="str">
        <f>"01009767900"</f>
        <v>01009767900</v>
      </c>
      <c r="B5575" s="1" t="str">
        <f>"HELPING HANDS LIVING SOLUTIONS LLC"</f>
        <v>HELPING HANDS LIVING SOLUTIONS LLC</v>
      </c>
      <c r="C5575" s="1" t="str">
        <f>"TOWERS COURT LOT 76 "</f>
        <v xml:space="preserve">TOWERS COURT LOT 76 </v>
      </c>
      <c r="D5575" s="1">
        <v>2845.37</v>
      </c>
    </row>
    <row r="5576" spans="1:4" x14ac:dyDescent="0.3">
      <c r="A5576" s="1" t="str">
        <f>"01011356000"</f>
        <v>01011356000</v>
      </c>
      <c r="B5576" s="1" t="str">
        <f>"HELPING HANDS LIVING SOLUTIONS LLC"</f>
        <v>HELPING HANDS LIVING SOLUTIONS LLC</v>
      </c>
      <c r="C5576" s="1" t="str">
        <f>"BETZ RD SOURTH HIGH GARDENS LOT 87"</f>
        <v>BETZ RD SOURTH HIGH GARDENS LOT 87</v>
      </c>
      <c r="D5576" s="1">
        <v>798.19</v>
      </c>
    </row>
    <row r="5577" spans="1:4" x14ac:dyDescent="0.3">
      <c r="A5577" s="1" t="str">
        <f>"01009764900"</f>
        <v>01009764900</v>
      </c>
      <c r="B5577" s="1" t="str">
        <f>"HELPING HANDS LIVING SOLUTIONS LLC"</f>
        <v>HELPING HANDS LIVING SOLUTIONS LLC</v>
      </c>
      <c r="C5577" s="1" t="str">
        <f>"TOWERS COURT S TOWERS COURT LOT 46"</f>
        <v>TOWERS COURT S TOWERS COURT LOT 46</v>
      </c>
      <c r="D5577" s="1">
        <v>2623</v>
      </c>
    </row>
    <row r="5578" spans="1:4" x14ac:dyDescent="0.3">
      <c r="A5578" s="1" t="str">
        <f>"01000665000"</f>
        <v>01000665000</v>
      </c>
      <c r="B5578" s="1" t="str">
        <f>"HELPING HANDS LIVING SOLUTIONS LLC"</f>
        <v>HELPING HANDS LIVING SOLUTIONS LLC</v>
      </c>
      <c r="C5578" s="1" t="str">
        <f>"2137-2143 LEONARD AV ST MARYS GATE LOT 129-130"</f>
        <v>2137-2143 LEONARD AV ST MARYS GATE LOT 129-130</v>
      </c>
      <c r="D5578" s="1">
        <v>1761.99</v>
      </c>
    </row>
    <row r="5579" spans="1:4" x14ac:dyDescent="0.3">
      <c r="A5579" s="1" t="str">
        <f>"01003237900"</f>
        <v>01003237900</v>
      </c>
      <c r="B5579" s="1" t="str">
        <f>"HELPING HANDS LIVING SOLUTIONS LLC"</f>
        <v>HELPING HANDS LIVING SOLUTIONS LLC</v>
      </c>
      <c r="C5579" s="1" t="str">
        <f>"1170 CHAMPION AVE ROSE HILL LOT 131"</f>
        <v>1170 CHAMPION AVE ROSE HILL LOT 131</v>
      </c>
      <c r="D5579" s="1">
        <v>5161.0600000000004</v>
      </c>
    </row>
    <row r="5580" spans="1:4" x14ac:dyDescent="0.3">
      <c r="A5580" s="1" t="str">
        <f>"01001005700"</f>
        <v>01001005700</v>
      </c>
      <c r="B5580" s="1" t="str">
        <f>"HELPING HANDS LIVING SOLUTIONS LLC"</f>
        <v>HELPING HANDS LIVING SOLUTIONS LLC</v>
      </c>
      <c r="C5580" s="1" t="str">
        <f>"546 FREBIS AVE SCHMITTS 2ND LOT 50"</f>
        <v>546 FREBIS AVE SCHMITTS 2ND LOT 50</v>
      </c>
      <c r="D5580" s="1">
        <v>3147.44</v>
      </c>
    </row>
    <row r="5581" spans="1:4" x14ac:dyDescent="0.3">
      <c r="A5581" s="1" t="str">
        <f>"01013718600"</f>
        <v>01013718600</v>
      </c>
      <c r="B5581" s="1" t="str">
        <f>"HELPING HANDS LIVING SOLUTIONS LLC"</f>
        <v>HELPING HANDS LIVING SOLUTIONS LLC</v>
      </c>
      <c r="C5581" s="1" t="str">
        <f>"SOMERSET CT E HAVILAND 1 LOT33"</f>
        <v>SOMERSET CT E HAVILAND 1 LOT33</v>
      </c>
      <c r="D5581" s="1">
        <v>2029.82</v>
      </c>
    </row>
    <row r="5582" spans="1:4" x14ac:dyDescent="0.3">
      <c r="A5582" s="1" t="str">
        <f>"01015232600"</f>
        <v>01015232600</v>
      </c>
      <c r="B5582" s="1" t="str">
        <f>"HELPING HANDS LIVING SOLUTIONS LLC"</f>
        <v>HELPING HANDS LIVING SOLUTIONS LLC</v>
      </c>
      <c r="C5582" s="1" t="str">
        <f>"MILVERTON WAY HYDE PARK PLAT 2 LOT 158"</f>
        <v>MILVERTON WAY HYDE PARK PLAT 2 LOT 158</v>
      </c>
      <c r="D5582" s="1">
        <v>3246.77</v>
      </c>
    </row>
    <row r="5583" spans="1:4" x14ac:dyDescent="0.3">
      <c r="A5583" s="1" t="str">
        <f>"53016072800"</f>
        <v>53016072800</v>
      </c>
      <c r="B5583" s="1" t="str">
        <f>"HEM SOVANN, YOEUN SOPHON"</f>
        <v>HEM SOVANN, YOEUN SOPHON</v>
      </c>
      <c r="C5583" s="1" t="str">
        <f>"CHANTILLY ST VALLEY GREEN SUBDV LOT 54"</f>
        <v>CHANTILLY ST VALLEY GREEN SUBDV LOT 54</v>
      </c>
      <c r="D5583" s="1">
        <v>3162.69</v>
      </c>
    </row>
    <row r="5584" spans="1:4" x14ac:dyDescent="0.3">
      <c r="A5584" s="1" t="str">
        <f>"01019193800"</f>
        <v>01019193800</v>
      </c>
      <c r="B5584" s="1" t="str">
        <f>"HEMBREE MICHELLE B"</f>
        <v>HEMBREE MICHELLE B</v>
      </c>
      <c r="C5584" s="1" t="str">
        <f>"OLENTANGY THE CONDOMINIUM BLDG 19 UNIT 19-652N"</f>
        <v>OLENTANGY THE CONDOMINIUM BLDG 19 UNIT 19-652N</v>
      </c>
      <c r="D5584" s="1">
        <v>92.04</v>
      </c>
    </row>
    <row r="5585" spans="1:4" x14ac:dyDescent="0.3">
      <c r="A5585" s="1" t="str">
        <f>"08000053000"</f>
        <v>08000053000</v>
      </c>
      <c r="B5585" s="1" t="str">
        <f>"HEMINGER ERIC, HEMINGER CHELBE"</f>
        <v>HEMINGER ERIC, HEMINGER CHELBE</v>
      </c>
      <c r="C5585" s="1" t="str">
        <f>"132 W WALNUT ST BRIGHT &amp; SOUDER OLD 34 W 1/2 NEW 71"</f>
        <v>132 W WALNUT ST BRIGHT &amp; SOUDER OLD 34 W 1/2 NEW 71</v>
      </c>
      <c r="D5585" s="1">
        <v>5293.32</v>
      </c>
    </row>
    <row r="5586" spans="1:4" x14ac:dyDescent="0.3">
      <c r="A5586" s="1" t="str">
        <f>"01003458600"</f>
        <v>01003458600</v>
      </c>
      <c r="B5586" s="1" t="str">
        <f>"HEMPHILL PAULA R"</f>
        <v>HEMPHILL PAULA R</v>
      </c>
      <c r="C5586" s="1" t="str">
        <f>"1622 GRANVILLE ST RYLANDS WOODLAND AVE LOT 2"</f>
        <v>1622 GRANVILLE ST RYLANDS WOODLAND AVE LOT 2</v>
      </c>
      <c r="D5586" s="1">
        <v>3356.39</v>
      </c>
    </row>
    <row r="5587" spans="1:4" x14ac:dyDescent="0.3">
      <c r="A5587" s="1" t="str">
        <f>"01006409000"</f>
        <v>01006409000</v>
      </c>
      <c r="B5587" s="1" t="str">
        <f>"HEMPY JOB"</f>
        <v>HEMPY JOB</v>
      </c>
      <c r="C5587" s="1" t="str">
        <f>"1621 KOSSUTH ST LIVINGSTON WHITTIER GARDENS LOT 87-88"</f>
        <v>1621 KOSSUTH ST LIVINGSTON WHITTIER GARDENS LOT 87-88</v>
      </c>
      <c r="D5587" s="1">
        <v>1981.52</v>
      </c>
    </row>
    <row r="5588" spans="1:4" x14ac:dyDescent="0.3">
      <c r="A5588" s="1" t="str">
        <f>"01004687500"</f>
        <v>01004687500</v>
      </c>
      <c r="B5588" s="1" t="str">
        <f>"HEMPY JOB"</f>
        <v>HEMPY JOB</v>
      </c>
      <c r="C5588" s="1" t="str">
        <f>"BARTHMAN AVE L B TUSSING SUB 11"</f>
        <v>BARTHMAN AVE L B TUSSING SUB 11</v>
      </c>
      <c r="D5588" s="1">
        <v>795.38</v>
      </c>
    </row>
    <row r="5589" spans="1:4" x14ac:dyDescent="0.3">
      <c r="A5589" s="1" t="str">
        <f>"57017924300"</f>
        <v>57017924300</v>
      </c>
      <c r="B5589" s="1" t="str">
        <f>"HENDAZA LLC"</f>
        <v>HENDAZA LLC</v>
      </c>
      <c r="C5589" s="1" t="str">
        <f>"WARFIELD DR STONERIDGE NO 5 LOT 492"</f>
        <v>WARFIELD DR STONERIDGE NO 5 LOT 492</v>
      </c>
      <c r="D5589" s="1">
        <v>76.37</v>
      </c>
    </row>
    <row r="5590" spans="1:4" x14ac:dyDescent="0.3">
      <c r="A5590" s="1" t="str">
        <f>"18000269600"</f>
        <v>18000269600</v>
      </c>
      <c r="B5590" s="1" t="str">
        <f>"HENDERSON DEANN"</f>
        <v>HENDERSON DEANN</v>
      </c>
      <c r="C5590" s="1" t="str">
        <f>"CLEARWATER DR BLACKLICK ESTATES 2 305"</f>
        <v>CLEARWATER DR BLACKLICK ESTATES 2 305</v>
      </c>
      <c r="D5590" s="1">
        <v>2929.02</v>
      </c>
    </row>
    <row r="5591" spans="1:4" x14ac:dyDescent="0.3">
      <c r="A5591" s="1" t="str">
        <f>"01010062700"</f>
        <v>01010062700</v>
      </c>
      <c r="B5591" s="1" t="str">
        <f>"HENDERSON DEANN KAYE"</f>
        <v>HENDERSON DEANN KAYE</v>
      </c>
      <c r="C5591" s="1" t="str">
        <f>"ASTOR AVE LIVINGSTON GARDENS LOT 60"</f>
        <v>ASTOR AVE LIVINGSTON GARDENS LOT 60</v>
      </c>
      <c r="D5591" s="1">
        <v>3354.56</v>
      </c>
    </row>
    <row r="5592" spans="1:4" x14ac:dyDescent="0.3">
      <c r="A5592" s="1" t="str">
        <f>"01009958900"</f>
        <v>01009958900</v>
      </c>
      <c r="B5592" s="1" t="str">
        <f>"HENDERSON DEANN KAYE"</f>
        <v>HENDERSON DEANN KAYE</v>
      </c>
      <c r="C5592" s="1" t="str">
        <f>"DELLWOOD AVE BEECHWOOD LOT 117"</f>
        <v>DELLWOOD AVE BEECHWOOD LOT 117</v>
      </c>
      <c r="D5592" s="1">
        <v>3094.39</v>
      </c>
    </row>
    <row r="5593" spans="1:4" x14ac:dyDescent="0.3">
      <c r="A5593" s="1" t="str">
        <f>"01010060300"</f>
        <v>01010060300</v>
      </c>
      <c r="B5593" s="1" t="str">
        <f>"HENDERSON DEANN KAYE"</f>
        <v>HENDERSON DEANN KAYE</v>
      </c>
      <c r="C5593" s="1" t="str">
        <f>"DILLON DR LIVINGSTON GARDENS LOT 36"</f>
        <v>DILLON DR LIVINGSTON GARDENS LOT 36</v>
      </c>
      <c r="D5593" s="1">
        <v>3052.98</v>
      </c>
    </row>
    <row r="5594" spans="1:4" x14ac:dyDescent="0.3">
      <c r="A5594" s="1" t="str">
        <f>"01010060000"</f>
        <v>01010060000</v>
      </c>
      <c r="B5594" s="1" t="str">
        <f>"HENDERSON DEANN KAYE"</f>
        <v>HENDERSON DEANN KAYE</v>
      </c>
      <c r="C5594" s="1" t="str">
        <f>"ELDERWOOD AVE LIVINGSTON GDNS LOT 33"</f>
        <v>ELDERWOOD AVE LIVINGSTON GDNS LOT 33</v>
      </c>
      <c r="D5594" s="1">
        <v>3059.36</v>
      </c>
    </row>
    <row r="5595" spans="1:4" x14ac:dyDescent="0.3">
      <c r="A5595" s="1" t="str">
        <f>"01010838300"</f>
        <v>01010838300</v>
      </c>
      <c r="B5595" s="1" t="str">
        <f>"HENDERSON GARRETT ARTHUR"</f>
        <v>HENDERSON GARRETT ARTHUR</v>
      </c>
      <c r="C5595" s="1" t="str">
        <f>"CASE ROAD N LINDEN NO 1 LOT 210"</f>
        <v>CASE ROAD N LINDEN NO 1 LOT 210</v>
      </c>
      <c r="D5595" s="1">
        <v>1831.32</v>
      </c>
    </row>
    <row r="5596" spans="1:4" x14ac:dyDescent="0.3">
      <c r="A5596" s="1" t="str">
        <f>"01004725500"</f>
        <v>01004725500</v>
      </c>
      <c r="B5596" s="1" t="str">
        <f>"HENDERSON MATTHEW"</f>
        <v>HENDERSON MATTHEW</v>
      </c>
      <c r="C5596" s="1" t="str">
        <f>"2862 SHERWOOD RD LUDWIGS SUB BEXLEY VIEW RES A"</f>
        <v>2862 SHERWOOD RD LUDWIGS SUB BEXLEY VIEW RES A</v>
      </c>
      <c r="D5596" s="1">
        <v>1369.49</v>
      </c>
    </row>
    <row r="5597" spans="1:4" x14ac:dyDescent="0.3">
      <c r="A5597" s="1" t="str">
        <f>"07001437900"</f>
        <v>07001437900</v>
      </c>
      <c r="B5597" s="1" t="str">
        <f>"HENDERSON ROAD INVESTORS LTD"</f>
        <v>HENDERSON ROAD INVESTORS LTD</v>
      </c>
      <c r="C5597" s="1" t="str">
        <f>"OLD W HENDERSON ROAD ARLINGTON OFFICE CONDO UNIT 1679"</f>
        <v>OLD W HENDERSON ROAD ARLINGTON OFFICE CONDO UNIT 1679</v>
      </c>
      <c r="D5597" s="1">
        <v>2372.0500000000002</v>
      </c>
    </row>
    <row r="5598" spans="1:4" x14ac:dyDescent="0.3">
      <c r="A5598" s="1" t="str">
        <f>"07001438200"</f>
        <v>07001438200</v>
      </c>
      <c r="B5598" s="1" t="str">
        <f>"HENDERSON ROAD INVESTORS LTD"</f>
        <v>HENDERSON ROAD INVESTORS LTD</v>
      </c>
      <c r="C5598" s="1" t="str">
        <f>"OLD W HENDERSON ROAD ARLINGTON OFFICE CONDO UNIT 1685"</f>
        <v>OLD W HENDERSON ROAD ARLINGTON OFFICE CONDO UNIT 1685</v>
      </c>
      <c r="D5598" s="1">
        <v>4386.67</v>
      </c>
    </row>
    <row r="5599" spans="1:4" x14ac:dyDescent="0.3">
      <c r="A5599" s="1" t="str">
        <f>"07001437700"</f>
        <v>07001437700</v>
      </c>
      <c r="B5599" s="1" t="str">
        <f>"HENDERSON ROAD INVESTORS LTD"</f>
        <v>HENDERSON ROAD INVESTORS LTD</v>
      </c>
      <c r="C5599" s="1" t="str">
        <f>"OLD W HENDERSON ROAD ARLINGTON OFFICE CONDO UNIT 1675"</f>
        <v>OLD W HENDERSON ROAD ARLINGTON OFFICE CONDO UNIT 1675</v>
      </c>
      <c r="D5599" s="1">
        <v>2817.23</v>
      </c>
    </row>
    <row r="5600" spans="1:4" x14ac:dyDescent="0.3">
      <c r="A5600" s="1" t="str">
        <f>"07001437800"</f>
        <v>07001437800</v>
      </c>
      <c r="B5600" s="1" t="str">
        <f>"HENDERSON ROAD INVESTORS LTD"</f>
        <v>HENDERSON ROAD INVESTORS LTD</v>
      </c>
      <c r="C5600" s="1" t="str">
        <f>"OLD W HENDERSON ROAD ARLINGTON OFFICE CONDO UNIT 1677"</f>
        <v>OLD W HENDERSON ROAD ARLINGTON OFFICE CONDO UNIT 1677</v>
      </c>
      <c r="D5600" s="1">
        <v>2803.23</v>
      </c>
    </row>
    <row r="5601" spans="1:4" x14ac:dyDescent="0.3">
      <c r="A5601" s="1" t="str">
        <f>"07001438100"</f>
        <v>07001438100</v>
      </c>
      <c r="B5601" s="1" t="str">
        <f>"HENDERSON ROAD INVESTORS LTD"</f>
        <v>HENDERSON ROAD INVESTORS LTD</v>
      </c>
      <c r="C5601" s="1" t="str">
        <f>"OLD W HENDERSON ROAD ARLINGTON OFFICE CONDO UNIT 1683"</f>
        <v>OLD W HENDERSON ROAD ARLINGTON OFFICE CONDO UNIT 1683</v>
      </c>
      <c r="D5601" s="1">
        <v>2480.1</v>
      </c>
    </row>
    <row r="5602" spans="1:4" x14ac:dyDescent="0.3">
      <c r="A5602" s="1" t="str">
        <f>"01011601200"</f>
        <v>01011601200</v>
      </c>
      <c r="B5602" s="1" t="str">
        <f>"HENDERSON SHARMA J"</f>
        <v>HENDERSON SHARMA J</v>
      </c>
      <c r="C5602" s="1" t="str">
        <f>"SHADY HILL DR DHADY HILL EST LOT 32"</f>
        <v>SHADY HILL DR DHADY HILL EST LOT 32</v>
      </c>
      <c r="D5602" s="1">
        <v>693.07</v>
      </c>
    </row>
    <row r="5603" spans="1:4" x14ac:dyDescent="0.3">
      <c r="A5603" s="1" t="str">
        <f>"01003295800"</f>
        <v>01003295800</v>
      </c>
      <c r="B5603" s="1" t="str">
        <f>"HENDERSON VIRGINIA L"</f>
        <v>HENDERSON VIRGINIA L</v>
      </c>
      <c r="C5603" s="1" t="str">
        <f>"WELLINGTON BLVD ST MARYS GATE LOT 14"</f>
        <v>WELLINGTON BLVD ST MARYS GATE LOT 14</v>
      </c>
      <c r="D5603" s="1">
        <v>1309.56</v>
      </c>
    </row>
    <row r="5604" spans="1:4" x14ac:dyDescent="0.3">
      <c r="A5604" s="1" t="str">
        <f>"09000247400"</f>
        <v>09000247400</v>
      </c>
      <c r="B5604" s="1" t="str">
        <f>"HENDRICKS ANITA, HENDRICKS ROBERT D II"</f>
        <v>HENDRICKS ANITA, HENDRICKS ROBERT D II</v>
      </c>
      <c r="C5604" s="1" t="str">
        <f>"826 MARTHA LANE HAMILTON TERRACE LOT 124"</f>
        <v>826 MARTHA LANE HAMILTON TERRACE LOT 124</v>
      </c>
      <c r="D5604" s="1">
        <v>684.71</v>
      </c>
    </row>
    <row r="5605" spans="1:4" x14ac:dyDescent="0.3">
      <c r="A5605" s="1" t="str">
        <f>"01028215000"</f>
        <v>01028215000</v>
      </c>
      <c r="B5605" s="1" t="str">
        <f>"HENDRICKS GARRETT COLEMAN TTEE"</f>
        <v>HENDRICKS GARRETT COLEMAN TTEE</v>
      </c>
      <c r="C5605" s="1" t="str">
        <f>"VILLAGE AT PRESTON WOODS CONODMINIUMS 2ND AMD BLDG 18 UNIT 5327"</f>
        <v>VILLAGE AT PRESTON WOODS CONODMINIUMS 2ND AMD BLDG 18 UNIT 5327</v>
      </c>
      <c r="D5605" s="1">
        <v>201.62</v>
      </c>
    </row>
    <row r="5606" spans="1:4" x14ac:dyDescent="0.3">
      <c r="A5606" s="1" t="str">
        <f>"01006948100"</f>
        <v>01006948100</v>
      </c>
      <c r="B5606" s="1" t="str">
        <f>"HENDRICKS ROB, HENDRICKS GLORIA"</f>
        <v>HENDRICKS ROB, HENDRICKS GLORIA</v>
      </c>
      <c r="C5606" s="1" t="str">
        <f>"1976 MINNESOTA AVE LINDEN VIEW 3RD ACRE LOT 21"</f>
        <v>1976 MINNESOTA AVE LINDEN VIEW 3RD ACRE LOT 21</v>
      </c>
      <c r="D5606" s="1">
        <v>1254.8</v>
      </c>
    </row>
    <row r="5607" spans="1:4" x14ac:dyDescent="0.3">
      <c r="A5607" s="1" t="str">
        <f>"01001416700"</f>
        <v>01001416700</v>
      </c>
      <c r="B5607" s="1" t="str">
        <f>"HENDRICKS STACEY GENE"</f>
        <v>HENDRICKS STACEY GENE</v>
      </c>
      <c r="C5607" s="1" t="str">
        <f>"607 SIEBERT ST BLEILE LOT 5"</f>
        <v>607 SIEBERT ST BLEILE LOT 5</v>
      </c>
      <c r="D5607" s="1">
        <v>3344.92</v>
      </c>
    </row>
    <row r="5608" spans="1:4" x14ac:dyDescent="0.3">
      <c r="A5608" s="1" t="str">
        <f>"01012810100"</f>
        <v>01012810100</v>
      </c>
      <c r="B5608" s="1" t="str">
        <f>"HENDRIX JAMES M TR, BLOUNT-HENDRIX GENIA TR"</f>
        <v>HENDRIX JAMES M TR, BLOUNT-HENDRIX GENIA TR</v>
      </c>
      <c r="C5608" s="1" t="str">
        <f>"IVANHOE DR BERWYN LOT 227"</f>
        <v>IVANHOE DR BERWYN LOT 227</v>
      </c>
      <c r="D5608" s="1">
        <v>2449.5500000000002</v>
      </c>
    </row>
    <row r="5609" spans="1:4" x14ac:dyDescent="0.3">
      <c r="A5609" s="1" t="str">
        <f>"01022930900"</f>
        <v>01022930900</v>
      </c>
      <c r="B5609" s="1" t="str">
        <f>"HENERY RENEE A"</f>
        <v>HENERY RENEE A</v>
      </c>
      <c r="C5609" s="1" t="str">
        <f>"MCNEILL FARMS EAST CONDOMINIUM 2ND AMD UNIT 30C"</f>
        <v>MCNEILL FARMS EAST CONDOMINIUM 2ND AMD UNIT 30C</v>
      </c>
      <c r="D5609" s="1">
        <v>105.34</v>
      </c>
    </row>
    <row r="5610" spans="1:4" x14ac:dyDescent="0.3">
      <c r="A5610" s="1" t="str">
        <f>"21300065500"</f>
        <v>21300065500</v>
      </c>
      <c r="B5610" s="1" t="str">
        <f>"HENKEL JILLIAN TERRI LOUISE"</f>
        <v>HENKEL JILLIAN TERRI LOUISE</v>
      </c>
      <c r="C5610" s="1" t="str">
        <f>"MCVEY BLVD WEST BROOKSIDE EST 1 LOT 15"</f>
        <v>MCVEY BLVD WEST BROOKSIDE EST 1 LOT 15</v>
      </c>
      <c r="D5610" s="1">
        <v>585.16</v>
      </c>
    </row>
    <row r="5611" spans="1:4" x14ac:dyDescent="0.3">
      <c r="A5611" s="1" t="str">
        <f>"25415148500"</f>
        <v>25415148500</v>
      </c>
      <c r="B5611" s="1" t="str">
        <f>"HENNEKE JOHN D"</f>
        <v>HENNEKE JOHN D</v>
      </c>
      <c r="C5611" s="1" t="str">
        <f>"408 W KANAWHA AVE TREMONT GRDNS LOT 125-126"</f>
        <v>408 W KANAWHA AVE TREMONT GRDNS LOT 125-126</v>
      </c>
      <c r="D5611" s="1">
        <v>175.48</v>
      </c>
    </row>
    <row r="5612" spans="1:4" x14ac:dyDescent="0.3">
      <c r="A5612" s="1" t="str">
        <f>"01008155800"</f>
        <v>01008155800</v>
      </c>
      <c r="B5612" s="1" t="str">
        <f>"HENNELLY GERARD V, HENNELLY CAROLYN J"</f>
        <v>HENNELLY GERARD V, HENNELLY CAROLYN J</v>
      </c>
      <c r="C5612" s="1" t="str">
        <f>"BUTLER AVE HIGH RIDGE EXT LOT 12 BLK 9"</f>
        <v>BUTLER AVE HIGH RIDGE EXT LOT 12 BLK 9</v>
      </c>
      <c r="D5612" s="1">
        <v>104.89</v>
      </c>
    </row>
    <row r="5613" spans="1:4" x14ac:dyDescent="0.3">
      <c r="A5613" s="1" t="str">
        <f>"01002670000"</f>
        <v>01002670000</v>
      </c>
      <c r="B5613" s="1" t="str">
        <f>"HENNICK LEE W"</f>
        <v>HENNICK LEE W</v>
      </c>
      <c r="C5613" s="1" t="str">
        <f>"2730 SULLIVANT WICKLOW EX LOT 601"</f>
        <v>2730 SULLIVANT WICKLOW EX LOT 601</v>
      </c>
      <c r="D5613" s="1">
        <v>284.27999999999997</v>
      </c>
    </row>
    <row r="5614" spans="1:4" x14ac:dyDescent="0.3">
      <c r="A5614" s="1" t="str">
        <f>"01028910800"</f>
        <v>01028910800</v>
      </c>
      <c r="B5614" s="1" t="str">
        <f>"HENRIQUEZ ARMONDO O, SCHNEIDER SOPHIE"</f>
        <v>HENRIQUEZ ARMONDO O, SCHNEIDER SOPHIE</v>
      </c>
      <c r="C5614" s="1" t="str">
        <f>"SCHULTZ AVE BELMONT LOT 169 EX NW COR"</f>
        <v>SCHULTZ AVE BELMONT LOT 169 EX NW COR</v>
      </c>
      <c r="D5614" s="1">
        <v>308.47000000000003</v>
      </c>
    </row>
    <row r="5615" spans="1:4" x14ac:dyDescent="0.3">
      <c r="A5615" s="1" t="str">
        <f>"57016970100"</f>
        <v>57016970100</v>
      </c>
      <c r="B5615" s="1" t="str">
        <f>"HENRY BRIAN L"</f>
        <v>HENRY BRIAN L</v>
      </c>
      <c r="C5615" s="1" t="str">
        <f>"ALLENBY COURT AMD LEHNERT FARM 1 LOT 9"</f>
        <v>ALLENBY COURT AMD LEHNERT FARM 1 LOT 9</v>
      </c>
      <c r="D5615" s="1">
        <v>292.91000000000003</v>
      </c>
    </row>
    <row r="5616" spans="1:4" x14ac:dyDescent="0.3">
      <c r="A5616" s="1" t="str">
        <f>"01012141500"</f>
        <v>01012141500</v>
      </c>
      <c r="B5616" s="1" t="str">
        <f>"HENRY BRIAN L"</f>
        <v>HENRY BRIAN L</v>
      </c>
      <c r="C5616" s="1" t="str">
        <f>"NORTH MEADOWS BLVD NORTHVIEW ESTATES LOT 26"</f>
        <v>NORTH MEADOWS BLVD NORTHVIEW ESTATES LOT 26</v>
      </c>
      <c r="D5616" s="1">
        <v>411.15</v>
      </c>
    </row>
    <row r="5617" spans="1:4" x14ac:dyDescent="0.3">
      <c r="A5617" s="1" t="str">
        <f>"01015194500"</f>
        <v>01015194500</v>
      </c>
      <c r="B5617" s="1" t="str">
        <f>"HENRY LONNIE"</f>
        <v>HENRY LONNIE</v>
      </c>
      <c r="C5617" s="1" t="str">
        <f>"2337 HARDESTY VIL CT HARDESTY VIL CONDM K UNIT K-1"</f>
        <v>2337 HARDESTY VIL CT HARDESTY VIL CONDM K UNIT K-1</v>
      </c>
      <c r="D5617" s="1">
        <v>1030.51</v>
      </c>
    </row>
    <row r="5618" spans="1:4" x14ac:dyDescent="0.3">
      <c r="A5618" s="1" t="str">
        <f>"16000039300"</f>
        <v>16000039300</v>
      </c>
      <c r="B5618" s="1" t="str">
        <f>"HENRY OWYER W"</f>
        <v>HENRY OWYER W</v>
      </c>
      <c r="C5618" s="1" t="str">
        <f>"2356 HARRISBURG PIKE .879 ACRE OQ 1000 NO ENTRY 2442-1454"</f>
        <v>2356 HARRISBURG PIKE .879 ACRE OQ 1000 NO ENTRY 2442-1454</v>
      </c>
      <c r="D5618" s="1">
        <v>1126.27</v>
      </c>
    </row>
    <row r="5619" spans="1:4" x14ac:dyDescent="0.3">
      <c r="A5619" s="1" t="str">
        <f>"24000446000"</f>
        <v>24000446000</v>
      </c>
      <c r="B5619" s="1" t="str">
        <f>"HENRY STILES LLC"</f>
        <v>HENRY STILES LLC</v>
      </c>
      <c r="C5619" s="1" t="str">
        <f>"STILES AVE LINCOLN VILLAGE SO 297"</f>
        <v>STILES AVE LINCOLN VILLAGE SO 297</v>
      </c>
      <c r="D5619" s="1">
        <v>1770.15</v>
      </c>
    </row>
    <row r="5620" spans="1:4" x14ac:dyDescent="0.3">
      <c r="A5620" s="1" t="str">
        <f>"60014766200"</f>
        <v>60014766200</v>
      </c>
      <c r="B5620" s="1" t="str">
        <f>"HENSEL HOLDINGS LLC"</f>
        <v>HENSEL HOLDINGS LLC</v>
      </c>
      <c r="C5620" s="1" t="str">
        <f>"2383 STRIMPLE AVE VILLA PK LT38-41 INC LOT 42 BLK 2 &amp; 43"</f>
        <v>2383 STRIMPLE AVE VILLA PK LT38-41 INC LOT 42 BLK 2 &amp; 43</v>
      </c>
      <c r="D5620" s="1">
        <v>1787.72</v>
      </c>
    </row>
    <row r="5621" spans="1:4" x14ac:dyDescent="0.3">
      <c r="A5621" s="1" t="str">
        <f>"01024804400"</f>
        <v>01024804400</v>
      </c>
      <c r="B5621" s="1" t="str">
        <f>"HENSEL JO"</f>
        <v>HENSEL JO</v>
      </c>
      <c r="C5621" s="1" t="str">
        <f>"GENDER PARK CONDOMINIUM 5TH AMD UNIT 30E"</f>
        <v>GENDER PARK CONDOMINIUM 5TH AMD UNIT 30E</v>
      </c>
      <c r="D5621" s="1">
        <v>1368.5</v>
      </c>
    </row>
    <row r="5622" spans="1:4" x14ac:dyDescent="0.3">
      <c r="A5622" s="1" t="str">
        <f>"01013022700"</f>
        <v>01013022700</v>
      </c>
      <c r="B5622" s="1" t="str">
        <f>"HENSEL MARGOT E"</f>
        <v>HENSEL MARGOT E</v>
      </c>
      <c r="C5622" s="1" t="str">
        <f>"ENDICOTT RD KARL MEADOWS LOT 24"</f>
        <v>ENDICOTT RD KARL MEADOWS LOT 24</v>
      </c>
      <c r="D5622" s="1">
        <v>1314.1</v>
      </c>
    </row>
    <row r="5623" spans="1:4" x14ac:dyDescent="0.3">
      <c r="A5623" s="1" t="str">
        <f>"06000605100"</f>
        <v>06000605100</v>
      </c>
      <c r="B5623" s="1" t="str">
        <f>"HENSLEY KAMERON"</f>
        <v>HENSLEY KAMERON</v>
      </c>
      <c r="C5623" s="1" t="str">
        <f>"LARCH CT EASTSHIRE SEC 4 LOT 246"</f>
        <v>LARCH CT EASTSHIRE SEC 4 LOT 246</v>
      </c>
      <c r="D5623" s="1">
        <v>1309.4100000000001</v>
      </c>
    </row>
    <row r="5624" spans="1:4" x14ac:dyDescent="0.3">
      <c r="A5624" s="1" t="str">
        <f>"01024116600"</f>
        <v>01024116600</v>
      </c>
      <c r="B5624" s="1" t="str">
        <f>"HENSON JOHN"</f>
        <v>HENSON JOHN</v>
      </c>
      <c r="C5624" s="1" t="s">
        <v>29</v>
      </c>
      <c r="D5624" s="1">
        <v>6919.17</v>
      </c>
    </row>
    <row r="5625" spans="1:4" x14ac:dyDescent="0.3">
      <c r="A5625" s="1" t="str">
        <f>"16000066500"</f>
        <v>16000066500</v>
      </c>
      <c r="B5625" s="1" t="str">
        <f>"HENSON PAUL A"</f>
        <v>HENSON PAUL A</v>
      </c>
      <c r="C5625" s="1" t="str">
        <f>"HINER RD 5.001 ACRES ENTRY 6115 LOT 3"</f>
        <v>HINER RD 5.001 ACRES ENTRY 6115 LOT 3</v>
      </c>
      <c r="D5625" s="1">
        <v>6410.1</v>
      </c>
    </row>
    <row r="5626" spans="1:4" x14ac:dyDescent="0.3">
      <c r="A5626" s="1" t="str">
        <f>"01016130400"</f>
        <v>01016130400</v>
      </c>
      <c r="B5626" s="1" t="str">
        <f>"HENSON PAUL A JR"</f>
        <v>HENSON PAUL A JR</v>
      </c>
      <c r="C5626" s="1" t="str">
        <f>"WOODBROOK CR N WOODBROOK VILLAGE CONDO UNIT 338"</f>
        <v>WOODBROOK CR N WOODBROOK VILLAGE CONDO UNIT 338</v>
      </c>
      <c r="D5626" s="1">
        <v>1460.66</v>
      </c>
    </row>
    <row r="5627" spans="1:4" x14ac:dyDescent="0.3">
      <c r="A5627" s="1" t="str">
        <f>"01009526400"</f>
        <v>01009526400</v>
      </c>
      <c r="B5627" s="1" t="str">
        <f>"HERAS FREDDY"</f>
        <v>HERAS FREDDY</v>
      </c>
      <c r="C5627" s="1" t="str">
        <f>"WEYANT AVE FRANK W BENTLEYS SUB 1 LOT 1"</f>
        <v>WEYANT AVE FRANK W BENTLEYS SUB 1 LOT 1</v>
      </c>
      <c r="D5627" s="1">
        <v>1958.19</v>
      </c>
    </row>
    <row r="5628" spans="1:4" x14ac:dyDescent="0.3">
      <c r="A5628" s="1" t="str">
        <f>"01005945100"</f>
        <v>01005945100</v>
      </c>
      <c r="B5628" s="1" t="str">
        <f>"HERAS MANUEL"</f>
        <v>HERAS MANUEL</v>
      </c>
      <c r="C5628" s="1" t="str">
        <f>"1445 MYRTLE AVE ALL OF177 &amp; 4FT WS OF178 WALDON"</f>
        <v>1445 MYRTLE AVE ALL OF177 &amp; 4FT WS OF178 WALDON</v>
      </c>
      <c r="D5628" s="1">
        <v>48.97</v>
      </c>
    </row>
    <row r="5629" spans="1:4" x14ac:dyDescent="0.3">
      <c r="A5629" s="1" t="str">
        <f>"20000065200"</f>
        <v>20000065200</v>
      </c>
      <c r="B5629" s="1" t="str">
        <f>"HERATH KIRK M, HERATH KATHLEEN R"</f>
        <v>HERATH KIRK M, HERATH KATHLEEN R</v>
      </c>
      <c r="C5629" s="1" t="str">
        <f>"DUBLIN RD RR ACRES 1.322 OQ 2000 ENTRY 547"</f>
        <v>DUBLIN RD RR ACRES 1.322 OQ 2000 ENTRY 547</v>
      </c>
      <c r="D5629" s="1">
        <v>27.23</v>
      </c>
    </row>
    <row r="5630" spans="1:4" x14ac:dyDescent="0.3">
      <c r="A5630" s="1" t="str">
        <f>"01028839000"</f>
        <v>01028839000</v>
      </c>
      <c r="B5630" s="1" t="str">
        <f>"HERAZO DANA MARIA"</f>
        <v>HERAZO DANA MARIA</v>
      </c>
      <c r="C5630" s="1" t="str">
        <f>"HOMESTEAD AT THE PRESERVE CONDOMINIUM 28TH AMD UNIT 3799-80"</f>
        <v>HOMESTEAD AT THE PRESERVE CONDOMINIUM 28TH AMD UNIT 3799-80</v>
      </c>
      <c r="D5630" s="1">
        <v>6508.4</v>
      </c>
    </row>
    <row r="5631" spans="1:4" x14ac:dyDescent="0.3">
      <c r="A5631" s="1" t="str">
        <f>"03000196800"</f>
        <v>03000196800</v>
      </c>
      <c r="B5631" s="1" t="str">
        <f>"HERBERT BENJAMIN D"</f>
        <v>HERBERT BENJAMIN D</v>
      </c>
      <c r="C5631" s="1" t="str">
        <f>"1252 BROADVIEW AVE GRANDVIEW LOT 39 39 FT S S"</f>
        <v>1252 BROADVIEW AVE GRANDVIEW LOT 39 39 FT S S</v>
      </c>
      <c r="D5631" s="1">
        <v>11695.39</v>
      </c>
    </row>
    <row r="5632" spans="1:4" x14ac:dyDescent="0.3">
      <c r="A5632" s="1" t="str">
        <f>"49022507100"</f>
        <v>49022507100</v>
      </c>
      <c r="B5632" s="1" t="str">
        <f>"HERBERT MELISSA"</f>
        <v>HERBERT MELISSA</v>
      </c>
      <c r="C5632" s="1" t="str">
        <f>"BALLENTINE DRIVE CHELSEA GLEN LOT 19"</f>
        <v>BALLENTINE DRIVE CHELSEA GLEN LOT 19</v>
      </c>
      <c r="D5632" s="1">
        <v>1838.74</v>
      </c>
    </row>
    <row r="5633" spans="1:4" x14ac:dyDescent="0.3">
      <c r="A5633" s="1" t="str">
        <f>"01012121700"</f>
        <v>01012121700</v>
      </c>
      <c r="B5633" s="1" t="str">
        <f>"HERBERT PAINTING &amp; REMODELING LLC"</f>
        <v>HERBERT PAINTING &amp; REMODELING LLC</v>
      </c>
      <c r="C5633" s="1" t="str">
        <f>"STRIEBELRD175&amp;5FT. N.S.176PINECREST2 LOT175"</f>
        <v>STRIEBELRD175&amp;5FT. N.S.176PINECREST2 LOT175</v>
      </c>
      <c r="D5633" s="1">
        <v>1415.12</v>
      </c>
    </row>
    <row r="5634" spans="1:4" x14ac:dyDescent="0.3">
      <c r="A5634" s="1" t="str">
        <f>"01010130200"</f>
        <v>01010130200</v>
      </c>
      <c r="B5634" s="1" t="str">
        <f>"HERBERT PAINTING AND REMODELING LLC"</f>
        <v>HERBERT PAINTING AND REMODELING LLC</v>
      </c>
      <c r="C5634" s="1" t="str">
        <f>"KIRKWOOD RD BERWICK MANOR LOT 356"</f>
        <v>KIRKWOOD RD BERWICK MANOR LOT 356</v>
      </c>
      <c r="D5634" s="1">
        <v>1097.29</v>
      </c>
    </row>
    <row r="5635" spans="1:4" x14ac:dyDescent="0.3">
      <c r="A5635" s="1" t="str">
        <f>"01007233000"</f>
        <v>01007233000</v>
      </c>
      <c r="B5635" s="1" t="str">
        <f>"HERBST GARY B, HERBST MARY ANNE"</f>
        <v>HERBST GARY B, HERBST MARY ANNE</v>
      </c>
      <c r="C5635" s="1" t="str">
        <f>"36 ACTON RD NORTHRIDGE AMD LOT393"</f>
        <v>36 ACTON RD NORTHRIDGE AMD LOT393</v>
      </c>
      <c r="D5635" s="1">
        <v>292.85000000000002</v>
      </c>
    </row>
    <row r="5636" spans="1:4" x14ac:dyDescent="0.3">
      <c r="A5636" s="1" t="str">
        <f>"01001762500"</f>
        <v>01001762500</v>
      </c>
      <c r="B5636" s="1" t="str">
        <f>"HERBST PAM, HERBST MARK"</f>
        <v>HERBST PAM, HERBST MARK</v>
      </c>
      <c r="C5636" s="1" t="str">
        <f>"834 LINWOOD AVE STUDER AMD LOT 36 "</f>
        <v xml:space="preserve">834 LINWOOD AVE STUDER AMD LOT 36 </v>
      </c>
      <c r="D5636" s="1">
        <v>3400.05</v>
      </c>
    </row>
    <row r="5637" spans="1:4" x14ac:dyDescent="0.3">
      <c r="A5637" s="1" t="str">
        <f>"06000347700"</f>
        <v>06000347700</v>
      </c>
      <c r="B5637" s="1" t="str">
        <f>"HERDMAN RUTH C, SYFERS SHARON L"</f>
        <v>HERDMAN RUTH C, SYFERS SHARON L</v>
      </c>
      <c r="C5637" s="1" t="str">
        <f>"1178 HILTON DR LUDLOW LOT 39"</f>
        <v>1178 HILTON DR LUDLOW LOT 39</v>
      </c>
      <c r="D5637" s="1">
        <v>4433.8999999999996</v>
      </c>
    </row>
    <row r="5638" spans="1:4" x14ac:dyDescent="0.3">
      <c r="A5638" s="1" t="str">
        <f>"01020731400"</f>
        <v>01020731400</v>
      </c>
      <c r="B5638" s="1" t="str">
        <f>"HERITAGE  MUHAMMAD LLC"</f>
        <v>HERITAGE  MUHAMMAD LLC</v>
      </c>
      <c r="C5638" s="1" t="str">
        <f>"SPRUCEFIELD COURT TOWNHOMES CONDO 6TH AMD UNIT 2070"</f>
        <v>SPRUCEFIELD COURT TOWNHOMES CONDO 6TH AMD UNIT 2070</v>
      </c>
      <c r="D5638" s="1">
        <v>1363.79</v>
      </c>
    </row>
    <row r="5639" spans="1:4" x14ac:dyDescent="0.3">
      <c r="A5639" s="1" t="str">
        <f>"08000979100"</f>
        <v>08000979100</v>
      </c>
      <c r="B5639" s="1" t="str">
        <f>"HERITAGE ABDULRAHMAN LLC"</f>
        <v>HERITAGE ABDULRAHMAN LLC</v>
      </c>
      <c r="C5639" s="1" t="str">
        <f>"FOXTRAIL CONDOMINIUM BLDG 7 UNIT 486 "</f>
        <v xml:space="preserve">FOXTRAIL CONDOMINIUM BLDG 7 UNIT 486 </v>
      </c>
      <c r="D5639" s="1">
        <v>1869.47</v>
      </c>
    </row>
    <row r="5640" spans="1:4" x14ac:dyDescent="0.3">
      <c r="A5640" s="1" t="str">
        <f>"01020308600"</f>
        <v>01020308600</v>
      </c>
      <c r="B5640" s="1" t="str">
        <f>"HERITAGE HADIA LLC"</f>
        <v>HERITAGE HADIA LLC</v>
      </c>
      <c r="C5640" s="1" t="str">
        <f>"HAMPTON CT CONDO HOMES 5TH AMD UNIT 6034"</f>
        <v>HAMPTON CT CONDO HOMES 5TH AMD UNIT 6034</v>
      </c>
      <c r="D5640" s="1">
        <v>1186.81</v>
      </c>
    </row>
    <row r="5641" spans="1:4" x14ac:dyDescent="0.3">
      <c r="A5641" s="1" t="str">
        <f>"01001025000"</f>
        <v>01001025000</v>
      </c>
      <c r="B5641" s="1" t="str">
        <f>"HERITAGE HEIGHTS VENTURES LLC"</f>
        <v>HERITAGE HEIGHTS VENTURES LLC</v>
      </c>
      <c r="C5641" s="1" t="str">
        <f>"705 COLUMBUS ST BLEILE LOT 154"</f>
        <v>705 COLUMBUS ST BLEILE LOT 154</v>
      </c>
      <c r="D5641" s="1">
        <v>186.98</v>
      </c>
    </row>
    <row r="5642" spans="1:4" x14ac:dyDescent="0.3">
      <c r="A5642" s="1" t="str">
        <f>"10000060900"</f>
        <v>10000060900</v>
      </c>
      <c r="B5642" s="1" t="str">
        <f>"HERITAGE HOME REVIVAL LLC"</f>
        <v>HERITAGE HOME REVIVAL LLC</v>
      </c>
      <c r="C5642" s="1" t="str">
        <f>"700 EVENING ST 55FT SS LOT 96 "</f>
        <v xml:space="preserve">700 EVENING ST 55FT SS LOT 96 </v>
      </c>
      <c r="D5642" s="1">
        <v>651.52</v>
      </c>
    </row>
    <row r="5643" spans="1:4" x14ac:dyDescent="0.3">
      <c r="A5643" s="1" t="str">
        <f>"01020308500"</f>
        <v>01020308500</v>
      </c>
      <c r="B5643" s="1" t="str">
        <f>"HERITAGE SAGAL LLC"</f>
        <v>HERITAGE SAGAL LLC</v>
      </c>
      <c r="C5643" s="1" t="str">
        <f>"HAMPTON CT CONDO HOMES 5TH AMD UNIT 6032"</f>
        <v>HAMPTON CT CONDO HOMES 5TH AMD UNIT 6032</v>
      </c>
      <c r="D5643" s="1">
        <v>1249.51</v>
      </c>
    </row>
    <row r="5644" spans="1:4" x14ac:dyDescent="0.3">
      <c r="A5644" s="1" t="str">
        <f>"01010182400"</f>
        <v>01010182400</v>
      </c>
      <c r="B5644" s="1" t="str">
        <f>"HERNANDEZ ADRIAN"</f>
        <v>HERNANDEZ ADRIAN</v>
      </c>
      <c r="C5644" s="1" t="str">
        <f>"MARK PLACE MIRIAM 2 LOT 12 BLK 8"</f>
        <v>MARK PLACE MIRIAM 2 LOT 12 BLK 8</v>
      </c>
      <c r="D5644" s="1">
        <v>1127.0899999999999</v>
      </c>
    </row>
    <row r="5645" spans="1:4" x14ac:dyDescent="0.3">
      <c r="A5645" s="1" t="str">
        <f>"19000061700"</f>
        <v>19000061700</v>
      </c>
      <c r="B5645" s="1" t="str">
        <f>"HERNANDEZ AGUILAR ASHLY NIKHOL"</f>
        <v>HERNANDEZ AGUILAR ASHLY NIKHOL</v>
      </c>
      <c r="C5645" s="1" t="str">
        <f>"ABERDEEN AVE 50FT WS DENUNE E LINDEN 5TH 136"</f>
        <v>ABERDEEN AVE 50FT WS DENUNE E LINDEN 5TH 136</v>
      </c>
      <c r="D5645" s="1">
        <v>5094.18</v>
      </c>
    </row>
    <row r="5646" spans="1:4" x14ac:dyDescent="0.3">
      <c r="A5646" s="1" t="str">
        <f>"56021344800"</f>
        <v>56021344800</v>
      </c>
      <c r="B5646" s="1" t="str">
        <f>"HERNANDEZ ARMANDO"</f>
        <v>HERNANDEZ ARMANDO</v>
      </c>
      <c r="C5646" s="1" t="str">
        <f>"SWEETWATER ESTATES SECTION 3 LOT 260"</f>
        <v>SWEETWATER ESTATES SECTION 3 LOT 260</v>
      </c>
      <c r="D5646" s="1">
        <v>6705.7</v>
      </c>
    </row>
    <row r="5647" spans="1:4" x14ac:dyDescent="0.3">
      <c r="A5647" s="1" t="str">
        <f>"01006001700"</f>
        <v>01006001700</v>
      </c>
      <c r="B5647" s="1" t="str">
        <f>"HERNANDEZ CYNTHIA SALGADO"</f>
        <v>HERNANDEZ CYNTHIA SALGADO</v>
      </c>
      <c r="C5647" s="1" t="str">
        <f>"1650 GENNESSEE LINDEN LOT 723"</f>
        <v>1650 GENNESSEE LINDEN LOT 723</v>
      </c>
      <c r="D5647" s="1">
        <v>1441.68</v>
      </c>
    </row>
    <row r="5648" spans="1:4" x14ac:dyDescent="0.3">
      <c r="A5648" s="1" t="str">
        <f>"57021826900"</f>
        <v>57021826900</v>
      </c>
      <c r="B5648" s="1" t="str">
        <f>"HERNANDEZ JENNIFER"</f>
        <v>HERNANDEZ JENNIFER</v>
      </c>
      <c r="C5648" s="1" t="str">
        <f>"TREVOR COURT HEATHERBROOK SEC 1 LOT 13"</f>
        <v>TREVOR COURT HEATHERBROOK SEC 1 LOT 13</v>
      </c>
      <c r="D5648" s="1">
        <v>96.84</v>
      </c>
    </row>
    <row r="5649" spans="1:4" x14ac:dyDescent="0.3">
      <c r="A5649" s="1" t="str">
        <f>"01016095300"</f>
        <v>01016095300</v>
      </c>
      <c r="B5649" s="1" t="str">
        <f>"HERNANDEZ JOSE W"</f>
        <v>HERNANDEZ JOSE W</v>
      </c>
      <c r="C5649" s="1" t="str">
        <f>"NESTLING DRIVE NORTHLAND ESTATES 2 LOT 41"</f>
        <v>NESTLING DRIVE NORTHLAND ESTATES 2 LOT 41</v>
      </c>
      <c r="D5649" s="1">
        <v>1809.1</v>
      </c>
    </row>
    <row r="5650" spans="1:4" x14ac:dyDescent="0.3">
      <c r="A5650" s="1" t="str">
        <f>"01014495600"</f>
        <v>01014495600</v>
      </c>
      <c r="B5650" s="1" t="str">
        <f>"HERNANDEZ JOSE W, HERNANDEZ CLAUDIA"</f>
        <v>HERNANDEZ JOSE W, HERNANDEZ CLAUDIA</v>
      </c>
      <c r="C5650" s="1" t="str">
        <f>"NORTHCLIFF DR FOREST PARK EAST SEC 2 LOT 274"</f>
        <v>NORTHCLIFF DR FOREST PARK EAST SEC 2 LOT 274</v>
      </c>
      <c r="D5650" s="1">
        <v>2588.6</v>
      </c>
    </row>
    <row r="5651" spans="1:4" x14ac:dyDescent="0.3">
      <c r="A5651" s="1" t="str">
        <f>"01012690900"</f>
        <v>01012690900</v>
      </c>
      <c r="B5651" s="1" t="str">
        <f>"HERNANDEZ JOSE W, HERNANDEZ CLAUDIA R"</f>
        <v>HERNANDEZ JOSE W, HERNANDEZ CLAUDIA R</v>
      </c>
      <c r="C5651" s="1" t="str">
        <f>"CASE RD LOT 23 "</f>
        <v xml:space="preserve">CASE RD LOT 23 </v>
      </c>
      <c r="D5651" s="1">
        <v>1341.51</v>
      </c>
    </row>
    <row r="5652" spans="1:4" x14ac:dyDescent="0.3">
      <c r="A5652" s="1" t="str">
        <f>"01011551200"</f>
        <v>01011551200</v>
      </c>
      <c r="B5652" s="1" t="str">
        <f>"HERNANDEZ KARLA YESENIA DEL REAL"</f>
        <v>HERNANDEZ KARLA YESENIA DEL REAL</v>
      </c>
      <c r="C5652" s="1" t="str">
        <f>"WILSON AVE ACRES .389 R22 T4 S3 LOT 4"</f>
        <v>WILSON AVE ACRES .389 R22 T4 S3 LOT 4</v>
      </c>
      <c r="D5652" s="1">
        <v>2905.26</v>
      </c>
    </row>
    <row r="5653" spans="1:4" x14ac:dyDescent="0.3">
      <c r="A5653" s="1" t="str">
        <f>"01002995400"</f>
        <v>01002995400</v>
      </c>
      <c r="B5653" s="1" t="str">
        <f>"HERNANDEZ KELLY"</f>
        <v>HERNANDEZ KELLY</v>
      </c>
      <c r="C5653" s="1" t="str">
        <f>"1224 17TH AVE LOUIS HTS LOT 109"</f>
        <v>1224 17TH AVE LOUIS HTS LOT 109</v>
      </c>
      <c r="D5653" s="1">
        <v>1002.79</v>
      </c>
    </row>
    <row r="5654" spans="1:4" x14ac:dyDescent="0.3">
      <c r="A5654" s="1" t="str">
        <f>"01002950400"</f>
        <v>01002950400</v>
      </c>
      <c r="B5654" s="1" t="str">
        <f>"HERNANDEZ LEONEL"</f>
        <v>HERNANDEZ LEONEL</v>
      </c>
      <c r="C5654" s="1" t="str">
        <f>"2848 E 6TH AVE EAST COLUMBUS LOT 509"</f>
        <v>2848 E 6TH AVE EAST COLUMBUS LOT 509</v>
      </c>
      <c r="D5654" s="1">
        <v>1285.69</v>
      </c>
    </row>
    <row r="5655" spans="1:4" x14ac:dyDescent="0.3">
      <c r="A5655" s="1" t="str">
        <f>"01015071100"</f>
        <v>01015071100</v>
      </c>
      <c r="B5655" s="1" t="str">
        <f>"HERNANDEZ MANUEL"</f>
        <v>HERNANDEZ MANUEL</v>
      </c>
      <c r="C5655" s="1" t="str">
        <f>"TORCHWOOD LP E FOREST PARK E SEC 8 LOT 807"</f>
        <v>TORCHWOOD LP E FOREST PARK E SEC 8 LOT 807</v>
      </c>
      <c r="D5655" s="1">
        <v>181.57</v>
      </c>
    </row>
    <row r="5656" spans="1:4" x14ac:dyDescent="0.3">
      <c r="A5656" s="1" t="str">
        <f>"01013341000"</f>
        <v>01013341000</v>
      </c>
      <c r="B5656" s="1" t="str">
        <f>"HERNANDEZ MARCIA"</f>
        <v>HERNANDEZ MARCIA</v>
      </c>
      <c r="C5656" s="1" t="str">
        <f>"ORSON DR SOUTHFIELD 3 LOT 309"</f>
        <v>ORSON DR SOUTHFIELD 3 LOT 309</v>
      </c>
      <c r="D5656" s="1">
        <v>2901.4</v>
      </c>
    </row>
    <row r="5657" spans="1:4" x14ac:dyDescent="0.3">
      <c r="A5657" s="1" t="str">
        <f>"01003535900"</f>
        <v>01003535900</v>
      </c>
      <c r="B5657" s="1" t="str">
        <f>"HERNANDEZ MARCIA F"</f>
        <v>HERNANDEZ MARCIA F</v>
      </c>
      <c r="C5657" s="1" t="str">
        <f>"WICKLOW LOT 656 "</f>
        <v xml:space="preserve">WICKLOW LOT 656 </v>
      </c>
      <c r="D5657" s="1">
        <v>1885.05</v>
      </c>
    </row>
    <row r="5658" spans="1:4" x14ac:dyDescent="0.3">
      <c r="A5658" s="1" t="str">
        <f>"09000084000"</f>
        <v>09000084000</v>
      </c>
      <c r="B5658" s="1" t="str">
        <f>"HERNANDEZ MARTINEZ EDWIN ALEXANDER"</f>
        <v>HERNANDEZ MARTINEZ EDWIN ALEXANDER</v>
      </c>
      <c r="C5658" s="1" t="str">
        <f>"293 COLLINGWOOD AVE LOWRIE BROS LOT 159"</f>
        <v>293 COLLINGWOOD AVE LOWRIE BROS LOT 159</v>
      </c>
      <c r="D5658" s="1">
        <v>2542.54</v>
      </c>
    </row>
    <row r="5659" spans="1:4" x14ac:dyDescent="0.3">
      <c r="A5659" s="1" t="str">
        <f>"27300374400"</f>
        <v>27300374400</v>
      </c>
      <c r="B5659" s="1" t="str">
        <f>"HERNANDEZ ROMANA M"</f>
        <v>HERNANDEZ ROMANA M</v>
      </c>
      <c r="C5659" s="1" t="str">
        <f>"DUBLINSHIRE DRIVE EARLINGTON VILLAGE SEC 4 LOT 234"</f>
        <v>DUBLINSHIRE DRIVE EARLINGTON VILLAGE SEC 4 LOT 234</v>
      </c>
      <c r="D5659" s="1">
        <v>13213.24</v>
      </c>
    </row>
    <row r="5660" spans="1:4" x14ac:dyDescent="0.3">
      <c r="A5660" s="1" t="str">
        <f>"01003896700"</f>
        <v>01003896700</v>
      </c>
      <c r="B5660" s="1" t="str">
        <f>"HERNANDEZ-AGUILAR ASHLY NIKHOL"</f>
        <v>HERNANDEZ-AGUILAR ASHLY NIKHOL</v>
      </c>
      <c r="C5660" s="1" t="str">
        <f>"BELLAIRE EXT LOT 208  "</f>
        <v xml:space="preserve">BELLAIRE EXT LOT 208  </v>
      </c>
      <c r="D5660" s="1">
        <v>1155.3</v>
      </c>
    </row>
    <row r="5661" spans="1:4" x14ac:dyDescent="0.3">
      <c r="A5661" s="1" t="str">
        <f>"01006942500"</f>
        <v>01006942500</v>
      </c>
      <c r="B5661" s="1" t="str">
        <f>"HERNANDEZ-GABINO JOSE L"</f>
        <v>HERNANDEZ-GABINO JOSE L</v>
      </c>
      <c r="C5661" s="1" t="str">
        <f>"1914 GENESSEE AVE WOLFE &amp; CARY LOT 45"</f>
        <v>1914 GENESSEE AVE WOLFE &amp; CARY LOT 45</v>
      </c>
      <c r="D5661" s="1">
        <v>1514.65</v>
      </c>
    </row>
    <row r="5662" spans="1:4" x14ac:dyDescent="0.3">
      <c r="A5662" s="1" t="str">
        <f>"16000010900"</f>
        <v>16000010900</v>
      </c>
      <c r="B5662" s="1" t="str">
        <f>"HERO HAVENS LLC"</f>
        <v>HERO HAVENS LLC</v>
      </c>
      <c r="C5662" s="1" t="str">
        <f>"HARRISBURG PIKE OQ 1000 ENTRY 1371"</f>
        <v>HARRISBURG PIKE OQ 1000 ENTRY 1371</v>
      </c>
      <c r="D5662" s="1">
        <v>771.66</v>
      </c>
    </row>
    <row r="5663" spans="1:4" x14ac:dyDescent="0.3">
      <c r="A5663" s="1" t="str">
        <f>"04000017300"</f>
        <v>04000017300</v>
      </c>
      <c r="B5663" s="1" t="str">
        <f>"HERO HAVENS LLC"</f>
        <v>HERO HAVENS LLC</v>
      </c>
      <c r="C5663" s="1" t="str">
        <f>"3299 COLUMBUS ST LOT 50 &amp; PT LOT 51 "</f>
        <v xml:space="preserve">3299 COLUMBUS ST LOT 50 &amp; PT LOT 51 </v>
      </c>
      <c r="D5663" s="1">
        <v>295.39999999999998</v>
      </c>
    </row>
    <row r="5664" spans="1:4" x14ac:dyDescent="0.3">
      <c r="A5664" s="1" t="str">
        <f>"18000541800"</f>
        <v>18000541800</v>
      </c>
      <c r="B5664" s="1" t="str">
        <f>"HERR COLLEEN M"</f>
        <v>HERR COLLEEN M</v>
      </c>
      <c r="C5664" s="1" t="str">
        <f>"RICHARDSON RD R21 T11 S27-28-34 5.405 ACRES"</f>
        <v>RICHARDSON RD R21 T11 S27-28-34 5.405 ACRES</v>
      </c>
      <c r="D5664" s="1">
        <v>10210.040000000001</v>
      </c>
    </row>
    <row r="5665" spans="1:4" x14ac:dyDescent="0.3">
      <c r="A5665" s="1" t="str">
        <f>"01003866000"</f>
        <v>01003866000</v>
      </c>
      <c r="B5665" s="1" t="str">
        <f>"HERRELL ANDREW JAMES"</f>
        <v>HERRELL ANDREW JAMES</v>
      </c>
      <c r="C5665" s="1" t="str">
        <f>"153 NASHOBA AVE GLENWOOD HTS LOT 215"</f>
        <v>153 NASHOBA AVE GLENWOOD HTS LOT 215</v>
      </c>
      <c r="D5665" s="1">
        <v>1973.79</v>
      </c>
    </row>
    <row r="5666" spans="1:4" x14ac:dyDescent="0.3">
      <c r="A5666" s="1" t="str">
        <f>"01002824400"</f>
        <v>01002824400</v>
      </c>
      <c r="B5666" s="1" t="str">
        <f>"HERRELL ANDREW JAMES"</f>
        <v>HERRELL ANDREW JAMES</v>
      </c>
      <c r="C5666" s="1" t="str">
        <f>"177 LECHNER AVE GLENWOOD HTS LOT 193"</f>
        <v>177 LECHNER AVE GLENWOOD HTS LOT 193</v>
      </c>
      <c r="D5666" s="1">
        <v>1518.3</v>
      </c>
    </row>
    <row r="5667" spans="1:4" x14ac:dyDescent="0.3">
      <c r="A5667" s="1" t="str">
        <f>"15300019500"</f>
        <v>15300019500</v>
      </c>
      <c r="B5667" s="1" t="str">
        <f>"HERREN CHRISTOPHER L"</f>
        <v>HERREN CHRISTOPHER L</v>
      </c>
      <c r="C5667" s="1" t="str">
        <f>"E HOWARD ROAD ACRES .40 R22 T4 S13 PAR 13-14 URP 15"</f>
        <v>E HOWARD ROAD ACRES .40 R22 T4 S13 PAR 13-14 URP 15</v>
      </c>
      <c r="D5667" s="1">
        <v>2164.66</v>
      </c>
    </row>
    <row r="5668" spans="1:4" x14ac:dyDescent="0.3">
      <c r="A5668" s="1" t="str">
        <f>"01001519800"</f>
        <v>01001519800</v>
      </c>
      <c r="B5668" s="1" t="str">
        <f>"HERREN PHILIP E TTEE"</f>
        <v>HERREN PHILIP E TTEE</v>
      </c>
      <c r="C5668" s="1" t="str">
        <f>"33 E 3RD AVE 45FT ES      PHELANS MT PLEASANT       LOT 6                    "</f>
        <v xml:space="preserve">33 E 3RD AVE 45FT ES      PHELANS MT PLEASANT       LOT 6                    </v>
      </c>
      <c r="D5668" s="1">
        <v>3103.48</v>
      </c>
    </row>
    <row r="5669" spans="1:4" x14ac:dyDescent="0.3">
      <c r="A5669" s="1" t="str">
        <f>"01003735100"</f>
        <v>01003735100</v>
      </c>
      <c r="B5669" s="1" t="str">
        <f>"HERREN PHILIP E TTEE"</f>
        <v>HERREN PHILIP E TTEE</v>
      </c>
      <c r="C5669" s="1" t="str">
        <f>"41 E 3RD AVE              PHELANS MT PLEASANT       LOT 7                    "</f>
        <v xml:space="preserve">41 E 3RD AVE              PHELANS MT PLEASANT       LOT 7                    </v>
      </c>
      <c r="D5669" s="1">
        <v>3401.04</v>
      </c>
    </row>
    <row r="5670" spans="1:4" x14ac:dyDescent="0.3">
      <c r="A5670" s="1" t="str">
        <f>"25000329200"</f>
        <v>25000329200</v>
      </c>
      <c r="B5670" s="1" t="str">
        <f>"HERREN PHILIP E TTEE"</f>
        <v>HERREN PHILIP E TTEE</v>
      </c>
      <c r="C5670" s="1" t="str">
        <f>"OLENTANGY RD ACRES 1.5 LOT 5"</f>
        <v>OLENTANGY RD ACRES 1.5 LOT 5</v>
      </c>
      <c r="D5670" s="1">
        <v>6671.29</v>
      </c>
    </row>
    <row r="5671" spans="1:4" x14ac:dyDescent="0.3">
      <c r="A5671" s="1" t="str">
        <f>"01000562400"</f>
        <v>01000562400</v>
      </c>
      <c r="B5671" s="1" t="str">
        <f>"HERRERA ELISUA ANAMIN"</f>
        <v>HERRERA ELISUA ANAMIN</v>
      </c>
      <c r="C5671" s="1" t="str">
        <f>"329-31 WHITETHORNE WESTWOOD HTS LOT 205"</f>
        <v>329-31 WHITETHORNE WESTWOOD HTS LOT 205</v>
      </c>
      <c r="D5671" s="1">
        <v>1890.5</v>
      </c>
    </row>
    <row r="5672" spans="1:4" x14ac:dyDescent="0.3">
      <c r="A5672" s="1" t="str">
        <f>"59023127800"</f>
        <v>59023127800</v>
      </c>
      <c r="B5672" s="1" t="str">
        <f>"HERRERA YOEL O"</f>
        <v>HERRERA YOEL O</v>
      </c>
      <c r="C5672" s="1" t="str">
        <f>"BETHEL COMMONS CONDOMINIUM 13TH AMD UNIT 62D"</f>
        <v>BETHEL COMMONS CONDOMINIUM 13TH AMD UNIT 62D</v>
      </c>
      <c r="D5672" s="1">
        <v>2156.59</v>
      </c>
    </row>
    <row r="5673" spans="1:4" x14ac:dyDescent="0.3">
      <c r="A5673" s="1" t="str">
        <f>"01000397900"</f>
        <v>01000397900</v>
      </c>
      <c r="B5673" s="1" t="str">
        <f>"HERRINGA NICHOLAS MICHAEL"</f>
        <v>HERRINGA NICHOLAS MICHAEL</v>
      </c>
      <c r="C5673" s="1" t="str">
        <f>"1022 OAK ST R C HOFFMAN ADD LOT 7"</f>
        <v>1022 OAK ST R C HOFFMAN ADD LOT 7</v>
      </c>
      <c r="D5673" s="1">
        <v>174.7</v>
      </c>
    </row>
    <row r="5674" spans="1:4" x14ac:dyDescent="0.3">
      <c r="A5674" s="1" t="str">
        <f>"01029978100"</f>
        <v>01029978100</v>
      </c>
      <c r="B5674" s="1" t="str">
        <f>"HERRINGTON YVONNE TR"</f>
        <v>HERRINGTON YVONNE TR</v>
      </c>
      <c r="C5674" s="1" t="str">
        <f>"LEGACY VILLAGE CONDOMINIUM UNIT 2979 "</f>
        <v xml:space="preserve">LEGACY VILLAGE CONDOMINIUM UNIT 2979 </v>
      </c>
      <c r="D5674" s="1">
        <v>336.44</v>
      </c>
    </row>
    <row r="5675" spans="1:4" x14ac:dyDescent="0.3">
      <c r="A5675" s="1" t="str">
        <f>"01020790300"</f>
        <v>01020790300</v>
      </c>
      <c r="B5675" s="1" t="str">
        <f>"HERRMANN SAMANTHA, HERRMANN MATHEW"</f>
        <v>HERRMANN SAMANTHA, HERRMANN MATHEW</v>
      </c>
      <c r="C5675" s="1" t="str">
        <f>"RIVERWATCH TOWER CONDOMINIUM UNIT 728"</f>
        <v>RIVERWATCH TOWER CONDOMINIUM UNIT 728</v>
      </c>
      <c r="D5675" s="1">
        <v>1636.35</v>
      </c>
    </row>
    <row r="5676" spans="1:4" x14ac:dyDescent="0.3">
      <c r="A5676" s="1" t="str">
        <f>"61021779400"</f>
        <v>61021779400</v>
      </c>
      <c r="B5676" s="1" t="str">
        <f>"HERRON ANDREW D, HERRON ANDREW"</f>
        <v>HERRON ANDREW D, HERRON ANDREW</v>
      </c>
      <c r="C5676" s="1" t="str">
        <f>"SEVEN OAKS AT WORTHINGTON LOT 38"</f>
        <v>SEVEN OAKS AT WORTHINGTON LOT 38</v>
      </c>
      <c r="D5676" s="1">
        <v>426.16</v>
      </c>
    </row>
    <row r="5677" spans="1:4" x14ac:dyDescent="0.3">
      <c r="A5677" s="1" t="str">
        <f>"08000854100"</f>
        <v>08000854100</v>
      </c>
      <c r="B5677" s="1" t="str">
        <f>"HERSHEY CARISSA R, SCOTT JESSIE L"</f>
        <v>HERSHEY CARISSA R, SCOTT JESSIE L</v>
      </c>
      <c r="C5677" s="1" t="str">
        <f>"VINCENT CT SPRING HOLLOW VILL 3 LOT 123"</f>
        <v>VINCENT CT SPRING HOLLOW VILL 3 LOT 123</v>
      </c>
      <c r="D5677" s="1">
        <v>392.46</v>
      </c>
    </row>
    <row r="5678" spans="1:4" x14ac:dyDescent="0.3">
      <c r="A5678" s="1" t="str">
        <f>"01014003000"</f>
        <v>01014003000</v>
      </c>
      <c r="B5678" s="1" t="str">
        <f>"HERTENSTEIN NEIL"</f>
        <v>HERTENSTEIN NEIL</v>
      </c>
      <c r="C5678" s="1" t="str">
        <f>"760 BREEZEDALE PL RAVENSWOOD LOT 66"</f>
        <v>760 BREEZEDALE PL RAVENSWOOD LOT 66</v>
      </c>
      <c r="D5678" s="1">
        <v>3156.2</v>
      </c>
    </row>
    <row r="5679" spans="1:4" x14ac:dyDescent="0.3">
      <c r="A5679" s="1" t="str">
        <f>"05000786500"</f>
        <v>05000786500</v>
      </c>
      <c r="B5679" s="1" t="str">
        <f>"HERY CHLOE, HERY TRAVIS"</f>
        <v>HERY CHLOE, HERY TRAVIS</v>
      </c>
      <c r="C5679" s="1" t="str">
        <f>"DIXON DRIVE HAMPTON OAKS PHASE 1 LOT 38"</f>
        <v>DIXON DRIVE HAMPTON OAKS PHASE 1 LOT 38</v>
      </c>
      <c r="D5679" s="1">
        <v>12901.37</v>
      </c>
    </row>
    <row r="5680" spans="1:4" x14ac:dyDescent="0.3">
      <c r="A5680" s="1" t="str">
        <f>"07000538100"</f>
        <v>07000538100</v>
      </c>
      <c r="B5680" s="1" t="str">
        <f>"HERZOG REBECCA J TOD"</f>
        <v>HERZOG REBECCA J TOD</v>
      </c>
      <c r="C5680" s="1" t="str">
        <f>"E CLEFT DR EAST CLEFT LOT 288"</f>
        <v>E CLEFT DR EAST CLEFT LOT 288</v>
      </c>
      <c r="D5680" s="1">
        <v>1200.51</v>
      </c>
    </row>
    <row r="5681" spans="1:4" x14ac:dyDescent="0.3">
      <c r="A5681" s="1" t="str">
        <f>"07000074300"</f>
        <v>07000074300</v>
      </c>
      <c r="B5681" s="1" t="str">
        <f>"HESCHEL JILL M TTEE"</f>
        <v>HESCHEL JILL M TTEE</v>
      </c>
      <c r="C5681" s="1" t="str">
        <f>"2140 NORTH PARKWAY UPPER ARLINGTON LOT 19-20 BLK 61"</f>
        <v>2140 NORTH PARKWAY UPPER ARLINGTON LOT 19-20 BLK 61</v>
      </c>
      <c r="D5681" s="1">
        <v>10816.22</v>
      </c>
    </row>
    <row r="5682" spans="1:4" x14ac:dyDescent="0.3">
      <c r="A5682" s="1" t="str">
        <f>"22200102900"</f>
        <v>22200102900</v>
      </c>
      <c r="B5682" s="1" t="str">
        <f>"HESS DOUGLAS THOR TTEE, HESS JONATHON DOUGLAS TTEE"</f>
        <v>HESS DOUGLAS THOR TTEE, HESS JONATHON DOUGLAS TTEE</v>
      </c>
      <c r="C5682" s="1" t="str">
        <f>"THE NEW ALBANY COUNTRY CLUB SEC 3 LOT 93"</f>
        <v>THE NEW ALBANY COUNTRY CLUB SEC 3 LOT 93</v>
      </c>
      <c r="D5682" s="1">
        <v>1097.6199999999999</v>
      </c>
    </row>
    <row r="5683" spans="1:4" x14ac:dyDescent="0.3">
      <c r="A5683" s="1" t="str">
        <f>"01008435100"</f>
        <v>01008435100</v>
      </c>
      <c r="B5683" s="1" t="str">
        <f>"HESS ERIN"</f>
        <v>HESS ERIN</v>
      </c>
      <c r="C5683" s="1" t="str">
        <f>"CANYON DR INDIAN SPRINGS LOT 141"</f>
        <v>CANYON DR INDIAN SPRINGS LOT 141</v>
      </c>
      <c r="D5683" s="1">
        <v>5854.82</v>
      </c>
    </row>
    <row r="5684" spans="1:4" x14ac:dyDescent="0.3">
      <c r="A5684" s="1" t="str">
        <f>"09000000500"</f>
        <v>09000000500</v>
      </c>
      <c r="B5684" s="1" t="str">
        <f>"HESS SEAN A"</f>
        <v>HESS SEAN A</v>
      </c>
      <c r="C5684" s="1" t="str">
        <f>"ROBINWOOD AVE REAR LOWRIE BROS PT OF LOTS 348&amp;349"</f>
        <v>ROBINWOOD AVE REAR LOWRIE BROS PT OF LOTS 348&amp;349</v>
      </c>
      <c r="D5684" s="1">
        <v>29</v>
      </c>
    </row>
    <row r="5685" spans="1:4" x14ac:dyDescent="0.3">
      <c r="A5685" s="1" t="str">
        <f>"01014523300"</f>
        <v>01014523300</v>
      </c>
      <c r="B5685" s="1" t="str">
        <f>"HESS THOMAS M, HESS AMY C"</f>
        <v>HESS THOMAS M, HESS AMY C</v>
      </c>
      <c r="C5685" s="1" t="str">
        <f>"JAMESTOWN CT NORTHCREST LOT 100"</f>
        <v>JAMESTOWN CT NORTHCREST LOT 100</v>
      </c>
      <c r="D5685" s="1">
        <v>5765.36</v>
      </c>
    </row>
    <row r="5686" spans="1:4" x14ac:dyDescent="0.3">
      <c r="A5686" s="1" t="str">
        <f>"01027105900"</f>
        <v>01027105900</v>
      </c>
      <c r="B5686" s="1" t="str">
        <f>"HESSE MARIA C N"</f>
        <v>HESSE MARIA C N</v>
      </c>
      <c r="C5686" s="1" t="str">
        <f>"HAMPTONS AT NEW ALBANY    PARK CONDOMINIUM 2ND AMD  BLDG 28 UNIT 28-7160     "</f>
        <v xml:space="preserve">HAMPTONS AT NEW ALBANY    PARK CONDOMINIUM 2ND AMD  BLDG 28 UNIT 28-7160     </v>
      </c>
      <c r="D5686" s="1">
        <v>172.78</v>
      </c>
    </row>
    <row r="5687" spans="1:4" x14ac:dyDescent="0.3">
      <c r="A5687" s="1" t="str">
        <f>"01000493400"</f>
        <v>01000493400</v>
      </c>
      <c r="B5687" s="1" t="str">
        <f>"HESSENAUER MICHAEL R, HESSENAUER DOUGLAS S"</f>
        <v>HESSENAUER MICHAEL R, HESSENAUER DOUGLAS S</v>
      </c>
      <c r="C5687" s="1" t="str">
        <f>"921 WALNUT ST MARTINS WESTERN 10.4'NL X45'EL NW COR L63"</f>
        <v>921 WALNUT ST MARTINS WESTERN 10.4'NL X45'EL NW COR L63</v>
      </c>
      <c r="D5687" s="1">
        <v>3.04</v>
      </c>
    </row>
    <row r="5688" spans="1:4" x14ac:dyDescent="0.3">
      <c r="A5688" s="1" t="str">
        <f>"01007520600"</f>
        <v>01007520600</v>
      </c>
      <c r="B5688" s="1" t="str">
        <f>"HESTIA HOME GROUP LLC"</f>
        <v>HESTIA HOME GROUP LLC</v>
      </c>
      <c r="C5688" s="1" t="str">
        <f>"HOWEY AVE GRASMERE GARDENS LOT 443"</f>
        <v>HOWEY AVE GRASMERE GARDENS LOT 443</v>
      </c>
      <c r="D5688" s="1">
        <v>711.8</v>
      </c>
    </row>
    <row r="5689" spans="1:4" x14ac:dyDescent="0.3">
      <c r="A5689" s="1" t="str">
        <f>"01007529000"</f>
        <v>01007529000</v>
      </c>
      <c r="B5689" s="1" t="str">
        <f>"HESTIA HOME GROUP LLC"</f>
        <v>HESTIA HOME GROUP LLC</v>
      </c>
      <c r="C5689" s="1" t="str">
        <f>"ATWOOD TERRACE GRASMERE GARDENS LOT 527"</f>
        <v>ATWOOD TERRACE GRASMERE GARDENS LOT 527</v>
      </c>
      <c r="D5689" s="1">
        <v>995.98</v>
      </c>
    </row>
    <row r="5690" spans="1:4" x14ac:dyDescent="0.3">
      <c r="A5690" s="1" t="str">
        <f>"01012857100"</f>
        <v>01012857100</v>
      </c>
      <c r="B5690" s="1" t="str">
        <f>"HETRICK FREDA M TTEE"</f>
        <v>HETRICK FREDA M TTEE</v>
      </c>
      <c r="C5690" s="1" t="str">
        <f>"MEADOWVIEW DR MOORES&amp;DALES 5 LOT 44"</f>
        <v>MEADOWVIEW DR MOORES&amp;DALES 5 LOT 44</v>
      </c>
      <c r="D5690" s="1">
        <v>62.7</v>
      </c>
    </row>
    <row r="5691" spans="1:4" x14ac:dyDescent="0.3">
      <c r="A5691" s="1" t="str">
        <f>"23000237500"</f>
        <v>23000237500</v>
      </c>
      <c r="B5691" s="1" t="str">
        <f>"HETTINGER NATHANIEL, HETTINGER VERONICA"</f>
        <v>HETTINGER NATHANIEL, HETTINGER VERONICA</v>
      </c>
      <c r="C5691" s="1" t="str">
        <f>"B STREET COVERED BRIDGE 38 "</f>
        <v xml:space="preserve">B STREET COVERED BRIDGE 38 </v>
      </c>
      <c r="D5691" s="1">
        <v>184.37</v>
      </c>
    </row>
    <row r="5692" spans="1:4" x14ac:dyDescent="0.3">
      <c r="A5692" s="1" t="str">
        <f>"56022152400"</f>
        <v>56022152400</v>
      </c>
      <c r="B5692" s="1" t="str">
        <f>"HETZLER FAMILY LLC"</f>
        <v>HETZLER FAMILY LLC</v>
      </c>
      <c r="C5692" s="1" t="str">
        <f>"TRANSAMERICA DRIVE TRABUE-WALCUT INDUST PARK 1 LOT 2 1.422AC"</f>
        <v>TRANSAMERICA DRIVE TRABUE-WALCUT INDUST PARK 1 LOT 2 1.422AC</v>
      </c>
      <c r="D5692" s="1">
        <v>1800</v>
      </c>
    </row>
    <row r="5693" spans="1:4" x14ac:dyDescent="0.3">
      <c r="A5693" s="1" t="str">
        <f>"27400085400"</f>
        <v>27400085400</v>
      </c>
      <c r="B5693" s="1" t="str">
        <f>"HEUER PATRICIA A, HEUER THOMAS M"</f>
        <v>HEUER PATRICIA A, HEUER THOMAS M</v>
      </c>
      <c r="C5693" s="1" t="str">
        <f>"VILLAS AT BALLANTRAE CONDOMINIUM UNIT 60-6559"</f>
        <v>VILLAS AT BALLANTRAE CONDOMINIUM UNIT 60-6559</v>
      </c>
      <c r="D5693" s="1">
        <v>6609.39</v>
      </c>
    </row>
    <row r="5694" spans="1:4" x14ac:dyDescent="0.3">
      <c r="A5694" s="1" t="str">
        <f>"01013435200"</f>
        <v>01013435200</v>
      </c>
      <c r="B5694" s="1" t="str">
        <f>"HEWLETT JAMES A"</f>
        <v>HEWLETT JAMES A</v>
      </c>
      <c r="C5694" s="1" t="str">
        <f>"ORMOND AVE DRESDEN MANOR LOT 45"</f>
        <v>ORMOND AVE DRESDEN MANOR LOT 45</v>
      </c>
      <c r="D5694" s="1">
        <v>162.22999999999999</v>
      </c>
    </row>
    <row r="5695" spans="1:4" x14ac:dyDescent="0.3">
      <c r="A5695" s="1" t="str">
        <f>"01002989400"</f>
        <v>01002989400</v>
      </c>
      <c r="B5695" s="1" t="str">
        <f>"HEYWOOD WILLIAM H IV, HEYWOOD DARNELL P"</f>
        <v>HEYWOOD WILLIAM H IV, HEYWOOD DARNELL P</v>
      </c>
      <c r="C5695" s="1" t="str">
        <f>"298 DESHLER AVE SIEBERTS CITY PARK LOT 49"</f>
        <v>298 DESHLER AVE SIEBERTS CITY PARK LOT 49</v>
      </c>
      <c r="D5695" s="1">
        <v>466.87</v>
      </c>
    </row>
    <row r="5696" spans="1:4" x14ac:dyDescent="0.3">
      <c r="A5696" s="1" t="str">
        <f>"01000927700"</f>
        <v>01000927700</v>
      </c>
      <c r="B5696" s="1" t="str">
        <f>"HFR LLC"</f>
        <v>HFR LLC</v>
      </c>
      <c r="C5696" s="1" t="str">
        <f>"585 STANLEY AVE BLESCH&amp;KREMER LOT 269"</f>
        <v>585 STANLEY AVE BLESCH&amp;KREMER LOT 269</v>
      </c>
      <c r="D5696" s="1">
        <v>3136.9</v>
      </c>
    </row>
    <row r="5697" spans="1:4" x14ac:dyDescent="0.3">
      <c r="A5697" s="1" t="str">
        <f>"01010454900"</f>
        <v>01010454900</v>
      </c>
      <c r="B5697" s="1" t="str">
        <f>"HG PROPERTY HOLDINGS LLC"</f>
        <v>HG PROPERTY HOLDINGS LLC</v>
      </c>
      <c r="C5697" s="1" t="str">
        <f>"6057 CLEVE AVE 2.651 ACRES LOT 1 R18 T2 1/4T4"</f>
        <v>6057 CLEVE AVE 2.651 ACRES LOT 1 R18 T2 1/4T4</v>
      </c>
      <c r="D5697" s="1">
        <v>60637.98</v>
      </c>
    </row>
    <row r="5698" spans="1:4" x14ac:dyDescent="0.3">
      <c r="A5698" s="1" t="str">
        <f>"01016627000"</f>
        <v>01016627000</v>
      </c>
      <c r="B5698" s="1" t="str">
        <f>"HG PROPERTY HOLDINGS LLC"</f>
        <v>HG PROPERTY HOLDINGS LLC</v>
      </c>
      <c r="C5698" s="1" t="str">
        <f>"3266 VALLEY LANE S RAVINE CONDOMINIUMS I UNIT Z 19"</f>
        <v>3266 VALLEY LANE S RAVINE CONDOMINIUMS I UNIT Z 19</v>
      </c>
      <c r="D5698" s="1">
        <v>2938.28</v>
      </c>
    </row>
    <row r="5699" spans="1:4" x14ac:dyDescent="0.3">
      <c r="A5699" s="1" t="str">
        <f>"01000178700"</f>
        <v>01000178700</v>
      </c>
      <c r="B5699" s="1" t="str">
        <f>"HI FIVE HOMES LLC"</f>
        <v>HI FIVE HOMES LLC</v>
      </c>
      <c r="C5699" s="1" t="str">
        <f>"1258 MADISON AVE IDE PLACE LOT 20"</f>
        <v>1258 MADISON AVE IDE PLACE LOT 20</v>
      </c>
      <c r="D5699" s="1">
        <v>1702.06</v>
      </c>
    </row>
    <row r="5700" spans="1:4" x14ac:dyDescent="0.3">
      <c r="A5700" s="1" t="str">
        <f>"57024311100"</f>
        <v>57024311100</v>
      </c>
      <c r="B5700" s="1" t="str">
        <f>"HICKEY KAREN D TTEE"</f>
        <v>HICKEY KAREN D TTEE</v>
      </c>
      <c r="C5700" s="1" t="str">
        <f>"ALKIRE PARK CONDOMINIUM UNIT 6A"</f>
        <v>ALKIRE PARK CONDOMINIUM UNIT 6A</v>
      </c>
      <c r="D5700" s="1">
        <v>2272.77</v>
      </c>
    </row>
    <row r="5701" spans="1:4" x14ac:dyDescent="0.3">
      <c r="A5701" s="1" t="str">
        <f>"01006982300"</f>
        <v>01006982300</v>
      </c>
      <c r="B5701" s="1" t="str">
        <f>"HICKEY SHANNON R"</f>
        <v>HICKEY SHANNON R</v>
      </c>
      <c r="C5701" s="1" t="str">
        <f>"136 MARTIN AVE N1/2 SINCLAIR LOT 52"</f>
        <v>136 MARTIN AVE N1/2 SINCLAIR LOT 52</v>
      </c>
      <c r="D5701" s="1">
        <v>2670.68</v>
      </c>
    </row>
    <row r="5702" spans="1:4" x14ac:dyDescent="0.3">
      <c r="A5702" s="1" t="str">
        <f>"01002408400"</f>
        <v>01002408400</v>
      </c>
      <c r="B5702" s="1" t="str">
        <f>"HICKEY SHANNON R"</f>
        <v>HICKEY SHANNON R</v>
      </c>
      <c r="C5702" s="1" t="str">
        <f>"68-70 E WOODROW AVE MERION LOT 6"</f>
        <v>68-70 E WOODROW AVE MERION LOT 6</v>
      </c>
      <c r="D5702" s="1">
        <v>4287.07</v>
      </c>
    </row>
    <row r="5703" spans="1:4" x14ac:dyDescent="0.3">
      <c r="A5703" s="1" t="str">
        <f>"01011624800"</f>
        <v>01011624800</v>
      </c>
      <c r="B5703" s="1" t="str">
        <f>"HICKEY SUSAN JEAN"</f>
        <v>HICKEY SUSAN JEAN</v>
      </c>
      <c r="C5703" s="1" t="str">
        <f>"SHADY HILL DR SHADY HILL ESTATES LOT 68"</f>
        <v>SHADY HILL DR SHADY HILL ESTATES LOT 68</v>
      </c>
      <c r="D5703" s="1">
        <v>415.11</v>
      </c>
    </row>
    <row r="5704" spans="1:4" x14ac:dyDescent="0.3">
      <c r="A5704" s="1" t="str">
        <f>"01019194900"</f>
        <v>01019194900</v>
      </c>
      <c r="B5704" s="1" t="str">
        <f>"HICKFANG PAUL C"</f>
        <v>HICKFANG PAUL C</v>
      </c>
      <c r="C5704" s="1" t="str">
        <f>"OLENTANGY THE CONDOMINIUM BLDG 20 UNIT 20-4825A"</f>
        <v>OLENTANGY THE CONDOMINIUM BLDG 20 UNIT 20-4825A</v>
      </c>
      <c r="D5704" s="1">
        <v>149.46</v>
      </c>
    </row>
    <row r="5705" spans="1:4" x14ac:dyDescent="0.3">
      <c r="A5705" s="1" t="str">
        <f>"01006130100"</f>
        <v>01006130100</v>
      </c>
      <c r="B5705" s="1" t="str">
        <f>"HICKMAN ANGELA L"</f>
        <v>HICKMAN ANGELA L</v>
      </c>
      <c r="C5705" s="1" t="str">
        <f>"1508 E HUDSON ST HIGHWAY PARK LOT 53"</f>
        <v>1508 E HUDSON ST HIGHWAY PARK LOT 53</v>
      </c>
      <c r="D5705" s="1">
        <v>1126.5999999999999</v>
      </c>
    </row>
    <row r="5706" spans="1:4" x14ac:dyDescent="0.3">
      <c r="A5706" s="1" t="str">
        <f>"57022673000"</f>
        <v>57022673000</v>
      </c>
      <c r="B5706" s="1" t="str">
        <f>"HICKMAN HERMAN II"</f>
        <v>HICKMAN HERMAN II</v>
      </c>
      <c r="C5706" s="1" t="str">
        <f>"WILLOW CREEK SECTION 2 PART 1 LOT 532"</f>
        <v>WILLOW CREEK SECTION 2 PART 1 LOT 532</v>
      </c>
      <c r="D5706" s="1">
        <v>2596.9</v>
      </c>
    </row>
    <row r="5707" spans="1:4" x14ac:dyDescent="0.3">
      <c r="A5707" s="1" t="str">
        <f>"19000067900"</f>
        <v>19000067900</v>
      </c>
      <c r="B5707" s="1" t="str">
        <f>"HICKMAN SHAWN D"</f>
        <v>HICKMAN SHAWN D</v>
      </c>
      <c r="C5707" s="1" t="str">
        <f>"2093 EARL AVE DENUNE E LINDEN 5TH 206 W 1/2"</f>
        <v>2093 EARL AVE DENUNE E LINDEN 5TH 206 W 1/2</v>
      </c>
      <c r="D5707" s="1">
        <v>3022.45</v>
      </c>
    </row>
    <row r="5708" spans="1:4" x14ac:dyDescent="0.3">
      <c r="A5708" s="1" t="str">
        <f>"01011284800"</f>
        <v>01011284800</v>
      </c>
      <c r="B5708" s="1" t="str">
        <f>"HICKS GARY R"</f>
        <v>HICKS GARY R</v>
      </c>
      <c r="C5708" s="1" t="str">
        <f>"S CHAMPION AVE CHAMPION AVE TERRACE LOT 24"</f>
        <v>S CHAMPION AVE CHAMPION AVE TERRACE LOT 24</v>
      </c>
      <c r="D5708" s="1">
        <v>124.18</v>
      </c>
    </row>
    <row r="5709" spans="1:4" x14ac:dyDescent="0.3">
      <c r="A5709" s="1" t="str">
        <f>"01007277600"</f>
        <v>01007277600</v>
      </c>
      <c r="B5709" s="1" t="str">
        <f>"HICKS JIMMIE E, HICKS JANICE R"</f>
        <v>HICKS JIMMIE E, HICKS JANICE R</v>
      </c>
      <c r="C5709" s="1" t="str">
        <f>"HIAWATHIA ALMADA LOT 635 &amp; 636"</f>
        <v>HIAWATHIA ALMADA LOT 635 &amp; 636</v>
      </c>
      <c r="D5709" s="1">
        <v>870.76</v>
      </c>
    </row>
    <row r="5710" spans="1:4" x14ac:dyDescent="0.3">
      <c r="A5710" s="1" t="str">
        <f>"53016895100"</f>
        <v>53016895100</v>
      </c>
      <c r="B5710" s="1" t="str">
        <f>"HICKS MARIFERN"</f>
        <v>HICKS MARIFERN</v>
      </c>
      <c r="C5710" s="1" t="str">
        <f>"BARLEY CIRCLE MADISON MILLS LOT 30"</f>
        <v>BARLEY CIRCLE MADISON MILLS LOT 30</v>
      </c>
      <c r="D5710" s="1">
        <v>945.5</v>
      </c>
    </row>
    <row r="5711" spans="1:4" x14ac:dyDescent="0.3">
      <c r="A5711" s="1" t="str">
        <f>"01007969100"</f>
        <v>01007969100</v>
      </c>
      <c r="B5711" s="1" t="str">
        <f>"HICKS MERIAM M"</f>
        <v>HICKS MERIAM M</v>
      </c>
      <c r="C5711" s="1" t="str">
        <f>"MCGUFFEY RD HAHNS LOT 25"</f>
        <v>MCGUFFEY RD HAHNS LOT 25</v>
      </c>
      <c r="D5711" s="1">
        <v>2267.16</v>
      </c>
    </row>
    <row r="5712" spans="1:4" x14ac:dyDescent="0.3">
      <c r="A5712" s="1" t="str">
        <f>"01010160100"</f>
        <v>01010160100</v>
      </c>
      <c r="B5712" s="1" t="str">
        <f>"HICKSON DENISE TTEE"</f>
        <v>HICKSON DENISE TTEE</v>
      </c>
      <c r="C5712" s="1" t="str">
        <f>"ROOSEVELT AVE BERWICK HTS 2 LOT 244"</f>
        <v>ROOSEVELT AVE BERWICK HTS 2 LOT 244</v>
      </c>
      <c r="D5712" s="1">
        <v>153.41</v>
      </c>
    </row>
    <row r="5713" spans="1:4" x14ac:dyDescent="0.3">
      <c r="A5713" s="1" t="str">
        <f>"04001739200"</f>
        <v>04001739200</v>
      </c>
      <c r="B5713" s="1" t="str">
        <f>"HIDDEN MEADOWS OHIO LLC"</f>
        <v>HIDDEN MEADOWS OHIO LLC</v>
      </c>
      <c r="C5713" s="1" t="str">
        <f>"HIDDEN CHASE RESERVE B 0.010 ACRE"</f>
        <v>HIDDEN CHASE RESERVE B 0.010 ACRE</v>
      </c>
      <c r="D5713" s="1">
        <v>5.9</v>
      </c>
    </row>
    <row r="5714" spans="1:4" x14ac:dyDescent="0.3">
      <c r="A5714" s="1" t="str">
        <f>"04001739300"</f>
        <v>04001739300</v>
      </c>
      <c r="B5714" s="1" t="str">
        <f>"HIDDEN MEADOWS OHIO LLC"</f>
        <v>HIDDEN MEADOWS OHIO LLC</v>
      </c>
      <c r="C5714" s="1" t="str">
        <f>"HIDDEN CHASE RESERVE C 0.009 ACRE"</f>
        <v>HIDDEN CHASE RESERVE C 0.009 ACRE</v>
      </c>
      <c r="D5714" s="1">
        <v>3.76</v>
      </c>
    </row>
    <row r="5715" spans="1:4" x14ac:dyDescent="0.3">
      <c r="A5715" s="1" t="str">
        <f>"04001739100"</f>
        <v>04001739100</v>
      </c>
      <c r="B5715" s="1" t="str">
        <f>"HIDDEN MEADOWS OHIO LLC"</f>
        <v>HIDDEN MEADOWS OHIO LLC</v>
      </c>
      <c r="C5715" s="1" t="str">
        <f>"HIDDEN CHASE RESERVE A 1.320 ACRES"</f>
        <v>HIDDEN CHASE RESERVE A 1.320 ACRES</v>
      </c>
      <c r="D5715" s="1">
        <v>669.19</v>
      </c>
    </row>
    <row r="5716" spans="1:4" x14ac:dyDescent="0.3">
      <c r="A5716" s="1" t="str">
        <f>"04001739400"</f>
        <v>04001739400</v>
      </c>
      <c r="B5716" s="1" t="str">
        <f>"HIDDEN MEADOWS OHIO LLC"</f>
        <v>HIDDEN MEADOWS OHIO LLC</v>
      </c>
      <c r="C5716" s="1" t="str">
        <f>"HIDDEN CHASE RESERVE D 1.398 ACRES"</f>
        <v>HIDDEN CHASE RESERVE D 1.398 ACRES</v>
      </c>
      <c r="D5716" s="1">
        <v>708.92</v>
      </c>
    </row>
    <row r="5717" spans="1:4" x14ac:dyDescent="0.3">
      <c r="A5717" s="1" t="str">
        <f>"04001739500"</f>
        <v>04001739500</v>
      </c>
      <c r="B5717" s="1" t="str">
        <f>"HIDDEN MEADOWS OHIO LLC"</f>
        <v>HIDDEN MEADOWS OHIO LLC</v>
      </c>
      <c r="C5717" s="1" t="str">
        <f>"HIDDEN CHASE RESERVE E 0.825 ACRE"</f>
        <v>HIDDEN CHASE RESERVE E 0.825 ACRE</v>
      </c>
      <c r="D5717" s="1">
        <v>419.45</v>
      </c>
    </row>
    <row r="5718" spans="1:4" x14ac:dyDescent="0.3">
      <c r="A5718" s="1" t="str">
        <f>"04001739600"</f>
        <v>04001739600</v>
      </c>
      <c r="B5718" s="1" t="str">
        <f>"HIDDEN MEADOWS OHIO LLC"</f>
        <v>HIDDEN MEADOWS OHIO LLC</v>
      </c>
      <c r="C5718" s="1" t="str">
        <f>"HIDDEN CHASE RESERVE F 0.751 ACRE"</f>
        <v>HIDDEN CHASE RESERVE F 0.751 ACRE</v>
      </c>
      <c r="D5718" s="1">
        <v>381.84</v>
      </c>
    </row>
    <row r="5719" spans="1:4" x14ac:dyDescent="0.3">
      <c r="A5719" s="1" t="str">
        <f>"04001739700"</f>
        <v>04001739700</v>
      </c>
      <c r="B5719" s="1" t="str">
        <f>"HIDDEN MEADOWS OHIO LLC"</f>
        <v>HIDDEN MEADOWS OHIO LLC</v>
      </c>
      <c r="C5719" s="1" t="str">
        <f>"HIDDEN CHASE RESERVE G 2.839 ACRES"</f>
        <v>HIDDEN CHASE RESERVE G 2.839 ACRES</v>
      </c>
      <c r="D5719" s="1">
        <v>1442.05</v>
      </c>
    </row>
    <row r="5720" spans="1:4" x14ac:dyDescent="0.3">
      <c r="A5720" s="1" t="str">
        <f>"11000441200"</f>
        <v>11000441200</v>
      </c>
      <c r="B5720" s="1" t="str">
        <f>"HIGBY SUSAN J"</f>
        <v>HIGBY SUSAN J</v>
      </c>
      <c r="C5720" s="1" t="str">
        <f>"DAKAR RD W GLENGARY HTS 488 "</f>
        <v xml:space="preserve">DAKAR RD W GLENGARY HTS 488 </v>
      </c>
      <c r="D5720" s="1">
        <v>2028.32</v>
      </c>
    </row>
    <row r="5721" spans="1:4" x14ac:dyDescent="0.3">
      <c r="A5721" s="1" t="str">
        <f>"19000205200"</f>
        <v>19000205200</v>
      </c>
      <c r="B5721" s="1" t="str">
        <f>"HIGGINBOTHAM MARK A."</f>
        <v>HIGGINBOTHAM MARK A.</v>
      </c>
      <c r="C5721" s="1" t="str">
        <f>"2664 DRAKE RD R17 T1 1-4 T3 ACRES 1. "</f>
        <v xml:space="preserve">2664 DRAKE RD R17 T1 1-4 T3 ACRES 1. </v>
      </c>
      <c r="D5721" s="1">
        <v>1611.41</v>
      </c>
    </row>
    <row r="5722" spans="1:4" x14ac:dyDescent="0.3">
      <c r="A5722" s="1" t="str">
        <f>"01005744200"</f>
        <v>01005744200</v>
      </c>
      <c r="B5722" s="1" t="str">
        <f>"HIGGINS AMY E"</f>
        <v>HIGGINS AMY E</v>
      </c>
      <c r="C5722" s="1" t="str">
        <f>"502 CHILCOTE AVE INDIANOLA TERRACE LOT 71-2"</f>
        <v>502 CHILCOTE AVE INDIANOLA TERRACE LOT 71-2</v>
      </c>
      <c r="D5722" s="1">
        <v>2565.16</v>
      </c>
    </row>
    <row r="5723" spans="1:4" x14ac:dyDescent="0.3">
      <c r="A5723" s="1" t="str">
        <f>"01008214500"</f>
        <v>01008214500</v>
      </c>
      <c r="B5723" s="1" t="str">
        <f>"HIGGINS ARTHUR S"</f>
        <v>HIGGINS ARTHUR S</v>
      </c>
      <c r="C5723" s="1" t="str">
        <f>"OAKLAND PARK AVE LINDEN GARDENS ANNEX LOT 79"</f>
        <v>OAKLAND PARK AVE LINDEN GARDENS ANNEX LOT 79</v>
      </c>
      <c r="D5723" s="1">
        <v>715.34</v>
      </c>
    </row>
    <row r="5724" spans="1:4" x14ac:dyDescent="0.3">
      <c r="A5724" s="1" t="str">
        <f>"01008214600"</f>
        <v>01008214600</v>
      </c>
      <c r="B5724" s="1" t="str">
        <f>"HIGGINS ARTHUR S"</f>
        <v>HIGGINS ARTHUR S</v>
      </c>
      <c r="C5724" s="1" t="str">
        <f>"OAKLAND PARK AVE LINDEN GARDENS ANNEX LOT 80"</f>
        <v>OAKLAND PARK AVE LINDEN GARDENS ANNEX LOT 80</v>
      </c>
      <c r="D5724" s="1">
        <v>2958.23</v>
      </c>
    </row>
    <row r="5725" spans="1:4" x14ac:dyDescent="0.3">
      <c r="A5725" s="1" t="str">
        <f>"01008214700"</f>
        <v>01008214700</v>
      </c>
      <c r="B5725" s="1" t="str">
        <f>"HIGGINS CATHERINE MAE TTEE"</f>
        <v>HIGGINS CATHERINE MAE TTEE</v>
      </c>
      <c r="C5725" s="1" t="str">
        <f>"OAKLAND PARK AVE LINDEN GARDENS ANNEX LOT 81"</f>
        <v>OAKLAND PARK AVE LINDEN GARDENS ANNEX LOT 81</v>
      </c>
      <c r="D5725" s="1">
        <v>703.21</v>
      </c>
    </row>
    <row r="5726" spans="1:4" x14ac:dyDescent="0.3">
      <c r="A5726" s="1" t="str">
        <f>"02500236500"</f>
        <v>02500236500</v>
      </c>
      <c r="B5726" s="1" t="str">
        <f>"HIGGINS DARREN M, HIGGINS MARTHA"</f>
        <v>HIGGINS DARREN M, HIGGINS MARTHA</v>
      </c>
      <c r="C5726" s="1" t="str">
        <f>"336 AMESBURY DR ROYAL MANOR 2 536"</f>
        <v>336 AMESBURY DR ROYAL MANOR 2 536</v>
      </c>
      <c r="D5726" s="1">
        <v>574.30999999999995</v>
      </c>
    </row>
    <row r="5727" spans="1:4" x14ac:dyDescent="0.3">
      <c r="A5727" s="1" t="str">
        <f>"24000172200"</f>
        <v>24000172200</v>
      </c>
      <c r="B5727" s="1" t="str">
        <f>"HIGGINS ETHAN"</f>
        <v>HIGGINS ETHAN</v>
      </c>
      <c r="C5727" s="1" t="str">
        <f>"MILLER ST GALLOWAY &amp; SMITH LOT 17"</f>
        <v>MILLER ST GALLOWAY &amp; SMITH LOT 17</v>
      </c>
      <c r="D5727" s="1">
        <v>4081.29</v>
      </c>
    </row>
    <row r="5728" spans="1:4" x14ac:dyDescent="0.3">
      <c r="A5728" s="1" t="str">
        <f>"01003816300"</f>
        <v>01003816300</v>
      </c>
      <c r="B5728" s="1" t="str">
        <f>"HIGGINS JOSEPH A"</f>
        <v>HIGGINS JOSEPH A</v>
      </c>
      <c r="C5728" s="1" t="str">
        <f>"525 CATHERINE ST FOREST HILL LOT 114"</f>
        <v>525 CATHERINE ST FOREST HILL LOT 114</v>
      </c>
      <c r="D5728" s="1">
        <v>11.78</v>
      </c>
    </row>
    <row r="5729" spans="1:4" x14ac:dyDescent="0.3">
      <c r="A5729" s="1" t="str">
        <f>"01006750300"</f>
        <v>01006750300</v>
      </c>
      <c r="B5729" s="1" t="str">
        <f>"HIGGINS JOSEPH A"</f>
        <v>HIGGINS JOSEPH A</v>
      </c>
      <c r="C5729" s="1" t="str">
        <f>"531 CATHERINE ST FOREST HILL LOT 115"</f>
        <v>531 CATHERINE ST FOREST HILL LOT 115</v>
      </c>
      <c r="D5729" s="1">
        <v>77.569999999999993</v>
      </c>
    </row>
    <row r="5730" spans="1:4" x14ac:dyDescent="0.3">
      <c r="A5730" s="1" t="str">
        <f>"01000635300"</f>
        <v>01000635300</v>
      </c>
      <c r="B5730" s="1" t="str">
        <f>"HIGH STREET 2008 LLC (99 YEAR LEASE)"</f>
        <v>HIGH STREET 2008 LLC (99 YEAR LEASE)</v>
      </c>
      <c r="C5730" s="1" t="str">
        <f>"43 N HIGH ST N 1/2 IN LOT 278 "</f>
        <v xml:space="preserve">43 N HIGH ST N 1/2 IN LOT 278 </v>
      </c>
      <c r="D5730" s="1">
        <v>33499.94</v>
      </c>
    </row>
    <row r="5731" spans="1:4" x14ac:dyDescent="0.3">
      <c r="A5731" s="1" t="str">
        <f>"18000077200"</f>
        <v>18000077200</v>
      </c>
      <c r="B5731" s="1" t="str">
        <f>"HIGHER STANDARD RETIREMENT LLC"</f>
        <v>HIGHER STANDARD RETIREMENT LLC</v>
      </c>
      <c r="C5731" s="1" t="str">
        <f>"KATHERINE RD 20FT WS EDGEWATER PARK PARCELS SOUTH 180"</f>
        <v>KATHERINE RD 20FT WS EDGEWATER PARK PARCELS SOUTH 180</v>
      </c>
      <c r="D5731" s="1">
        <v>183.21</v>
      </c>
    </row>
    <row r="5732" spans="1:4" x14ac:dyDescent="0.3">
      <c r="A5732" s="1" t="str">
        <f>"01023079900"</f>
        <v>01023079900</v>
      </c>
      <c r="B5732" s="1" t="str">
        <f>"HIGHTOWER FRED D TR"</f>
        <v>HIGHTOWER FRED D TR</v>
      </c>
      <c r="C5732" s="1" t="str">
        <f>"MCNEILL FARMS EAST CONDOMINIUM 6TH AMD UNIT 55F"</f>
        <v>MCNEILL FARMS EAST CONDOMINIUM 6TH AMD UNIT 55F</v>
      </c>
      <c r="D5732" s="1">
        <v>3103.14</v>
      </c>
    </row>
    <row r="5733" spans="1:4" x14ac:dyDescent="0.3">
      <c r="A5733" s="1" t="str">
        <f>"01013442300"</f>
        <v>01013442300</v>
      </c>
      <c r="B5733" s="1" t="str">
        <f>"HIGHTOWER GLORIA D AFDT"</f>
        <v>HIGHTOWER GLORIA D AFDT</v>
      </c>
      <c r="C5733" s="1" t="str">
        <f>"KOEBEL RD RADCLIFF 2 LOT 280"</f>
        <v>KOEBEL RD RADCLIFF 2 LOT 280</v>
      </c>
      <c r="D5733" s="1">
        <v>2129.7800000000002</v>
      </c>
    </row>
    <row r="5734" spans="1:4" x14ac:dyDescent="0.3">
      <c r="A5734" s="1" t="str">
        <f>"01006971200"</f>
        <v>01006971200</v>
      </c>
      <c r="B5734" s="1" t="str">
        <f>"HIGHTOWER LESLEY M"</f>
        <v>HIGHTOWER LESLEY M</v>
      </c>
      <c r="C5734" s="1" t="str">
        <f>"2699 FERN AVE S 1/2 OF N 1/2 E LINDEN LOT 16"</f>
        <v>2699 FERN AVE S 1/2 OF N 1/2 E LINDEN LOT 16</v>
      </c>
      <c r="D5734" s="1">
        <v>3300.71</v>
      </c>
    </row>
    <row r="5735" spans="1:4" x14ac:dyDescent="0.3">
      <c r="A5735" s="1" t="str">
        <f>"01007251100"</f>
        <v>01007251100</v>
      </c>
      <c r="B5735" s="1" t="str">
        <f>"HILDEBRAND MATTHEW T"</f>
        <v>HILDEBRAND MATTHEW T</v>
      </c>
      <c r="C5735" s="1" t="str">
        <f>"E HUDSON ST HIGHWAY PARK LOT 3"</f>
        <v>E HUDSON ST HIGHWAY PARK LOT 3</v>
      </c>
      <c r="D5735" s="1">
        <v>102.23</v>
      </c>
    </row>
    <row r="5736" spans="1:4" x14ac:dyDescent="0.3">
      <c r="A5736" s="1" t="str">
        <f>"07000952000"</f>
        <v>07000952000</v>
      </c>
      <c r="B5736" s="1" t="str">
        <f>"HILDEBRANDT HORST M TR, HILDEBRANDT MARY A TR"</f>
        <v>HILDEBRANDT HORST M TR, HILDEBRANDT MARY A TR</v>
      </c>
      <c r="C5736" s="1" t="str">
        <f>"2800 NORTH STAR RD SHIELDS PLACE 4"</f>
        <v>2800 NORTH STAR RD SHIELDS PLACE 4</v>
      </c>
      <c r="D5736" s="1">
        <v>4763.79</v>
      </c>
    </row>
    <row r="5737" spans="1:4" x14ac:dyDescent="0.3">
      <c r="A5737" s="1" t="str">
        <f>"04000611800"</f>
        <v>04000611800</v>
      </c>
      <c r="B5737" s="1" t="str">
        <f>"HILL ANTHONY J, HILL KELLY A"</f>
        <v>HILL ANTHONY J, HILL KELLY A</v>
      </c>
      <c r="C5737" s="1" t="str">
        <f>"LONDON GROVEPORT RD       ENTRY 1108                     5.442 ACRES          "</f>
        <v xml:space="preserve">LONDON GROVEPORT RD       ENTRY 1108                     5.442 ACRES          </v>
      </c>
      <c r="D5737" s="1">
        <v>208.43</v>
      </c>
    </row>
    <row r="5738" spans="1:4" x14ac:dyDescent="0.3">
      <c r="A5738" s="1" t="str">
        <f>"04000611900"</f>
        <v>04000611900</v>
      </c>
      <c r="B5738" s="1" t="str">
        <f>"HILL ANTHONY J, HILL KELLY A"</f>
        <v>HILL ANTHONY J, HILL KELLY A</v>
      </c>
      <c r="C5738" s="1" t="str">
        <f>"1443 LONDON-GROVEPORT RD       ENTRY 1108          5.473 ACRES        "</f>
        <v xml:space="preserve">1443 LONDON-GROVEPORT RD       ENTRY 1108          5.473 ACRES        </v>
      </c>
      <c r="D5738" s="1">
        <v>2782.62</v>
      </c>
    </row>
    <row r="5739" spans="1:4" x14ac:dyDescent="0.3">
      <c r="A5739" s="1" t="str">
        <f>"22200181700"</f>
        <v>22200181700</v>
      </c>
      <c r="B5739" s="1" t="str">
        <f>"HILL CHAD, WON HANNAH"</f>
        <v>HILL CHAD, WON HANNAH</v>
      </c>
      <c r="C5739" s="1" t="str">
        <f>"CALVERTON SQUARE THE RESERVE AT NEW ALBANY LOT 22"</f>
        <v>CALVERTON SQUARE THE RESERVE AT NEW ALBANY LOT 22</v>
      </c>
      <c r="D5739" s="1">
        <v>1035.98</v>
      </c>
    </row>
    <row r="5740" spans="1:4" x14ac:dyDescent="0.3">
      <c r="A5740" s="1" t="str">
        <f>"01009828000"</f>
        <v>01009828000</v>
      </c>
      <c r="B5740" s="1" t="str">
        <f>"HILL CHARLES R III"</f>
        <v>HILL CHARLES R III</v>
      </c>
      <c r="C5740" s="1" t="str">
        <f>"NORWOOD ST OAK PK 10 LOT 22"</f>
        <v>NORWOOD ST OAK PK 10 LOT 22</v>
      </c>
      <c r="D5740" s="1">
        <v>462.17</v>
      </c>
    </row>
    <row r="5741" spans="1:4" x14ac:dyDescent="0.3">
      <c r="A5741" s="1" t="str">
        <f>"60016580800"</f>
        <v>60016580800</v>
      </c>
      <c r="B5741" s="1" t="str">
        <f>"HILL CHERYL L"</f>
        <v>HILL CHERYL L</v>
      </c>
      <c r="C5741" s="1" t="str">
        <f>"PICKAWILLANY CONDOMINIUM STAGE 3 BLDG 12 UNIT 2"</f>
        <v>PICKAWILLANY CONDOMINIUM STAGE 3 BLDG 12 UNIT 2</v>
      </c>
      <c r="D5741" s="1">
        <v>201.44</v>
      </c>
    </row>
    <row r="5742" spans="1:4" x14ac:dyDescent="0.3">
      <c r="A5742" s="1" t="str">
        <f>"01023877300"</f>
        <v>01023877300</v>
      </c>
      <c r="B5742" s="1" t="str">
        <f>"HILL DARRYL, HILL VENISA R"</f>
        <v>HILL DARRYL, HILL VENISA R</v>
      </c>
      <c r="C5742" s="1" t="str">
        <f>"WALLCREST BOULEVARD WALTHAM PLACE SECTION 1 LOT 28"</f>
        <v>WALLCREST BOULEVARD WALTHAM PLACE SECTION 1 LOT 28</v>
      </c>
      <c r="D5742" s="1">
        <v>278.45</v>
      </c>
    </row>
    <row r="5743" spans="1:4" x14ac:dyDescent="0.3">
      <c r="A5743" s="1" t="str">
        <f>"60018865400"</f>
        <v>60018865400</v>
      </c>
      <c r="B5743" s="1" t="str">
        <f>"HILL DONNA, HILL CARL E"</f>
        <v>HILL DONNA, HILL CARL E</v>
      </c>
      <c r="C5743" s="1" t="str">
        <f>"PENDLESTONE DR CANONGATE SECTION 2 LOT 129"</f>
        <v>PENDLESTONE DR CANONGATE SECTION 2 LOT 129</v>
      </c>
      <c r="D5743" s="1">
        <v>1546.82</v>
      </c>
    </row>
    <row r="5744" spans="1:4" x14ac:dyDescent="0.3">
      <c r="A5744" s="1" t="str">
        <f>"01004716000"</f>
        <v>01004716000</v>
      </c>
      <c r="B5744" s="1" t="str">
        <f>"HILL DOROTHY B TR"</f>
        <v>HILL DOROTHY B TR</v>
      </c>
      <c r="C5744" s="1" t="str">
        <f>"479 TULANE RD INDIANOLA HIGHLANDS LOT 243"</f>
        <v>479 TULANE RD INDIANOLA HIGHLANDS LOT 243</v>
      </c>
      <c r="D5744" s="1">
        <v>5415.96</v>
      </c>
    </row>
    <row r="5745" spans="1:4" x14ac:dyDescent="0.3">
      <c r="A5745" s="1" t="str">
        <f>"09000137500"</f>
        <v>09000137500</v>
      </c>
      <c r="B5745" s="1" t="str">
        <f>"HILL JAMES JR"</f>
        <v>HILL JAMES JR</v>
      </c>
      <c r="C5745" s="1" t="str">
        <f>"4561 SAN JOSE LN NORTON FIELD PLAT 2 LOT 483"</f>
        <v>4561 SAN JOSE LN NORTON FIELD PLAT 2 LOT 483</v>
      </c>
      <c r="D5745" s="1">
        <v>1045.7</v>
      </c>
    </row>
    <row r="5746" spans="1:4" x14ac:dyDescent="0.3">
      <c r="A5746" s="1" t="str">
        <f>"51016036700"</f>
        <v>51016036700</v>
      </c>
      <c r="B5746" s="1" t="str">
        <f>"HILL MAGGIE O"</f>
        <v>HILL MAGGIE O</v>
      </c>
      <c r="C5746" s="1" t="str">
        <f>"744 BREATHITT AVE SOUTHERN PINES SEC 9 LOT 1044"</f>
        <v>744 BREATHITT AVE SOUTHERN PINES SEC 9 LOT 1044</v>
      </c>
      <c r="D5746" s="1">
        <v>1265.01</v>
      </c>
    </row>
    <row r="5747" spans="1:4" x14ac:dyDescent="0.3">
      <c r="A5747" s="1" t="str">
        <f>"01013866300"</f>
        <v>01013866300</v>
      </c>
      <c r="B5747" s="1" t="str">
        <f>"HILL MANOR ENTERPRISES"</f>
        <v>HILL MANOR ENTERPRISES</v>
      </c>
      <c r="C5747" s="1" t="str">
        <f>"FABER AVE CORAL LOT 6"</f>
        <v>FABER AVE CORAL LOT 6</v>
      </c>
      <c r="D5747" s="1">
        <v>1702.58</v>
      </c>
    </row>
    <row r="5748" spans="1:4" x14ac:dyDescent="0.3">
      <c r="A5748" s="1" t="str">
        <f>"55019683700"</f>
        <v>55019683700</v>
      </c>
      <c r="B5748" s="1" t="str">
        <f>"HILL NAKIA J, HILL KURT"</f>
        <v>HILL NAKIA J, HILL KURT</v>
      </c>
      <c r="C5748" s="1" t="str">
        <f>"MISTY WAY MCNAUGHTEN VIL CONDO PH IV UNIT 1854"</f>
        <v>MISTY WAY MCNAUGHTEN VIL CONDO PH IV UNIT 1854</v>
      </c>
      <c r="D5748" s="1">
        <v>231.96</v>
      </c>
    </row>
    <row r="5749" spans="1:4" x14ac:dyDescent="0.3">
      <c r="A5749" s="1" t="str">
        <f>"01012614100"</f>
        <v>01012614100</v>
      </c>
      <c r="B5749" s="1" t="str">
        <f>"HILL NATHANIEL"</f>
        <v>HILL NATHANIEL</v>
      </c>
      <c r="C5749" s="1" t="str">
        <f>"WOODNELL AVE BRENTWOOD LOT 43"</f>
        <v>WOODNELL AVE BRENTWOOD LOT 43</v>
      </c>
      <c r="D5749" s="1">
        <v>810.39</v>
      </c>
    </row>
    <row r="5750" spans="1:4" x14ac:dyDescent="0.3">
      <c r="A5750" s="1" t="str">
        <f>"59023337100"</f>
        <v>59023337100</v>
      </c>
      <c r="B5750" s="1" t="str">
        <f>"HILL RYAN"</f>
        <v>HILL RYAN</v>
      </c>
      <c r="C5750" s="1" t="str">
        <f>"DUBLIN GREEN CONDOMINIUM 4TH AMD UNIT 6767-208"</f>
        <v>DUBLIN GREEN CONDOMINIUM 4TH AMD UNIT 6767-208</v>
      </c>
      <c r="D5750" s="1">
        <v>260.39999999999998</v>
      </c>
    </row>
    <row r="5751" spans="1:4" x14ac:dyDescent="0.3">
      <c r="A5751" s="1" t="str">
        <f>"01003725200"</f>
        <v>01003725200</v>
      </c>
      <c r="B5751" s="1" t="str">
        <f>"HILL SHARON A"</f>
        <v>HILL SHARON A</v>
      </c>
      <c r="C5751" s="1" t="str">
        <f>"805 S OHIO AVE OLD ORCHARD LOT117"</f>
        <v>805 S OHIO AVE OLD ORCHARD LOT117</v>
      </c>
      <c r="D5751" s="1">
        <v>191.72</v>
      </c>
    </row>
    <row r="5752" spans="1:4" x14ac:dyDescent="0.3">
      <c r="A5752" s="1" t="str">
        <f>"01003176900"</f>
        <v>01003176900</v>
      </c>
      <c r="B5752" s="1" t="str">
        <f>"HILL SHARON A, HILL KEITH S, HILL DONNIE A"</f>
        <v>HILL SHARON A, HILL KEITH S, HILL DONNIE A</v>
      </c>
      <c r="C5752" s="1" t="str">
        <f>"360-362 WILBER AVE NEIL PL LOT 238"</f>
        <v>360-362 WILBER AVE NEIL PL LOT 238</v>
      </c>
      <c r="D5752" s="1">
        <v>437.65</v>
      </c>
    </row>
    <row r="5753" spans="1:4" x14ac:dyDescent="0.3">
      <c r="A5753" s="1" t="str">
        <f>"01010647500"</f>
        <v>01010647500</v>
      </c>
      <c r="B5753" s="1" t="str">
        <f>"HILL TIMOTHY W, GRILES SHERRIL D"</f>
        <v>HILL TIMOTHY W, GRILES SHERRIL D</v>
      </c>
      <c r="C5753" s="1" t="str">
        <f>"TALISMAN CT SOUTH BERWICK LOT 14"</f>
        <v>TALISMAN CT SOUTH BERWICK LOT 14</v>
      </c>
      <c r="D5753" s="1">
        <v>2444.09</v>
      </c>
    </row>
    <row r="5754" spans="1:4" x14ac:dyDescent="0.3">
      <c r="A5754" s="1" t="str">
        <f>"01011399100"</f>
        <v>01011399100</v>
      </c>
      <c r="B5754" s="1" t="str">
        <f>"HILLEARY DESIREE"</f>
        <v>HILLEARY DESIREE</v>
      </c>
      <c r="C5754" s="1" t="str">
        <f>"277 SCOTTWOOD RD HOME ACRES LOT 155"</f>
        <v>277 SCOTTWOOD RD HOME ACRES LOT 155</v>
      </c>
      <c r="D5754" s="1">
        <v>1074.5899999999999</v>
      </c>
    </row>
    <row r="5755" spans="1:4" x14ac:dyDescent="0.3">
      <c r="A5755" s="1" t="str">
        <f>"05000009100"</f>
        <v>05000009100</v>
      </c>
      <c r="B5755" s="1" t="str">
        <f>"HILLIARD AREA CHAMBER OF COMMERCE"</f>
        <v>HILLIARD AREA CHAMBER OF COMMERCE</v>
      </c>
      <c r="C5755" s="1" t="str">
        <f>"4081-085 MAIN STREET CITY OF HILLIARD LOT 140"</f>
        <v>4081-085 MAIN STREET CITY OF HILLIARD LOT 140</v>
      </c>
      <c r="D5755" s="1">
        <v>5438.79</v>
      </c>
    </row>
    <row r="5756" spans="1:4" x14ac:dyDescent="0.3">
      <c r="A5756" s="1" t="str">
        <f>"05001059700"</f>
        <v>05001059700</v>
      </c>
      <c r="B5756" s="1" t="str">
        <f>"HILLIARD HEALTH REALTY INC"</f>
        <v>HILLIARD HEALTH REALTY INC</v>
      </c>
      <c r="C5756" s="1" t="str">
        <f>"TRUEMAN BLVD              ENTRY 4854                6.157 ACRES              "</f>
        <v xml:space="preserve">TRUEMAN BLVD              ENTRY 4854                6.157 ACRES              </v>
      </c>
      <c r="D5756" s="1">
        <v>11276.99</v>
      </c>
    </row>
    <row r="5757" spans="1:4" x14ac:dyDescent="0.3">
      <c r="A5757" s="1" t="str">
        <f>"05000280500"</f>
        <v>05000280500</v>
      </c>
      <c r="B5757" s="1" t="str">
        <f>"HILLIARD MLXH LLC"</f>
        <v>HILLIARD MLXH LLC</v>
      </c>
      <c r="C5757" s="1" t="str">
        <f>"4964 SCIOTO DARBY CRK RD  1.983 ACRES ENTRY 3001-1335"</f>
        <v>4964 SCIOTO DARBY CRK RD  1.983 ACRES ENTRY 3001-1335</v>
      </c>
      <c r="D5757" s="1">
        <v>9767.1200000000008</v>
      </c>
    </row>
    <row r="5758" spans="1:4" x14ac:dyDescent="0.3">
      <c r="A5758" s="1" t="str">
        <f>"01013175800"</f>
        <v>01013175800</v>
      </c>
      <c r="B5758" s="1" t="str">
        <f>"HILLMAN GLENDA M"</f>
        <v>HILLMAN GLENDA M</v>
      </c>
      <c r="C5758" s="1" t="str">
        <f>"JONATHAN DR RADCLIFF LOT 202"</f>
        <v>JONATHAN DR RADCLIFF LOT 202</v>
      </c>
      <c r="D5758" s="1">
        <v>3095.86</v>
      </c>
    </row>
    <row r="5759" spans="1:4" x14ac:dyDescent="0.3">
      <c r="A5759" s="1" t="str">
        <f>"01013952800"</f>
        <v>01013952800</v>
      </c>
      <c r="B5759" s="1" t="str">
        <f>"HILLMON JOHN O, HILLMON BARBARA J"</f>
        <v>HILLMON JOHN O, HILLMON BARBARA J</v>
      </c>
      <c r="C5759" s="1" t="str">
        <f>"BENVUE DR FLORAVIEW HEIGHTS LOT 6"</f>
        <v>BENVUE DR FLORAVIEW HEIGHTS LOT 6</v>
      </c>
      <c r="D5759" s="1">
        <v>1642</v>
      </c>
    </row>
    <row r="5760" spans="1:4" x14ac:dyDescent="0.3">
      <c r="A5760" s="1" t="str">
        <f>"03000205000"</f>
        <v>03000205000</v>
      </c>
      <c r="B5760" s="1" t="str">
        <f>"HILO FLATS LLC"</f>
        <v>HILO FLATS LLC</v>
      </c>
      <c r="C5760" s="1" t="str">
        <f>"1116 HILO LN 99.93FT WS SE LT 1 &amp; 94.2ES SEL 2 NW BLV5"</f>
        <v>1116 HILO LN 99.93FT WS SE LT 1 &amp; 94.2ES SEL 2 NW BLV5</v>
      </c>
      <c r="D5760" s="1">
        <v>6633.31</v>
      </c>
    </row>
    <row r="5761" spans="1:4" x14ac:dyDescent="0.3">
      <c r="A5761" s="1" t="str">
        <f>"04001303100"</f>
        <v>04001303100</v>
      </c>
      <c r="B5761" s="1" t="str">
        <f>"HIMES KASEY, WARD KAYLA"</f>
        <v>HIMES KASEY, WARD KAYLA</v>
      </c>
      <c r="C5761" s="1" t="str">
        <f>"4696 TRUMHALL DR PINNACLE CLUB SECTION 2 PHASE 1 LOT 237"</f>
        <v>4696 TRUMHALL DR PINNACLE CLUB SECTION 2 PHASE 1 LOT 237</v>
      </c>
      <c r="D5761" s="1">
        <v>1389.76</v>
      </c>
    </row>
    <row r="5762" spans="1:4" x14ac:dyDescent="0.3">
      <c r="A5762" s="1" t="str">
        <f>"24000225200"</f>
        <v>24000225200</v>
      </c>
      <c r="B5762" s="1" t="str">
        <f>"HIMES KEITH A"</f>
        <v>HIMES KEITH A</v>
      </c>
      <c r="C5762" s="1" t="str">
        <f>"EVERGREEN TERRACE ROME MANOR LOT 459"</f>
        <v>EVERGREEN TERRACE ROME MANOR LOT 459</v>
      </c>
      <c r="D5762" s="1">
        <v>217.8</v>
      </c>
    </row>
    <row r="5763" spans="1:4" x14ac:dyDescent="0.3">
      <c r="A5763" s="1" t="str">
        <f>"01001557100"</f>
        <v>01001557100</v>
      </c>
      <c r="B5763" s="1" t="str">
        <f>"HIMSWORTH JAMES W, HIMSWORTH ELIZABETH A"</f>
        <v>HIMSWORTH JAMES W, HIMSWORTH ELIZABETH A</v>
      </c>
      <c r="C5763" s="1" t="str">
        <f>"ISWALD RD WALLHALLA PK PL LOT 83"</f>
        <v>ISWALD RD WALLHALLA PK PL LOT 83</v>
      </c>
      <c r="D5763" s="1">
        <v>3145.78</v>
      </c>
    </row>
    <row r="5764" spans="1:4" x14ac:dyDescent="0.3">
      <c r="A5764" s="1" t="str">
        <f>"16000151500"</f>
        <v>16000151500</v>
      </c>
      <c r="B5764" s="1" t="str">
        <f>"HINCH EARL S"</f>
        <v>HINCH EARL S</v>
      </c>
      <c r="C5764" s="1" t="str">
        <f>"4138 ALKIRE RD .827 ACRES OQ1000 ENTRY 1389"</f>
        <v>4138 ALKIRE RD .827 ACRES OQ1000 ENTRY 1389</v>
      </c>
      <c r="D5764" s="1">
        <v>3164.72</v>
      </c>
    </row>
    <row r="5765" spans="1:4" x14ac:dyDescent="0.3">
      <c r="A5765" s="1" t="str">
        <f>"16000047000"</f>
        <v>16000047000</v>
      </c>
      <c r="B5765" s="1" t="str">
        <f>"HINCH EARL S"</f>
        <v>HINCH EARL S</v>
      </c>
      <c r="C5765" s="1" t="str">
        <f>"4138 ALKIRE RD .873 ACRE ENTRY 1389"</f>
        <v>4138 ALKIRE RD .873 ACRE ENTRY 1389</v>
      </c>
      <c r="D5765" s="1">
        <v>832.65</v>
      </c>
    </row>
    <row r="5766" spans="1:4" x14ac:dyDescent="0.3">
      <c r="A5766" s="1" t="str">
        <f>"01013445900"</f>
        <v>01013445900</v>
      </c>
      <c r="B5766" s="1" t="str">
        <f>"HINDMAN NANCY L"</f>
        <v>HINDMAN NANCY L</v>
      </c>
      <c r="C5766" s="1" t="str">
        <f>"KENRIDGE DR KENDALE SEC 3 LOT 215"</f>
        <v>KENRIDGE DR KENDALE SEC 3 LOT 215</v>
      </c>
      <c r="D5766" s="1">
        <v>611.17999999999995</v>
      </c>
    </row>
    <row r="5767" spans="1:4" x14ac:dyDescent="0.3">
      <c r="A5767" s="1" t="str">
        <f>"07000953000"</f>
        <v>07000953000</v>
      </c>
      <c r="B5767" s="1" t="str">
        <f>"HINE VICENTA"</f>
        <v>HINE VICENTA</v>
      </c>
      <c r="C5767" s="1" t="str">
        <f>"2930 NORTH STAR RD SHIELDS PLACE 14"</f>
        <v>2930 NORTH STAR RD SHIELDS PLACE 14</v>
      </c>
      <c r="D5767" s="1">
        <v>569.54999999999995</v>
      </c>
    </row>
    <row r="5768" spans="1:4" x14ac:dyDescent="0.3">
      <c r="A5768" s="1" t="str">
        <f>"12000051800"</f>
        <v>12000051800</v>
      </c>
      <c r="B5768" s="1" t="str">
        <f>"HINELY AUBREY L, HINELY PATRICIA D"</f>
        <v>HINELY AUBREY L, HINELY PATRICIA D</v>
      </c>
      <c r="C5768" s="1" t="str">
        <f>"1111 COLE ROAD GOLFVIEW SUBDIVISION LOT 1"</f>
        <v>1111 COLE ROAD GOLFVIEW SUBDIVISION LOT 1</v>
      </c>
      <c r="D5768" s="1">
        <v>369.33</v>
      </c>
    </row>
    <row r="5769" spans="1:4" x14ac:dyDescent="0.3">
      <c r="A5769" s="1" t="str">
        <f>"23000049100"</f>
        <v>23000049100</v>
      </c>
      <c r="B5769" s="1" t="str">
        <f>"HINES DAVID L"</f>
        <v>HINES DAVID L</v>
      </c>
      <c r="C5769" s="1" t="str">
        <f>"8.632 ACRES OQ 889-666 2-3 ENTRY 1466-2595"</f>
        <v>8.632 ACRES OQ 889-666 2-3 ENTRY 1466-2595</v>
      </c>
      <c r="D5769" s="1">
        <v>489.89</v>
      </c>
    </row>
    <row r="5770" spans="1:4" x14ac:dyDescent="0.3">
      <c r="A5770" s="1" t="str">
        <f>"15200055800"</f>
        <v>15200055800</v>
      </c>
      <c r="B5770" s="1" t="str">
        <f>"HINES JANET L"</f>
        <v>HINES JANET L</v>
      </c>
      <c r="C5770" s="1" t="str">
        <f>"OBETZ AVE COLUMBUS TERRACE 71 "</f>
        <v xml:space="preserve">OBETZ AVE COLUMBUS TERRACE 71 </v>
      </c>
      <c r="D5770" s="1">
        <v>340.03</v>
      </c>
    </row>
    <row r="5771" spans="1:4" x14ac:dyDescent="0.3">
      <c r="A5771" s="1" t="str">
        <f>"15200056000"</f>
        <v>15200056000</v>
      </c>
      <c r="B5771" s="1" t="str">
        <f>"HINES JANET L"</f>
        <v>HINES JANET L</v>
      </c>
      <c r="C5771" s="1" t="str">
        <f>"OBETZ AVE COLUMBUS TERRACE 73"</f>
        <v>OBETZ AVE COLUMBUS TERRACE 73</v>
      </c>
      <c r="D5771" s="1">
        <v>358.28</v>
      </c>
    </row>
    <row r="5772" spans="1:4" x14ac:dyDescent="0.3">
      <c r="A5772" s="1" t="str">
        <f>"01011666000"</f>
        <v>01011666000</v>
      </c>
      <c r="B5772" s="1" t="str">
        <f>"HINES ROGER W"</f>
        <v>HINES ROGER W</v>
      </c>
      <c r="C5772" s="1" t="str">
        <f>"MEADOWVIEW DR MOORES &amp; DALES 3 LOT 78"</f>
        <v>MEADOWVIEW DR MOORES &amp; DALES 3 LOT 78</v>
      </c>
      <c r="D5772" s="1">
        <v>1843.62</v>
      </c>
    </row>
    <row r="5773" spans="1:4" x14ac:dyDescent="0.3">
      <c r="A5773" s="1" t="str">
        <f>"01005269100"</f>
        <v>01005269100</v>
      </c>
      <c r="B5773" s="1" t="str">
        <f>"HINKLE NOVELLA"</f>
        <v>HINKLE NOVELLA</v>
      </c>
      <c r="C5773" s="1" t="str">
        <f>"16TH AVE LOUIS HTS LOT 194"</f>
        <v>16TH AVE LOUIS HTS LOT 194</v>
      </c>
      <c r="D5773" s="1">
        <v>729.69</v>
      </c>
    </row>
    <row r="5774" spans="1:4" x14ac:dyDescent="0.3">
      <c r="A5774" s="1" t="str">
        <f>"01009581200"</f>
        <v>01009581200</v>
      </c>
      <c r="B5774" s="1" t="str">
        <f>"HINKLE ROBERT S"</f>
        <v>HINKLE ROBERT S</v>
      </c>
      <c r="C5774" s="1" t="str">
        <f>"W TULANE RD MANHATTAN PK LOT 32"</f>
        <v>W TULANE RD MANHATTAN PK LOT 32</v>
      </c>
      <c r="D5774" s="1">
        <v>2391.1</v>
      </c>
    </row>
    <row r="5775" spans="1:4" x14ac:dyDescent="0.3">
      <c r="A5775" s="1" t="str">
        <f>"01029527800"</f>
        <v>01029527800</v>
      </c>
      <c r="B5775" s="1" t="str">
        <f>"HINKLEY FREDERICK L, HINKLEY DIANA G"</f>
        <v>HINKLEY FREDERICK L, HINKLEY DIANA G</v>
      </c>
      <c r="C5775" s="1" t="str">
        <f>"HAYDENS CROSSING SECTION 13 LOT 639"</f>
        <v>HAYDENS CROSSING SECTION 13 LOT 639</v>
      </c>
      <c r="D5775" s="1">
        <v>770</v>
      </c>
    </row>
    <row r="5776" spans="1:4" x14ac:dyDescent="0.3">
      <c r="A5776" s="1" t="str">
        <f>"04000157100"</f>
        <v>04000157100</v>
      </c>
      <c r="B5776" s="1" t="str">
        <f>"HINTON JOSEPHINE A"</f>
        <v>HINTON JOSEPHINE A</v>
      </c>
      <c r="C5776" s="1" t="str">
        <f>"4191 ASHGROVE DR BROOKGROVE LOT 51"</f>
        <v>4191 ASHGROVE DR BROOKGROVE LOT 51</v>
      </c>
      <c r="D5776" s="1">
        <v>162.26</v>
      </c>
    </row>
    <row r="5777" spans="1:4" x14ac:dyDescent="0.3">
      <c r="A5777" s="1" t="str">
        <f>"01004091000"</f>
        <v>01004091000</v>
      </c>
      <c r="B5777" s="1" t="str">
        <f>"HINTZ ADAM"</f>
        <v>HINTZ ADAM</v>
      </c>
      <c r="C5777" s="1" t="str">
        <f>"839 W RICH ST MARTINS WESTERN LOT 121"</f>
        <v>839 W RICH ST MARTINS WESTERN LOT 121</v>
      </c>
      <c r="D5777" s="1">
        <v>1267.33</v>
      </c>
    </row>
    <row r="5778" spans="1:4" x14ac:dyDescent="0.3">
      <c r="A5778" s="1" t="str">
        <f>"21300180900"</f>
        <v>21300180900</v>
      </c>
      <c r="B5778" s="1" t="str">
        <f>"HIPSLEY VICTOR F, HIPSLEY MICHELLE A"</f>
        <v>HIPSLEY VICTOR F, HIPSLEY MICHELLE A</v>
      </c>
      <c r="C5778" s="1" t="str">
        <f>"CLUBVIEW BLVD S WORTHINGTON HILLS 2 LOT 213"</f>
        <v>CLUBVIEW BLVD S WORTHINGTON HILLS 2 LOT 213</v>
      </c>
      <c r="D5778" s="1">
        <v>892.87</v>
      </c>
    </row>
    <row r="5779" spans="1:4" x14ac:dyDescent="0.3">
      <c r="A5779" s="1" t="str">
        <f>"01004128400"</f>
        <v>01004128400</v>
      </c>
      <c r="B5779" s="1" t="str">
        <f>"HIR LEGACY GROUP LLC"</f>
        <v>HIR LEGACY GROUP LLC</v>
      </c>
      <c r="C5779" s="1" t="str">
        <f>"2278-2280 N HIGH ST NORTHWOOD PARK LOT 6"</f>
        <v>2278-2280 N HIGH ST NORTHWOOD PARK LOT 6</v>
      </c>
      <c r="D5779" s="1">
        <v>2510.7800000000002</v>
      </c>
    </row>
    <row r="5780" spans="1:4" x14ac:dyDescent="0.3">
      <c r="A5780" s="1" t="str">
        <f>"01011369200"</f>
        <v>01011369200</v>
      </c>
      <c r="B5780" s="1" t="str">
        <f>"HIRST HULBINA H"</f>
        <v>HIRST HULBINA H</v>
      </c>
      <c r="C5780" s="1" t="str">
        <f>"2373 RHODES AVE OPPORTUNITY FARMS LOT 61"</f>
        <v>2373 RHODES AVE OPPORTUNITY FARMS LOT 61</v>
      </c>
      <c r="D5780" s="1">
        <v>522.33000000000004</v>
      </c>
    </row>
    <row r="5781" spans="1:4" x14ac:dyDescent="0.3">
      <c r="A5781" s="1" t="str">
        <f>"01011440300"</f>
        <v>01011440300</v>
      </c>
      <c r="B5781" s="1" t="str">
        <f>"HIRST HULBINA H"</f>
        <v>HIRST HULBINA H</v>
      </c>
      <c r="C5781" s="1" t="str">
        <f>"1967 LINWOOD AVE MARION PARK LOT 11"</f>
        <v>1967 LINWOOD AVE MARION PARK LOT 11</v>
      </c>
      <c r="D5781" s="1">
        <v>696.86</v>
      </c>
    </row>
    <row r="5782" spans="1:4" x14ac:dyDescent="0.3">
      <c r="A5782" s="1" t="str">
        <f>"59022906400"</f>
        <v>59022906400</v>
      </c>
      <c r="B5782" s="1" t="str">
        <f>"HIRVELA ALAN R"</f>
        <v>HIRVELA ALAN R</v>
      </c>
      <c r="C5782" s="1" t="str">
        <f>"DUBLIN GREEN CONDOMINIUM PHASE 1 UNIT 2317-206"</f>
        <v>DUBLIN GREEN CONDOMINIUM PHASE 1 UNIT 2317-206</v>
      </c>
      <c r="D5782" s="1">
        <v>187.19</v>
      </c>
    </row>
    <row r="5783" spans="1:4" x14ac:dyDescent="0.3">
      <c r="A5783" s="1" t="str">
        <f>"01005271100"</f>
        <v>01005271100</v>
      </c>
      <c r="B5783" s="1" t="str">
        <f>"HIS GRACE PROPERTIES LLC"</f>
        <v>HIS GRACE PROPERTIES LLC</v>
      </c>
      <c r="C5783" s="1" t="str">
        <f>"997 E 16TH AVE LOUIS HTS LOT 400"</f>
        <v>997 E 16TH AVE LOUIS HTS LOT 400</v>
      </c>
      <c r="D5783" s="1">
        <v>101.97</v>
      </c>
    </row>
    <row r="5784" spans="1:4" x14ac:dyDescent="0.3">
      <c r="A5784" s="1" t="str">
        <f>"10000568300"</f>
        <v>10000568300</v>
      </c>
      <c r="B5784" s="1" t="str">
        <f>"HISER MARY E"</f>
        <v>HISER MARY E</v>
      </c>
      <c r="C5784" s="1" t="str">
        <f>"5579 MORNING ST SELBY EAST CONDO UNIT 5579"</f>
        <v>5579 MORNING ST SELBY EAST CONDO UNIT 5579</v>
      </c>
      <c r="D5784" s="1">
        <v>2132.11</v>
      </c>
    </row>
    <row r="5785" spans="1:4" x14ac:dyDescent="0.3">
      <c r="A5785" s="1" t="str">
        <f>"18500197900"</f>
        <v>18500197900</v>
      </c>
      <c r="B5785" s="1" t="str">
        <f>"HISER SCOTT"</f>
        <v>HISER SCOTT</v>
      </c>
      <c r="C5785" s="1" t="str">
        <f>"VILLAGE AT CYPRESS GROVE CONDOMINIUM 2ND AMD UNIT 4810"</f>
        <v>VILLAGE AT CYPRESS GROVE CONDOMINIUM 2ND AMD UNIT 4810</v>
      </c>
      <c r="D5785" s="1">
        <v>175.49</v>
      </c>
    </row>
    <row r="5786" spans="1:4" x14ac:dyDescent="0.3">
      <c r="A5786" s="1" t="str">
        <f>"01009021400"</f>
        <v>01009021400</v>
      </c>
      <c r="B5786" s="1" t="str">
        <f>"HITCHENS MARK"</f>
        <v>HITCHENS MARK</v>
      </c>
      <c r="C5786" s="1" t="str">
        <f>"JAMES RD CRESCENT HEIGHTS LOT 16"</f>
        <v>JAMES RD CRESCENT HEIGHTS LOT 16</v>
      </c>
      <c r="D5786" s="1">
        <v>2540.54</v>
      </c>
    </row>
    <row r="5787" spans="1:4" x14ac:dyDescent="0.3">
      <c r="A5787" s="1" t="str">
        <f>"25000001200"</f>
        <v>25000001200</v>
      </c>
      <c r="B5787" s="1" t="str">
        <f>"HIXEN CHARLES E, HIXEN REBECCA A"</f>
        <v>HIXEN CHARLES E, HIXEN REBECCA A</v>
      </c>
      <c r="C5787" s="1" t="str">
        <f>"OLENTANGY RIVER RD .4417 ACRE "</f>
        <v xml:space="preserve">OLENTANGY RIVER RD .4417 ACRE </v>
      </c>
      <c r="D5787" s="1">
        <v>560.25</v>
      </c>
    </row>
    <row r="5788" spans="1:4" x14ac:dyDescent="0.3">
      <c r="A5788" s="1" t="str">
        <f>"09000106300"</f>
        <v>09000106300</v>
      </c>
      <c r="B5788" s="1" t="str">
        <f>"HIXON LASHAWN"</f>
        <v>HIXON LASHAWN</v>
      </c>
      <c r="C5788" s="1" t="str">
        <f>"ROSS RD NORTON FIELD PLAT 1 LOT 230"</f>
        <v>ROSS RD NORTON FIELD PLAT 1 LOT 230</v>
      </c>
      <c r="D5788" s="1">
        <v>2606.29</v>
      </c>
    </row>
    <row r="5789" spans="1:4" x14ac:dyDescent="0.3">
      <c r="A5789" s="1" t="str">
        <f>"01027619300"</f>
        <v>01027619300</v>
      </c>
      <c r="B5789" s="1" t="str">
        <f>"HIXON PAUL D, DEAN ROBERT"</f>
        <v>HIXON PAUL D, DEAN ROBERT</v>
      </c>
      <c r="C5789" s="1" t="str">
        <f>"GRAMERCY PLACE CONDOMINIUM 4TH AMD UNIT 4091"</f>
        <v>GRAMERCY PLACE CONDOMINIUM 4TH AMD UNIT 4091</v>
      </c>
      <c r="D5789" s="1">
        <v>126.36</v>
      </c>
    </row>
    <row r="5790" spans="1:4" x14ac:dyDescent="0.3">
      <c r="A5790" s="1" t="str">
        <f>"18000329000"</f>
        <v>18000329000</v>
      </c>
      <c r="B5790" s="1" t="str">
        <f>"HIYAB LLC"</f>
        <v>HIYAB LLC</v>
      </c>
      <c r="C5790" s="1" t="str">
        <f>"TREMAINE RD BLACKLICK ESTATES 3 646"</f>
        <v>TREMAINE RD BLACKLICK ESTATES 3 646</v>
      </c>
      <c r="D5790" s="1">
        <v>864.16</v>
      </c>
    </row>
    <row r="5791" spans="1:4" x14ac:dyDescent="0.3">
      <c r="A5791" s="1" t="str">
        <f>"59017263000"</f>
        <v>59017263000</v>
      </c>
      <c r="B5791" s="1" t="str">
        <f>"HLAY JEFF"</f>
        <v>HLAY JEFF</v>
      </c>
      <c r="C5791" s="1" t="str">
        <f>"ARBORG COURT RIVERSIDE GREEN SEC3 LOT 144"</f>
        <v>ARBORG COURT RIVERSIDE GREEN SEC3 LOT 144</v>
      </c>
      <c r="D5791" s="1">
        <v>2538.0300000000002</v>
      </c>
    </row>
    <row r="5792" spans="1:4" x14ac:dyDescent="0.3">
      <c r="A5792" s="1" t="str">
        <f>"01016700700"</f>
        <v>01016700700</v>
      </c>
      <c r="B5792" s="1" t="str">
        <f>"HMA PROPERTIES AND MORE LLC"</f>
        <v>HMA PROPERTIES AND MORE LLC</v>
      </c>
      <c r="C5792" s="1" t="str">
        <f>"2181 SAGAMORE ROAD AMVET HOMESTEAD 2 LOT 13 BLK P"</f>
        <v>2181 SAGAMORE ROAD AMVET HOMESTEAD 2 LOT 13 BLK P</v>
      </c>
      <c r="D5792" s="1">
        <v>915.33</v>
      </c>
    </row>
    <row r="5793" spans="1:4" x14ac:dyDescent="0.3">
      <c r="A5793" s="1" t="str">
        <f>"01004671900"</f>
        <v>01004671900</v>
      </c>
      <c r="B5793" s="1" t="str">
        <f>"HM-SALEH LIMITED PARTNERSHIP"</f>
        <v>HM-SALEH LIMITED PARTNERSHIP</v>
      </c>
      <c r="C5793" s="1" t="str">
        <f>"LIVINGSTON AVE AUBURNDALE LOT 11"</f>
        <v>LIVINGSTON AVE AUBURNDALE LOT 11</v>
      </c>
      <c r="D5793" s="1">
        <v>2385.9299999999998</v>
      </c>
    </row>
    <row r="5794" spans="1:4" x14ac:dyDescent="0.3">
      <c r="A5794" s="1" t="str">
        <f>"01002205400"</f>
        <v>01002205400</v>
      </c>
      <c r="B5794" s="1" t="str">
        <f>"HMSB GROUPS OF COMPANIES LLC"</f>
        <v>HMSB GROUPS OF COMPANIES LLC</v>
      </c>
      <c r="C5794" s="1" t="str">
        <f>"CLAREDON AVE. WESTWOOD HTS LOT 257"</f>
        <v>CLAREDON AVE. WESTWOOD HTS LOT 257</v>
      </c>
      <c r="D5794" s="1">
        <v>318.04000000000002</v>
      </c>
    </row>
    <row r="5795" spans="1:4" x14ac:dyDescent="0.3">
      <c r="A5795" s="1" t="str">
        <f>"01030606000"</f>
        <v>01030606000</v>
      </c>
      <c r="B5795" s="1" t="str">
        <f>"HO TUONG T, TSO FONG TERESA"</f>
        <v>HO TUONG T, TSO FONG TERESA</v>
      </c>
      <c r="C5795" s="1" t="str">
        <f>"PRESERVE AT ROCKY FORK CONDOMINIUM TENTH AMENDMENT UNIT 102"</f>
        <v>PRESERVE AT ROCKY FORK CONDOMINIUM TENTH AMENDMENT UNIT 102</v>
      </c>
      <c r="D5795" s="1">
        <v>5380.06</v>
      </c>
    </row>
    <row r="5796" spans="1:4" x14ac:dyDescent="0.3">
      <c r="A5796" s="1" t="str">
        <f>"01018441300"</f>
        <v>01018441300</v>
      </c>
      <c r="B5796" s="1" t="str">
        <f>"HOCH NICHOLE, HOCH GARY"</f>
        <v>HOCH NICHOLE, HOCH GARY</v>
      </c>
      <c r="C5796" s="1" t="str">
        <f>"SMITH FARMS II CONDO PHASE 9 UNIT C BLDG 26"</f>
        <v>SMITH FARMS II CONDO PHASE 9 UNIT C BLDG 26</v>
      </c>
      <c r="D5796" s="1">
        <v>1355.71</v>
      </c>
    </row>
    <row r="5797" spans="1:4" x14ac:dyDescent="0.3">
      <c r="A5797" s="1" t="str">
        <f>"01000952700"</f>
        <v>01000952700</v>
      </c>
      <c r="B5797" s="1" t="str">
        <f>"HOCHMILLER OH 1 LLC"</f>
        <v>HOCHMILLER OH 1 LLC</v>
      </c>
      <c r="C5797" s="1" t="str">
        <f>"1756 BRUCK ST DOLBYS INNIS AVE LOT 17"</f>
        <v>1756 BRUCK ST DOLBYS INNIS AVE LOT 17</v>
      </c>
      <c r="D5797" s="1">
        <v>291.93</v>
      </c>
    </row>
    <row r="5798" spans="1:4" x14ac:dyDescent="0.3">
      <c r="A5798" s="1" t="str">
        <f>"01005836300"</f>
        <v>01005836300</v>
      </c>
      <c r="B5798" s="1" t="str">
        <f>"HOCKER ROGER L TR"</f>
        <v>HOCKER ROGER L TR</v>
      </c>
      <c r="C5798" s="1" t="str">
        <f>"33 TORRENCE RD OAKLAND PARK LOT 239-238"</f>
        <v>33 TORRENCE RD OAKLAND PARK LOT 239-238</v>
      </c>
      <c r="D5798" s="1">
        <v>990</v>
      </c>
    </row>
    <row r="5799" spans="1:4" x14ac:dyDescent="0.3">
      <c r="A5799" s="1" t="str">
        <f>"01013746800"</f>
        <v>01013746800</v>
      </c>
      <c r="B5799" s="1" t="str">
        <f>"HOCKMAN DENNIS G TR, HOCKMAN ELLEN A TR"</f>
        <v>HOCKMAN DENNIS G TR, HOCKMAN ELLEN A TR</v>
      </c>
      <c r="C5799" s="1" t="str">
        <f>"OLENTANGY ROAD R19 T2 S4 1.212 ACRES"</f>
        <v>OLENTANGY ROAD R19 T2 S4 1.212 ACRES</v>
      </c>
      <c r="D5799" s="1">
        <v>4401.5200000000004</v>
      </c>
    </row>
    <row r="5800" spans="1:4" x14ac:dyDescent="0.3">
      <c r="A5800" s="1" t="str">
        <f>"01022702200"</f>
        <v>01022702200</v>
      </c>
      <c r="B5800" s="1" t="str">
        <f>"HOCKMAN DENNIS G TR, HOCKMAN ELLEN A TR"</f>
        <v>HOCKMAN DENNIS G TR, HOCKMAN ELLEN A TR</v>
      </c>
      <c r="C5800" s="1" t="str">
        <f>"OLENTANGY ROAD R19 T2 S4 0.806 ACRE"</f>
        <v>OLENTANGY ROAD R19 T2 S4 0.806 ACRE</v>
      </c>
      <c r="D5800" s="1">
        <v>1069.99</v>
      </c>
    </row>
    <row r="5801" spans="1:4" x14ac:dyDescent="0.3">
      <c r="A5801" s="1" t="str">
        <f>"08000521900"</f>
        <v>08000521900</v>
      </c>
      <c r="B5801" s="1" t="str">
        <f>"HODEK MELISSA ELAINE, BASSETT ROBERT GORDON III"</f>
        <v>HODEK MELISSA ELAINE, BASSETT ROBERT GORDON III</v>
      </c>
      <c r="C5801" s="1" t="str">
        <f>"ARUNDEL AVE ANNEHURST VILLAGE 10 LOT 709"</f>
        <v>ARUNDEL AVE ANNEHURST VILLAGE 10 LOT 709</v>
      </c>
      <c r="D5801" s="1">
        <v>360.63</v>
      </c>
    </row>
    <row r="5802" spans="1:4" x14ac:dyDescent="0.3">
      <c r="A5802" s="1" t="str">
        <f>"57024353400"</f>
        <v>57024353400</v>
      </c>
      <c r="B5802" s="1" t="str">
        <f>"HODGE CHARLES"</f>
        <v>HODGE CHARLES</v>
      </c>
      <c r="C5802" s="1" t="str">
        <f>"SILVER SPURS LANE WESTCHESTER SECTION 9 LOT 628"</f>
        <v>SILVER SPURS LANE WESTCHESTER SECTION 9 LOT 628</v>
      </c>
      <c r="D5802" s="1">
        <v>4106.67</v>
      </c>
    </row>
    <row r="5803" spans="1:4" x14ac:dyDescent="0.3">
      <c r="A5803" s="1" t="str">
        <f>"19000268700"</f>
        <v>19000268700</v>
      </c>
      <c r="B5803" s="1" t="str">
        <f>"HODGE GEORGE L"</f>
        <v>HODGE GEORGE L</v>
      </c>
      <c r="C5803" s="1" t="str">
        <f>"BUR-LEA ADD  LOTS 162 &amp; 163"</f>
        <v>BUR-LEA ADD  LOTS 162 &amp; 163</v>
      </c>
      <c r="D5803" s="1">
        <v>1675.1</v>
      </c>
    </row>
    <row r="5804" spans="1:4" x14ac:dyDescent="0.3">
      <c r="A5804" s="1" t="str">
        <f>"19000268400"</f>
        <v>19000268400</v>
      </c>
      <c r="B5804" s="1" t="str">
        <f>"HODGE GEORGE L, HODGE FLORA MAE"</f>
        <v>HODGE GEORGE L, HODGE FLORA MAE</v>
      </c>
      <c r="C5804" s="1" t="str">
        <f>"PERDUE AVE BUR-LEA 160 "</f>
        <v xml:space="preserve">PERDUE AVE BUR-LEA 160 </v>
      </c>
      <c r="D5804" s="1">
        <v>2734.56</v>
      </c>
    </row>
    <row r="5805" spans="1:4" x14ac:dyDescent="0.3">
      <c r="A5805" s="1" t="str">
        <f>"19000268500"</f>
        <v>19000268500</v>
      </c>
      <c r="B5805" s="1" t="str">
        <f>"HODGE GEORGE L, HODGE FLORA MAE"</f>
        <v>HODGE GEORGE L, HODGE FLORA MAE</v>
      </c>
      <c r="C5805" s="1" t="str">
        <f>"PERDUE AVE BUR-LEA ADD LOT 161"</f>
        <v>PERDUE AVE BUR-LEA ADD LOT 161</v>
      </c>
      <c r="D5805" s="1">
        <v>2532.52</v>
      </c>
    </row>
    <row r="5806" spans="1:4" x14ac:dyDescent="0.3">
      <c r="A5806" s="1" t="str">
        <f>"19000269000"</f>
        <v>19000269000</v>
      </c>
      <c r="B5806" s="1" t="str">
        <f>"HODGE GEORGE, HODGE FLORA"</f>
        <v>HODGE GEORGE, HODGE FLORA</v>
      </c>
      <c r="C5806" s="1" t="str">
        <f>"PERDUE AVE BUR-LEA ADD LOT 166"</f>
        <v>PERDUE AVE BUR-LEA ADD LOT 166</v>
      </c>
      <c r="D5806" s="1">
        <v>2465.7199999999998</v>
      </c>
    </row>
    <row r="5807" spans="1:4" x14ac:dyDescent="0.3">
      <c r="A5807" s="1" t="str">
        <f>"01004790000"</f>
        <v>01004790000</v>
      </c>
      <c r="B5807" s="1" t="str">
        <f>"HODGE JACOB"</f>
        <v>HODGE JACOB</v>
      </c>
      <c r="C5807" s="1" t="str">
        <f>"45 S HARRIS AVE HARRIS LOT 14"</f>
        <v>45 S HARRIS AVE HARRIS LOT 14</v>
      </c>
      <c r="D5807" s="1">
        <v>2615.4</v>
      </c>
    </row>
    <row r="5808" spans="1:4" x14ac:dyDescent="0.3">
      <c r="A5808" s="1" t="str">
        <f>"22000041700"</f>
        <v>22000041700</v>
      </c>
      <c r="B5808" s="1" t="str">
        <f>"HODGE PATRICK, HODGE ROBERT B"</f>
        <v>HODGE PATRICK, HODGE ROBERT B</v>
      </c>
      <c r="C5808" s="1" t="str">
        <f>"WALNUT&amp;HARLEM RD .943ACRES R16 T2 1-4T2 LOT 4"</f>
        <v>WALNUT&amp;HARLEM RD .943ACRES R16 T2 1-4T2 LOT 4</v>
      </c>
      <c r="D5808" s="1">
        <v>13388.83</v>
      </c>
    </row>
    <row r="5809" spans="1:4" x14ac:dyDescent="0.3">
      <c r="A5809" s="1" t="str">
        <f>"01031971200"</f>
        <v>01031971200</v>
      </c>
      <c r="B5809" s="1" t="str">
        <f>"HOFFMAN ANNA"</f>
        <v>HOFFMAN ANNA</v>
      </c>
      <c r="C5809" s="1" t="str">
        <f>"CLOVER RUN SECTION 1 LOT 28"</f>
        <v>CLOVER RUN SECTION 1 LOT 28</v>
      </c>
      <c r="D5809" s="1">
        <v>1541.53</v>
      </c>
    </row>
    <row r="5810" spans="1:4" x14ac:dyDescent="0.3">
      <c r="A5810" s="1" t="str">
        <f>"01029521300"</f>
        <v>01029521300</v>
      </c>
      <c r="B5810" s="1" t="str">
        <f>"HOFFMAN CATHY A, HOFFMAN RODGER D"</f>
        <v>HOFFMAN CATHY A, HOFFMAN RODGER D</v>
      </c>
      <c r="C5810" s="1" t="str">
        <f>"HAYDENS CROSSING SECTION 13 LOT 575"</f>
        <v>HAYDENS CROSSING SECTION 13 LOT 575</v>
      </c>
      <c r="D5810" s="1">
        <v>275.04000000000002</v>
      </c>
    </row>
    <row r="5811" spans="1:4" x14ac:dyDescent="0.3">
      <c r="A5811" s="1" t="str">
        <f>"12000100200"</f>
        <v>12000100200</v>
      </c>
      <c r="B5811" s="1" t="str">
        <f>"HOFFMAN DAVID A"</f>
        <v>HOFFMAN DAVID A</v>
      </c>
      <c r="C5811" s="1" t="str">
        <f>"HUBBARD ROAD ENTRY 2605 32.1367 ACRES"</f>
        <v>HUBBARD ROAD ENTRY 2605 32.1367 ACRES</v>
      </c>
      <c r="D5811" s="1">
        <v>548.01</v>
      </c>
    </row>
    <row r="5812" spans="1:4" x14ac:dyDescent="0.3">
      <c r="A5812" s="1" t="str">
        <f>"23000303200"</f>
        <v>23000303200</v>
      </c>
      <c r="B5812" s="1" t="str">
        <f>"HOFFMAN DEBORAH F, FRANKART ROBERT J"</f>
        <v>HOFFMAN DEBORAH F, FRANKART ROBERT J</v>
      </c>
      <c r="C5812" s="1" t="str">
        <f>"LAMBERT ROAD ENTRY 947 5.080 ACRES"</f>
        <v>LAMBERT ROAD ENTRY 947 5.080 ACRES</v>
      </c>
      <c r="D5812" s="1">
        <v>67.709999999999994</v>
      </c>
    </row>
    <row r="5813" spans="1:4" x14ac:dyDescent="0.3">
      <c r="A5813" s="1" t="str">
        <f>"01013315300"</f>
        <v>01013315300</v>
      </c>
      <c r="B5813" s="1" t="str">
        <f>"HOFFMAN DEVANY D"</f>
        <v>HOFFMAN DEVANY D</v>
      </c>
      <c r="C5813" s="1" t="str">
        <f>"CARBONDALE DR WALNUT BLUFF 1 LOT 298"</f>
        <v>CARBONDALE DR WALNUT BLUFF 1 LOT 298</v>
      </c>
      <c r="D5813" s="1">
        <v>1555.95</v>
      </c>
    </row>
    <row r="5814" spans="1:4" x14ac:dyDescent="0.3">
      <c r="A5814" s="1" t="str">
        <f>"56021573200"</f>
        <v>56021573200</v>
      </c>
      <c r="B5814" s="1" t="str">
        <f>"HOFFMAN GARY, HOFFMAN DINA"</f>
        <v>HOFFMAN GARY, HOFFMAN DINA</v>
      </c>
      <c r="C5814" s="1" t="str">
        <f>"HILLIARD HEIGHTS CONDOMINIUM 4TH AMD UNIT 16E"</f>
        <v>HILLIARD HEIGHTS CONDOMINIUM 4TH AMD UNIT 16E</v>
      </c>
      <c r="D5814" s="1">
        <v>1451.38</v>
      </c>
    </row>
    <row r="5815" spans="1:4" x14ac:dyDescent="0.3">
      <c r="A5815" s="1" t="str">
        <f>"56021318400"</f>
        <v>56021318400</v>
      </c>
      <c r="B5815" s="1" t="str">
        <f>"HOFFMAN JEFFREY E TR, HOFFMAN KIMBERLY E TR"</f>
        <v>HOFFMAN JEFFREY E TR, HOFFMAN KIMBERLY E TR</v>
      </c>
      <c r="C5815" s="1" t="str">
        <f>"HIDDEN VIEW DRIVE OAK RUN SECTION 1 LOT 67"</f>
        <v>HIDDEN VIEW DRIVE OAK RUN SECTION 1 LOT 67</v>
      </c>
      <c r="D5815" s="1">
        <v>6081.43</v>
      </c>
    </row>
    <row r="5816" spans="1:4" x14ac:dyDescent="0.3">
      <c r="A5816" s="1" t="str">
        <f>"60015913600"</f>
        <v>60015913600</v>
      </c>
      <c r="B5816" s="1" t="str">
        <f>"HOFFMAN JOSEPH MORGAN, HOFFMAN RHIANNON ELIZABETH"</f>
        <v>HOFFMAN JOSEPH MORGAN, HOFFMAN RHIANNON ELIZABETH</v>
      </c>
      <c r="C5816" s="1" t="str">
        <f>"PARKRIDGE VIL SEC 3 BENNINGTON AV LOT 407"</f>
        <v>PARKRIDGE VIL SEC 3 BENNINGTON AV LOT 407</v>
      </c>
      <c r="D5816" s="1">
        <v>4891.84</v>
      </c>
    </row>
    <row r="5817" spans="1:4" x14ac:dyDescent="0.3">
      <c r="A5817" s="1" t="str">
        <f>"05000766700"</f>
        <v>05000766700</v>
      </c>
      <c r="B5817" s="1" t="str">
        <f>"HOFFMAN JULIE"</f>
        <v>HOFFMAN JULIE</v>
      </c>
      <c r="C5817" s="1" t="str">
        <f>"SCIOTO CHASE DRIVE SCIOTO FARMS SEC 1 LOT 17"</f>
        <v>SCIOTO CHASE DRIVE SCIOTO FARMS SEC 1 LOT 17</v>
      </c>
      <c r="D5817" s="1">
        <v>4729.6499999999996</v>
      </c>
    </row>
    <row r="5818" spans="1:4" x14ac:dyDescent="0.3">
      <c r="A5818" s="1" t="str">
        <f>"02500627400"</f>
        <v>02500627400</v>
      </c>
      <c r="B5818" s="1" t="str">
        <f>"HOFFMAN MARITA R TTEE"</f>
        <v>HOFFMAN MARITA R TTEE</v>
      </c>
      <c r="C5818" s="1" t="str">
        <f>"644 SPIREA AVENUE SPIREA AV LOT 94"</f>
        <v>644 SPIREA AVENUE SPIREA AV LOT 94</v>
      </c>
      <c r="D5818" s="1">
        <v>2336.29</v>
      </c>
    </row>
    <row r="5819" spans="1:4" x14ac:dyDescent="0.3">
      <c r="A5819" s="1" t="str">
        <f>"12000071100"</f>
        <v>12000071100</v>
      </c>
      <c r="B5819" s="1" t="str">
        <f>"HOFINGER SARA A, HOFINGER JOHANNES"</f>
        <v>HOFINGER SARA A, HOFINGER JOHANNES</v>
      </c>
      <c r="C5819" s="1" t="str">
        <f>"1483 COLE RD 1.029 ACRES TR2 ENTRY 3445-5273"</f>
        <v>1483 COLE RD 1.029 ACRES TR2 ENTRY 3445-5273</v>
      </c>
      <c r="D5819" s="1">
        <v>452.75</v>
      </c>
    </row>
    <row r="5820" spans="1:4" x14ac:dyDescent="0.3">
      <c r="A5820" s="1" t="str">
        <f>"60015912200"</f>
        <v>60015912200</v>
      </c>
      <c r="B5820" s="1" t="str">
        <f>"HOFMEISTER ALLEN"</f>
        <v>HOFMEISTER ALLEN</v>
      </c>
      <c r="C5820" s="1" t="str">
        <f>"PARKRIDGE VIL SEC 3 BENNINGTON AV LOT 393"</f>
        <v>PARKRIDGE VIL SEC 3 BENNINGTON AV LOT 393</v>
      </c>
      <c r="D5820" s="1">
        <v>2240.36</v>
      </c>
    </row>
    <row r="5821" spans="1:4" x14ac:dyDescent="0.3">
      <c r="A5821" s="1" t="str">
        <f>"01011274800"</f>
        <v>01011274800</v>
      </c>
      <c r="B5821" s="1" t="str">
        <f>"HOGAN HENRY III"</f>
        <v>HOGAN HENRY III</v>
      </c>
      <c r="C5821" s="1" t="str">
        <f>"CHAMPION AVE R22 T5 S27 1/2S40 MERION EXRS"</f>
        <v>CHAMPION AVE R22 T5 S27 1/2S40 MERION EXRS</v>
      </c>
      <c r="D5821" s="1">
        <v>1020.95</v>
      </c>
    </row>
    <row r="5822" spans="1:4" x14ac:dyDescent="0.3">
      <c r="A5822" s="1" t="str">
        <f>"01014099600"</f>
        <v>01014099600</v>
      </c>
      <c r="B5822" s="1" t="str">
        <f>"HOGAN LETITIA G"</f>
        <v>HOGAN LETITIA G</v>
      </c>
      <c r="C5822" s="1" t="str">
        <f>"MITZI DR BERWICK ESTATES LOT 77"</f>
        <v>MITZI DR BERWICK ESTATES LOT 77</v>
      </c>
      <c r="D5822" s="1">
        <v>10174.969999999999</v>
      </c>
    </row>
    <row r="5823" spans="1:4" x14ac:dyDescent="0.3">
      <c r="A5823" s="1" t="str">
        <f>"09000196000"</f>
        <v>09000196000</v>
      </c>
      <c r="B5823" s="1" t="str">
        <f>"HOGAN VICTORIA A"</f>
        <v>HOGAN VICTORIA A</v>
      </c>
      <c r="C5823" s="1" t="str">
        <f>"4401 ETNA ST W1/2 GLENCO LOT 201- 202-203"</f>
        <v>4401 ETNA ST W1/2 GLENCO LOT 201- 202-203</v>
      </c>
      <c r="D5823" s="1">
        <v>909.63</v>
      </c>
    </row>
    <row r="5824" spans="1:4" x14ac:dyDescent="0.3">
      <c r="A5824" s="1" t="str">
        <f>"09000270000"</f>
        <v>09000270000</v>
      </c>
      <c r="B5824" s="1" t="str">
        <f>"HOGE DOROTHY A"</f>
        <v>HOGE DOROTHY A</v>
      </c>
      <c r="C5824" s="1" t="str">
        <f>"4076 ELBERN AVE PINEWOOD LOT 235 "</f>
        <v xml:space="preserve">4076 ELBERN AVE PINEWOOD LOT 235 </v>
      </c>
      <c r="D5824" s="1">
        <v>2552.5700000000002</v>
      </c>
    </row>
    <row r="5825" spans="1:4" x14ac:dyDescent="0.3">
      <c r="A5825" s="1" t="str">
        <f>"01012526600"</f>
        <v>01012526600</v>
      </c>
      <c r="B5825" s="1" t="str">
        <f>"HOGUE BRENDA L"</f>
        <v>HOGUE BRENDA L</v>
      </c>
      <c r="C5825" s="1" t="str">
        <f>"DURHAM DR SOUTHFIELD 2ND AMD LOT 71"</f>
        <v>DURHAM DR SOUTHFIELD 2ND AMD LOT 71</v>
      </c>
      <c r="D5825" s="1">
        <v>78.89</v>
      </c>
    </row>
    <row r="5826" spans="1:4" x14ac:dyDescent="0.3">
      <c r="A5826" s="1" t="str">
        <f>"60018604500"</f>
        <v>60018604500</v>
      </c>
      <c r="B5826" s="1" t="str">
        <f>"HOGUE MARGARET"</f>
        <v>HOGUE MARGARET</v>
      </c>
      <c r="C5826" s="1" t="str">
        <f>"BLAREFIELD DR BRANDYWINE MEADOWS 4 LOT 249"</f>
        <v>BLAREFIELD DR BRANDYWINE MEADOWS 4 LOT 249</v>
      </c>
      <c r="D5826" s="1">
        <v>1999.83</v>
      </c>
    </row>
    <row r="5827" spans="1:4" x14ac:dyDescent="0.3">
      <c r="A5827" s="1" t="str">
        <f>"27300653500"</f>
        <v>27300653500</v>
      </c>
      <c r="B5827" s="1" t="str">
        <f>"HOHENBRINK ANDREW J TR, HOHENBRINK CYNTHIA R TR"</f>
        <v>HOHENBRINK ANDREW J TR, HOHENBRINK CYNTHIA R TR</v>
      </c>
      <c r="C5827" s="1" t="str">
        <f>"WEXFORD ESTATES SECTION 1 LOT 15"</f>
        <v>WEXFORD ESTATES SECTION 1 LOT 15</v>
      </c>
      <c r="D5827" s="1">
        <v>545.33000000000004</v>
      </c>
    </row>
    <row r="5828" spans="1:4" x14ac:dyDescent="0.3">
      <c r="A5828" s="1" t="str">
        <f>"01014997800"</f>
        <v>01014997800</v>
      </c>
      <c r="B5828" s="1" t="str">
        <f>"HOHL DAVID J"</f>
        <v>HOHL DAVID J</v>
      </c>
      <c r="C5828" s="1" t="str">
        <f>"OAKCREST ROAD LEXINGTON SECT NO 3 LOT 371"</f>
        <v>OAKCREST ROAD LEXINGTON SECT NO 3 LOT 371</v>
      </c>
      <c r="D5828" s="1">
        <v>2405.87</v>
      </c>
    </row>
    <row r="5829" spans="1:4" x14ac:dyDescent="0.3">
      <c r="A5829" s="1" t="str">
        <f>"10000444600"</f>
        <v>10000444600</v>
      </c>
      <c r="B5829" s="1" t="str">
        <f>"HOHLBEIN PETER J, HOHLBEIN PATRICIA J"</f>
        <v>HOHLBEIN PETER J, HOHLBEIN PATRICIA J</v>
      </c>
      <c r="C5829" s="1" t="str">
        <f>"565 HAYMORE AVE S WORTHINGTON EST 3 LOT 9"</f>
        <v>565 HAYMORE AVE S WORTHINGTON EST 3 LOT 9</v>
      </c>
      <c r="D5829" s="1">
        <v>516.95000000000005</v>
      </c>
    </row>
    <row r="5830" spans="1:4" x14ac:dyDescent="0.3">
      <c r="A5830" s="1" t="str">
        <f>"01015945700"</f>
        <v>01015945700</v>
      </c>
      <c r="B5830" s="1" t="str">
        <f>"HOHMAN JOHN T, HOHMAN KATHLEEN A"</f>
        <v>HOHMAN JOHN T, HOHMAN KATHLEEN A</v>
      </c>
      <c r="C5830" s="1" t="str">
        <f>"SHARON WOODS SEC 8 HILLANDALE AV LOT 821"</f>
        <v>SHARON WOODS SEC 8 HILLANDALE AV LOT 821</v>
      </c>
      <c r="D5830" s="1">
        <v>21.07</v>
      </c>
    </row>
    <row r="5831" spans="1:4" x14ac:dyDescent="0.3">
      <c r="A5831" s="1" t="str">
        <f>"01012852500"</f>
        <v>01012852500</v>
      </c>
      <c r="B5831" s="1" t="str">
        <f>"HOLBERT PHYLLIS J"</f>
        <v>HOLBERT PHYLLIS J</v>
      </c>
      <c r="C5831" s="1" t="str">
        <f>"BERKELEY RD BERKELY PL LOT 38"</f>
        <v>BERKELEY RD BERKELY PL LOT 38</v>
      </c>
      <c r="D5831" s="1">
        <v>1589.76</v>
      </c>
    </row>
    <row r="5832" spans="1:4" x14ac:dyDescent="0.3">
      <c r="A5832" s="1" t="str">
        <f>"56024473800"</f>
        <v>56024473800</v>
      </c>
      <c r="B5832" s="1" t="str">
        <f>"HOLBROOK STEVEN, HOLBROOK LAURA F"</f>
        <v>HOLBROOK STEVEN, HOLBROOK LAURA F</v>
      </c>
      <c r="C5832" s="1" t="str">
        <f>"SISKIN AVENUE LIMESTONE POINTE SEC 2 PART 1 LOT 138"</f>
        <v>SISKIN AVENUE LIMESTONE POINTE SEC 2 PART 1 LOT 138</v>
      </c>
      <c r="D5832" s="1">
        <v>3623.77</v>
      </c>
    </row>
    <row r="5833" spans="1:4" x14ac:dyDescent="0.3">
      <c r="A5833" s="1" t="str">
        <f>"07000478500"</f>
        <v>07000478500</v>
      </c>
      <c r="B5833" s="1" t="str">
        <f>"HOLDACE LLC"</f>
        <v>HOLDACE LLC</v>
      </c>
      <c r="C5833" s="1" t="str">
        <f>"ZOLLINGER RD ALL L18 &amp; 20903 FT W S L19 WELSFORD BLK 289"</f>
        <v>ZOLLINGER RD ALL L18 &amp; 20903 FT W S L19 WELSFORD BLK 289</v>
      </c>
      <c r="D5833" s="1">
        <v>470.78</v>
      </c>
    </row>
    <row r="5834" spans="1:4" x14ac:dyDescent="0.3">
      <c r="A5834" s="1" t="str">
        <f>"01009865400"</f>
        <v>01009865400</v>
      </c>
      <c r="B5834" s="1" t="str">
        <f>"HOLDER &amp; SON LLC"</f>
        <v>HOLDER &amp; SON LLC</v>
      </c>
      <c r="C5834" s="1" t="str">
        <f>"JOYCE AVE DUXBERRY PARK LOT 5  EX SE COR"</f>
        <v>JOYCE AVE DUXBERRY PARK LOT 5  EX SE COR</v>
      </c>
      <c r="D5834" s="1">
        <v>1088.78</v>
      </c>
    </row>
    <row r="5835" spans="1:4" x14ac:dyDescent="0.3">
      <c r="A5835" s="1" t="str">
        <f>"01011432800"</f>
        <v>01011432800</v>
      </c>
      <c r="B5835" s="1" t="str">
        <f>"HOLDER &amp; SON LLC"</f>
        <v>HOLDER &amp; SON LLC</v>
      </c>
      <c r="C5835" s="1" t="str">
        <f>"KOEBEL AVE LEWIS SOUTHERN HTS LOTS  107-108"</f>
        <v>KOEBEL AVE LEWIS SOUTHERN HTS LOTS  107-108</v>
      </c>
      <c r="D5835" s="1">
        <v>1585.05</v>
      </c>
    </row>
    <row r="5836" spans="1:4" x14ac:dyDescent="0.3">
      <c r="A5836" s="1" t="str">
        <f>"14000263600"</f>
        <v>14000263600</v>
      </c>
      <c r="B5836" s="1" t="str">
        <f>"HOLDERBY BROCK, HORN TERESA L"</f>
        <v>HOLDERBY BROCK, HORN TERESA L</v>
      </c>
      <c r="C5836" s="1" t="str">
        <f>"1258 HART RD ENGARDS LOT 19 &amp; PT VAC AL"</f>
        <v>1258 HART RD ENGARDS LOT 19 &amp; PT VAC AL</v>
      </c>
      <c r="D5836" s="1">
        <v>233.28</v>
      </c>
    </row>
    <row r="5837" spans="1:4" x14ac:dyDescent="0.3">
      <c r="A5837" s="1" t="str">
        <f>"18000238100"</f>
        <v>18000238100</v>
      </c>
      <c r="B5837" s="1" t="str">
        <f>"HOLDREN AMANDA L, HOLDREN DANIEL"</f>
        <v>HOLDREN AMANDA L, HOLDREN DANIEL</v>
      </c>
      <c r="C5837" s="1" t="str">
        <f>"EWALD DR BLACKLICK ESTATES 1 LOT 523"</f>
        <v>EWALD DR BLACKLICK ESTATES 1 LOT 523</v>
      </c>
      <c r="D5837" s="1">
        <v>3039.51</v>
      </c>
    </row>
    <row r="5838" spans="1:4" x14ac:dyDescent="0.3">
      <c r="A5838" s="1" t="str">
        <f>"61023350300"</f>
        <v>61023350300</v>
      </c>
      <c r="B5838" s="1" t="str">
        <f>"HOLLAND KWI S"</f>
        <v>HOLLAND KWI S</v>
      </c>
      <c r="C5838" s="1" t="str">
        <f>"LINKFIELD DRIVE WORTHINGTON VILLAGE NORTH SEC 2 LOT 32"</f>
        <v>LINKFIELD DRIVE WORTHINGTON VILLAGE NORTH SEC 2 LOT 32</v>
      </c>
      <c r="D5838" s="1">
        <v>3427.45</v>
      </c>
    </row>
    <row r="5839" spans="1:4" x14ac:dyDescent="0.3">
      <c r="A5839" s="1" t="str">
        <f>"01016259100"</f>
        <v>01016259100</v>
      </c>
      <c r="B5839" s="1" t="str">
        <f>"HOLLBACK CLINTON L, HOLLBACK RUTH M"</f>
        <v>HOLLBACK CLINTON L, HOLLBACK RUTH M</v>
      </c>
      <c r="C5839" s="1" t="str">
        <f>"LEACH DRIVE RUSSELL LEACH SUBDIV LOT 46"</f>
        <v>LEACH DRIVE RUSSELL LEACH SUBDIV LOT 46</v>
      </c>
      <c r="D5839" s="1">
        <v>5489.54</v>
      </c>
    </row>
    <row r="5840" spans="1:4" x14ac:dyDescent="0.3">
      <c r="A5840" s="1" t="str">
        <f>"14000560500"</f>
        <v>14000560500</v>
      </c>
      <c r="B5840" s="1" t="str">
        <f>"HOLLEY BRETT"</f>
        <v>HOLLEY BRETT</v>
      </c>
      <c r="C5840" s="1" t="str">
        <f>"1691 WESTFIELD DR WESTBROOK LOT 5 "</f>
        <v xml:space="preserve">1691 WESTFIELD DR WESTBROOK LOT 5 </v>
      </c>
      <c r="D5840" s="1">
        <v>1083.83</v>
      </c>
    </row>
    <row r="5841" spans="1:4" x14ac:dyDescent="0.3">
      <c r="A5841" s="1" t="str">
        <f>"14000561600"</f>
        <v>14000561600</v>
      </c>
      <c r="B5841" s="1" t="str">
        <f>"HOLLEY BRETT"</f>
        <v>HOLLEY BRETT</v>
      </c>
      <c r="C5841" s="1" t="str">
        <f>"1970 WESTFIELD DR WESTBROOK LOT 16 "</f>
        <v xml:space="preserve">1970 WESTFIELD DR WESTBROOK LOT 16 </v>
      </c>
      <c r="D5841" s="1">
        <v>1330.73</v>
      </c>
    </row>
    <row r="5842" spans="1:4" x14ac:dyDescent="0.3">
      <c r="A5842" s="1" t="str">
        <f>"14000565700"</f>
        <v>14000565700</v>
      </c>
      <c r="B5842" s="1" t="str">
        <f>"HOLLEY BRETT"</f>
        <v>HOLLEY BRETT</v>
      </c>
      <c r="C5842" s="1" t="str">
        <f>"MARSDALE AVE WESTBROOK 57 "</f>
        <v xml:space="preserve">MARSDALE AVE WESTBROOK 57 </v>
      </c>
      <c r="D5842" s="1">
        <v>1029.6600000000001</v>
      </c>
    </row>
    <row r="5843" spans="1:4" x14ac:dyDescent="0.3">
      <c r="A5843" s="1" t="str">
        <f>"14000585700"</f>
        <v>14000585700</v>
      </c>
      <c r="B5843" s="1" t="str">
        <f>"HOLLEY BRETT"</f>
        <v>HOLLEY BRETT</v>
      </c>
      <c r="C5843" s="1" t="str">
        <f>"1724 MARSDALE AVE WESTBROOK LOT 257 "</f>
        <v xml:space="preserve">1724 MARSDALE AVE WESTBROOK LOT 257 </v>
      </c>
      <c r="D5843" s="1">
        <v>1087.74</v>
      </c>
    </row>
    <row r="5844" spans="1:4" x14ac:dyDescent="0.3">
      <c r="A5844" s="1" t="str">
        <f>"57015391400"</f>
        <v>57015391400</v>
      </c>
      <c r="B5844" s="1" t="str">
        <f>"HOLLEY BRETT"</f>
        <v>HOLLEY BRETT</v>
      </c>
      <c r="C5844" s="1" t="str">
        <f>"RIVERPOINT COURT RIVER BEND SEC 4 LOT 331"</f>
        <v>RIVERPOINT COURT RIVER BEND SEC 4 LOT 331</v>
      </c>
      <c r="D5844" s="1">
        <v>755.55</v>
      </c>
    </row>
    <row r="5845" spans="1:4" x14ac:dyDescent="0.3">
      <c r="A5845" s="1" t="str">
        <f>"24000372600"</f>
        <v>24000372600</v>
      </c>
      <c r="B5845" s="1" t="str">
        <f>"HOLLEY BRETT"</f>
        <v>HOLLEY BRETT</v>
      </c>
      <c r="C5845" s="1" t="str">
        <f>"DANHURST RD LINCOLN VILLAGE 586 "</f>
        <v xml:space="preserve">DANHURST RD LINCOLN VILLAGE 586 </v>
      </c>
      <c r="D5845" s="1">
        <v>1416.88</v>
      </c>
    </row>
    <row r="5846" spans="1:4" x14ac:dyDescent="0.3">
      <c r="A5846" s="1" t="str">
        <f>"23000239400"</f>
        <v>23000239400</v>
      </c>
      <c r="B5846" s="1" t="str">
        <f>"HOLLEY BRETT"</f>
        <v>HOLLEY BRETT</v>
      </c>
      <c r="C5846" s="1" t="str">
        <f>"5529 BELLVIEW DR COVERED BRIDGE LOT 60 &amp; 5'VAC AL"</f>
        <v>5529 BELLVIEW DR COVERED BRIDGE LOT 60 &amp; 5'VAC AL</v>
      </c>
      <c r="D5846" s="1">
        <v>845.23</v>
      </c>
    </row>
    <row r="5847" spans="1:4" x14ac:dyDescent="0.3">
      <c r="A5847" s="1" t="str">
        <f>"14000571900"</f>
        <v>14000571900</v>
      </c>
      <c r="B5847" s="1" t="str">
        <f>"HOLLEY BRETT M"</f>
        <v>HOLLEY BRETT M</v>
      </c>
      <c r="C5847" s="1" t="str">
        <f>"1763 S EASTBROOK DR WESTBROOK 119 "</f>
        <v xml:space="preserve">1763 S EASTBROOK DR WESTBROOK 119 </v>
      </c>
      <c r="D5847" s="1">
        <v>1137.7</v>
      </c>
    </row>
    <row r="5848" spans="1:4" x14ac:dyDescent="0.3">
      <c r="A5848" s="1" t="str">
        <f>"57015393800"</f>
        <v>57015393800</v>
      </c>
      <c r="B5848" s="1" t="str">
        <f>"HOLLEY BRETT M"</f>
        <v>HOLLEY BRETT M</v>
      </c>
      <c r="C5848" s="1" t="str">
        <f>"MALLCREEK COURT RIVER BEND SEC 4 LOT 355"</f>
        <v>MALLCREEK COURT RIVER BEND SEC 4 LOT 355</v>
      </c>
      <c r="D5848" s="1">
        <v>814.31</v>
      </c>
    </row>
    <row r="5849" spans="1:4" x14ac:dyDescent="0.3">
      <c r="A5849" s="1" t="str">
        <f>"24000607200"</f>
        <v>24000607200</v>
      </c>
      <c r="B5849" s="1" t="str">
        <f>"HOLLEY BRETT M"</f>
        <v>HOLLEY BRETT M</v>
      </c>
      <c r="C5849" s="1" t="str">
        <f>"GLENFORD VILL CONDNM UNIT 26-D "</f>
        <v xml:space="preserve">GLENFORD VILL CONDNM UNIT 26-D </v>
      </c>
      <c r="D5849" s="1">
        <v>1111.4100000000001</v>
      </c>
    </row>
    <row r="5850" spans="1:4" x14ac:dyDescent="0.3">
      <c r="A5850" s="1" t="str">
        <f>"14000560400"</f>
        <v>14000560400</v>
      </c>
      <c r="B5850" s="1" t="str">
        <f>"HOLLEY BRETT M, HOLLEY BRITTNEY"</f>
        <v>HOLLEY BRETT M, HOLLEY BRITTNEY</v>
      </c>
      <c r="C5850" s="1" t="str">
        <f>"1701 WESTFIELD DR WESTBROOK LOT 4 "</f>
        <v xml:space="preserve">1701 WESTFIELD DR WESTBROOK LOT 4 </v>
      </c>
      <c r="D5850" s="1">
        <v>942.66</v>
      </c>
    </row>
    <row r="5851" spans="1:4" x14ac:dyDescent="0.3">
      <c r="A5851" s="1" t="str">
        <f>"23000330000"</f>
        <v>23000330000</v>
      </c>
      <c r="B5851" s="1" t="str">
        <f>"HOLLEY BRETT M, HOLLEY BRITTNEY"</f>
        <v>HOLLEY BRETT M, HOLLEY BRITTNEY</v>
      </c>
      <c r="C5851" s="1" t="str">
        <f>"RENSCH RD ENTRY 3027 5.196 ACRES"</f>
        <v>RENSCH RD ENTRY 3027 5.196 ACRES</v>
      </c>
      <c r="D5851" s="1">
        <v>4323.4799999999996</v>
      </c>
    </row>
    <row r="5852" spans="1:4" x14ac:dyDescent="0.3">
      <c r="A5852" s="1" t="str">
        <f>"57023118400"</f>
        <v>57023118400</v>
      </c>
      <c r="B5852" s="1" t="str">
        <f>"HOLLEY CINDY L"</f>
        <v>HOLLEY CINDY L</v>
      </c>
      <c r="C5852" s="1" t="str">
        <f>"ROCK CREEK DRIVE WILLOW CREEK SEC 6 39.69' WE LOT 486"</f>
        <v>ROCK CREEK DRIVE WILLOW CREEK SEC 6 39.69' WE LOT 486</v>
      </c>
      <c r="D5852" s="1">
        <v>141.15</v>
      </c>
    </row>
    <row r="5853" spans="1:4" x14ac:dyDescent="0.3">
      <c r="A5853" s="1" t="str">
        <f>"14800076000"</f>
        <v>14800076000</v>
      </c>
      <c r="B5853" s="1" t="str">
        <f>"HOLLEYWOOD LLC"</f>
        <v>HOLLEYWOOD LLC</v>
      </c>
      <c r="C5853" s="1" t="str">
        <f>"479 MURRAY AVE VALLEYVIEW 183 "</f>
        <v xml:space="preserve">479 MURRAY AVE VALLEYVIEW 183 </v>
      </c>
      <c r="D5853" s="1">
        <v>1221.72</v>
      </c>
    </row>
    <row r="5854" spans="1:4" x14ac:dyDescent="0.3">
      <c r="A5854" s="1" t="str">
        <f>"18500020200"</f>
        <v>18500020200</v>
      </c>
      <c r="B5854" s="1" t="str">
        <f>"HOLLINGSHEAD SETH"</f>
        <v>HOLLINGSHEAD SETH</v>
      </c>
      <c r="C5854" s="1" t="str">
        <f>"ELM ST OUT 40  "</f>
        <v xml:space="preserve">ELM ST OUT 40  </v>
      </c>
      <c r="D5854" s="1">
        <v>130.11000000000001</v>
      </c>
    </row>
    <row r="5855" spans="1:4" x14ac:dyDescent="0.3">
      <c r="A5855" s="1" t="str">
        <f>"01016944900"</f>
        <v>01016944900</v>
      </c>
      <c r="B5855" s="1" t="str">
        <f>"HOLLMAN CHRISTAL"</f>
        <v>HOLLMAN CHRISTAL</v>
      </c>
      <c r="C5855" s="1" t="str">
        <f>"BLEAKER AVE WALNUT BLUFF NO 5 SEC ONE LOT 1211"</f>
        <v>BLEAKER AVE WALNUT BLUFF NO 5 SEC ONE LOT 1211</v>
      </c>
      <c r="D5855" s="1">
        <v>1454.42</v>
      </c>
    </row>
    <row r="5856" spans="1:4" x14ac:dyDescent="0.3">
      <c r="A5856" s="1" t="str">
        <f>"05000064800"</f>
        <v>05000064800</v>
      </c>
      <c r="B5856" s="1" t="str">
        <f>"HOLLOWELL TIMOTHY R"</f>
        <v>HOLLOWELL TIMOTHY R</v>
      </c>
      <c r="C5856" s="1" t="str">
        <f>"4355 WINTERRINGER ST AVERY RD LOT 26"</f>
        <v>4355 WINTERRINGER ST AVERY RD LOT 26</v>
      </c>
      <c r="D5856" s="1">
        <v>257.60000000000002</v>
      </c>
    </row>
    <row r="5857" spans="1:4" x14ac:dyDescent="0.3">
      <c r="A5857" s="1" t="str">
        <f>"01029002400"</f>
        <v>01029002400</v>
      </c>
      <c r="B5857" s="1" t="str">
        <f>"HOLLY VONDA L, HOLLY IRVIN R"</f>
        <v>HOLLY VONDA L, HOLLY IRVIN R</v>
      </c>
      <c r="C5857" s="1" t="str">
        <f>"ALKIRE RUN SECTION 2 PART 1 LOT 68"</f>
        <v>ALKIRE RUN SECTION 2 PART 1 LOT 68</v>
      </c>
      <c r="D5857" s="1">
        <v>3599.42</v>
      </c>
    </row>
    <row r="5858" spans="1:4" x14ac:dyDescent="0.3">
      <c r="A5858" s="1" t="str">
        <f>"57022180100"</f>
        <v>57022180100</v>
      </c>
      <c r="B5858" s="1" t="str">
        <f>"HOLMAN KYLE S, HOLMAN TOSHA L"</f>
        <v>HOLMAN KYLE S, HOLMAN TOSHA L</v>
      </c>
      <c r="C5858" s="1" t="str">
        <f>"GOLDEN CLOUD LN NOTTINGHAM LOT 53"</f>
        <v>GOLDEN CLOUD LN NOTTINGHAM LOT 53</v>
      </c>
      <c r="D5858" s="1">
        <v>1639.96</v>
      </c>
    </row>
    <row r="5859" spans="1:4" x14ac:dyDescent="0.3">
      <c r="A5859" s="1" t="str">
        <f>"18400043000"</f>
        <v>18400043000</v>
      </c>
      <c r="B5859" s="1" t="str">
        <f>"HOLMES DAVID TR, HOLMES THELMA F TR"</f>
        <v>HOLMES DAVID TR, HOLMES THELMA F TR</v>
      </c>
      <c r="C5859" s="1" t="str">
        <f>"131 E WATERLOO ST DOVES 35'X122'WS L31 &amp; 0.0375 ACRE"</f>
        <v>131 E WATERLOO ST DOVES 35'X122'WS L31 &amp; 0.0375 ACRE</v>
      </c>
      <c r="D5859" s="1">
        <v>5036.43</v>
      </c>
    </row>
    <row r="5860" spans="1:4" x14ac:dyDescent="0.3">
      <c r="A5860" s="1" t="str">
        <f>"01011308200"</f>
        <v>01011308200</v>
      </c>
      <c r="B5860" s="1" t="str">
        <f>"HOLMES DONATHAN S, HOLMES AMY L"</f>
        <v>HOLMES DONATHAN S, HOLMES AMY L</v>
      </c>
      <c r="C5860" s="1" t="str">
        <f>"241 DERING ROAD L&amp;W SOUTH HIGH ADD LOTS 156 &amp; 157"</f>
        <v>241 DERING ROAD L&amp;W SOUTH HIGH ADD LOTS 156 &amp; 157</v>
      </c>
      <c r="D5860" s="1">
        <v>1362.55</v>
      </c>
    </row>
    <row r="5861" spans="1:4" x14ac:dyDescent="0.3">
      <c r="A5861" s="1" t="str">
        <f>"01005814700"</f>
        <v>01005814700</v>
      </c>
      <c r="B5861" s="1" t="str">
        <f>"HOLMES FLORENCE A"</f>
        <v>HOLMES FLORENCE A</v>
      </c>
      <c r="C5861" s="1" t="str">
        <f>"1436 CLEVELAND 35.33 X205.60FT SS LOT 18-1-4-9"</f>
        <v>1436 CLEVELAND 35.33 X205.60FT SS LOT 18-1-4-9</v>
      </c>
      <c r="D5861" s="1">
        <v>74.8</v>
      </c>
    </row>
    <row r="5862" spans="1:4" x14ac:dyDescent="0.3">
      <c r="A5862" s="1" t="str">
        <f>"04000092500"</f>
        <v>04000092500</v>
      </c>
      <c r="B5862" s="1" t="str">
        <f>"HOLMES HARVEY A, HOLMES PATRICIA E"</f>
        <v>HOLMES HARVEY A, HOLMES PATRICIA E</v>
      </c>
      <c r="C5862" s="1" t="str">
        <f>"4159 HAUGHN RD PATZERS SUB LOT 7"</f>
        <v>4159 HAUGHN RD PATZERS SUB LOT 7</v>
      </c>
      <c r="D5862" s="1">
        <v>4117.28</v>
      </c>
    </row>
    <row r="5863" spans="1:4" x14ac:dyDescent="0.3">
      <c r="A5863" s="1" t="str">
        <f>"01013525100"</f>
        <v>01013525100</v>
      </c>
      <c r="B5863" s="1" t="str">
        <f>"HOLMES KATHLEEN"</f>
        <v>HOLMES KATHLEEN</v>
      </c>
      <c r="C5863" s="1" t="str">
        <f>"ROXBURY RD RESUB PART OF KENSINGTON LOT 21"</f>
        <v>ROXBURY RD RESUB PART OF KENSINGTON LOT 21</v>
      </c>
      <c r="D5863" s="1">
        <v>40.450000000000003</v>
      </c>
    </row>
    <row r="5864" spans="1:4" x14ac:dyDescent="0.3">
      <c r="A5864" s="1" t="str">
        <f>"01016101800"</f>
        <v>01016101800</v>
      </c>
      <c r="B5864" s="1" t="str">
        <f>"HOLMGREN SCOTT"</f>
        <v>HOLMGREN SCOTT</v>
      </c>
      <c r="C5864" s="1" t="str">
        <f>"WOODBROOK CR W WOODBROOK VILLAGE CONDOMINIUM UNIT 52"</f>
        <v>WOODBROOK CR W WOODBROOK VILLAGE CONDOMINIUM UNIT 52</v>
      </c>
      <c r="D5864" s="1">
        <v>643.59</v>
      </c>
    </row>
    <row r="5865" spans="1:4" x14ac:dyDescent="0.3">
      <c r="A5865" s="1" t="str">
        <f>"01003143300"</f>
        <v>01003143300</v>
      </c>
      <c r="B5865" s="1" t="str">
        <f>"HOLT DAVID"</f>
        <v>HOLT DAVID</v>
      </c>
      <c r="C5865" s="1" t="str">
        <f>"1430 CLEVELAND AVE 100 FT WE MILLERS CLEVELAND TERR L 13"</f>
        <v>1430 CLEVELAND AVE 100 FT WE MILLERS CLEVELAND TERR L 13</v>
      </c>
      <c r="D5865" s="1">
        <v>1039.9100000000001</v>
      </c>
    </row>
    <row r="5866" spans="1:4" x14ac:dyDescent="0.3">
      <c r="A5866" s="1" t="str">
        <f>"01001118200"</f>
        <v>01001118200</v>
      </c>
      <c r="B5866" s="1" t="str">
        <f>"HOLT DAVID"</f>
        <v>HOLT DAVID</v>
      </c>
      <c r="C5866" s="1" t="str">
        <f>"974 MCCLELLAND AVE 75.5FT EE MILLERS CLEVELAND TRC LOT 13"</f>
        <v>974 MCCLELLAND AVE 75.5FT EE MILLERS CLEVELAND TRC LOT 13</v>
      </c>
      <c r="D5866" s="1">
        <v>103.66</v>
      </c>
    </row>
    <row r="5867" spans="1:4" x14ac:dyDescent="0.3">
      <c r="A5867" s="1" t="str">
        <f>"01001250600"</f>
        <v>01001250600</v>
      </c>
      <c r="B5867" s="1" t="str">
        <f>"HOLT DAVID H"</f>
        <v>HOLT DAVID H</v>
      </c>
      <c r="C5867" s="1" t="str">
        <f>"1459 JEFFERSON AVE DOW HRS LOT 100"</f>
        <v>1459 JEFFERSON AVE DOW HRS LOT 100</v>
      </c>
      <c r="D5867" s="1">
        <v>978.98</v>
      </c>
    </row>
    <row r="5868" spans="1:4" x14ac:dyDescent="0.3">
      <c r="A5868" s="1" t="str">
        <f>"01015946800"</f>
        <v>01015946800</v>
      </c>
      <c r="B5868" s="1" t="str">
        <f>"HOLT JARROD L, HOLT MINDY L"</f>
        <v>HOLT JARROD L, HOLT MINDY L</v>
      </c>
      <c r="C5868" s="1" t="str">
        <f>"SHARON WOODS SEC 8 SHARON WOODS BLVD LOT 832"</f>
        <v>SHARON WOODS SEC 8 SHARON WOODS BLVD LOT 832</v>
      </c>
      <c r="D5868" s="1">
        <v>3164.73</v>
      </c>
    </row>
    <row r="5869" spans="1:4" x14ac:dyDescent="0.3">
      <c r="A5869" s="1" t="str">
        <f>"05000486400"</f>
        <v>05000486400</v>
      </c>
      <c r="B5869" s="1" t="str">
        <f>"HOLT PHILIP M, HOLT CHERYL L"</f>
        <v>HOLT PHILIP M, HOLT CHERYL L</v>
      </c>
      <c r="C5869" s="1" t="str">
        <f>"SCIOTO RUN BLVD SCIOTO RUN SUB PH 4 LOT 213"</f>
        <v>SCIOTO RUN BLVD SCIOTO RUN SUB PH 4 LOT 213</v>
      </c>
      <c r="D5869" s="1">
        <v>3458.38</v>
      </c>
    </row>
    <row r="5870" spans="1:4" x14ac:dyDescent="0.3">
      <c r="A5870" s="1" t="str">
        <f>"01015943800"</f>
        <v>01015943800</v>
      </c>
      <c r="B5870" s="1" t="str">
        <f>"HOLT ZEDOC A"</f>
        <v>HOLT ZEDOC A</v>
      </c>
      <c r="C5870" s="1" t="str">
        <f>"1970-72HILLANDALE AV SHARON WOODS SEC 8 ALL LOT 802&amp;PT 803"</f>
        <v>1970-72HILLANDALE AV SHARON WOODS SEC 8 ALL LOT 802&amp;PT 803</v>
      </c>
      <c r="D5870" s="1">
        <v>2713.41</v>
      </c>
    </row>
    <row r="5871" spans="1:4" x14ac:dyDescent="0.3">
      <c r="A5871" s="1" t="str">
        <f>"08001042500"</f>
        <v>08001042500</v>
      </c>
      <c r="B5871" s="1" t="str">
        <f>"HOLTZAPFEL JUDITH A, HOLTZAPFEL STEVEN M"</f>
        <v>HOLTZAPFEL JUDITH A, HOLTZAPFEL STEVEN M</v>
      </c>
      <c r="C5871" s="1" t="str">
        <f>"COLUMBUS ST LOT 10 "</f>
        <v xml:space="preserve">COLUMBUS ST LOT 10 </v>
      </c>
      <c r="D5871" s="1">
        <v>421.08</v>
      </c>
    </row>
    <row r="5872" spans="1:4" x14ac:dyDescent="0.3">
      <c r="A5872" s="1" t="str">
        <f>"01029722100"</f>
        <v>01029722100</v>
      </c>
      <c r="B5872" s="1" t="str">
        <f>"HOLTZLANDER DAVID, HOLTZLANDER DEBRA"</f>
        <v>HOLTZLANDER DAVID, HOLTZLANDER DEBRA</v>
      </c>
      <c r="C5872" s="1" t="str">
        <f>"UPPER ALBANY WEST SECTION 10 PART 2 LOT 893"</f>
        <v>UPPER ALBANY WEST SECTION 10 PART 2 LOT 893</v>
      </c>
      <c r="D5872" s="1">
        <v>370.01</v>
      </c>
    </row>
    <row r="5873" spans="1:4" x14ac:dyDescent="0.3">
      <c r="A5873" s="1" t="str">
        <f>"01001372600"</f>
        <v>01001372600</v>
      </c>
      <c r="B5873" s="1" t="str">
        <f>"HOLTZMAN APM LLC"</f>
        <v>HOLTZMAN APM LLC</v>
      </c>
      <c r="C5873" s="1" t="str">
        <f>"HOLTZMAN AVE H HOLTZMAN LOT 38"</f>
        <v>HOLTZMAN AVE H HOLTZMAN LOT 38</v>
      </c>
      <c r="D5873" s="1">
        <v>412.25</v>
      </c>
    </row>
    <row r="5874" spans="1:4" x14ac:dyDescent="0.3">
      <c r="A5874" s="1" t="str">
        <f>"56026751300"</f>
        <v>56026751300</v>
      </c>
      <c r="B5874" s="1" t="str">
        <f>"HOLYCROSS DIANA"</f>
        <v>HOLYCROSS DIANA</v>
      </c>
      <c r="C5874" s="1" t="str">
        <f>"VILLAGE AT HILLIARD GREEN S-F HOMES CONDO 14TH AMD UNIT DESIGNATION 44"</f>
        <v>VILLAGE AT HILLIARD GREEN S-F HOMES CONDO 14TH AMD UNIT DESIGNATION 44</v>
      </c>
      <c r="D5874" s="1">
        <v>296.16000000000003</v>
      </c>
    </row>
    <row r="5875" spans="1:4" x14ac:dyDescent="0.3">
      <c r="A5875" s="1" t="str">
        <f>"07000650000"</f>
        <v>07000650000</v>
      </c>
      <c r="B5875" s="1" t="str">
        <f>"HOLZAPFEL WALKER KRIS TR"</f>
        <v>HOLZAPFEL WALKER KRIS TR</v>
      </c>
      <c r="C5875" s="1" t="str">
        <f>"BRISTOL RD RIVER RIDGE 29 BLK 19"</f>
        <v>BRISTOL RD RIVER RIDGE 29 BLK 19</v>
      </c>
      <c r="D5875" s="1">
        <v>2196.12</v>
      </c>
    </row>
    <row r="5876" spans="1:4" x14ac:dyDescent="0.3">
      <c r="A5876" s="1" t="str">
        <f>"60024720200"</f>
        <v>60024720200</v>
      </c>
      <c r="B5876" s="1" t="str">
        <f>"HOME DEPOT U S A INC"</f>
        <v>HOME DEPOT U S A INC</v>
      </c>
      <c r="C5876" s="1" t="str">
        <f>"CLEVELAND AVE R18 T2 1/4T1 0.018 ACRE"</f>
        <v>CLEVELAND AVE R18 T2 1/4T1 0.018 ACRE</v>
      </c>
      <c r="D5876" s="1">
        <v>88.09</v>
      </c>
    </row>
    <row r="5877" spans="1:4" x14ac:dyDescent="0.3">
      <c r="A5877" s="1" t="str">
        <f>"01006077300"</f>
        <v>01006077300</v>
      </c>
      <c r="B5877" s="1" t="str">
        <f>"HOME EDGE HOLDINGS LLC"</f>
        <v>HOME EDGE HOLDINGS LLC</v>
      </c>
      <c r="C5877" s="1" t="str">
        <f>"2176 CLEVELAND AVE INNISCREST SUBD LOT 24"</f>
        <v>2176 CLEVELAND AVE INNISCREST SUBD LOT 24</v>
      </c>
      <c r="D5877" s="1">
        <v>2310.66</v>
      </c>
    </row>
    <row r="5878" spans="1:4" x14ac:dyDescent="0.3">
      <c r="A5878" s="1" t="str">
        <f>"01005741200"</f>
        <v>01005741200</v>
      </c>
      <c r="B5878" s="1" t="str">
        <f>"HOME HAVEN INVESTMENTS LLC"</f>
        <v>HOME HAVEN INVESTMENTS LLC</v>
      </c>
      <c r="C5878" s="1" t="str">
        <f>"865 OLD LEONARD AVE FELTON ADD LOT 10"</f>
        <v>865 OLD LEONARD AVE FELTON ADD LOT 10</v>
      </c>
      <c r="D5878" s="1">
        <v>4128.32</v>
      </c>
    </row>
    <row r="5879" spans="1:4" x14ac:dyDescent="0.3">
      <c r="A5879" s="1" t="str">
        <f>"01001212900"</f>
        <v>01001212900</v>
      </c>
      <c r="B5879" s="1" t="str">
        <f>"HOME SECURE  LLC"</f>
        <v>HOME SECURE  LLC</v>
      </c>
      <c r="C5879" s="1" t="str">
        <f>"313-15 W BREHL AVE DOREN CENTRAL AVE LOT 190"</f>
        <v>313-15 W BREHL AVE DOREN CENTRAL AVE LOT 190</v>
      </c>
      <c r="D5879" s="1">
        <v>1297.07</v>
      </c>
    </row>
    <row r="5880" spans="1:4" x14ac:dyDescent="0.3">
      <c r="A5880" s="1" t="str">
        <f>"01009757400"</f>
        <v>01009757400</v>
      </c>
      <c r="B5880" s="1" t="str">
        <f>"HOME SECURE LLC"</f>
        <v>HOME SECURE LLC</v>
      </c>
      <c r="C5880" s="1" t="str">
        <f>"MCGUFFEY RD OAK PARK 9 LOT 24"</f>
        <v>MCGUFFEY RD OAK PARK 9 LOT 24</v>
      </c>
      <c r="D5880" s="1">
        <v>1301.0899999999999</v>
      </c>
    </row>
    <row r="5881" spans="1:4" x14ac:dyDescent="0.3">
      <c r="A5881" s="1" t="str">
        <f>"01007396200"</f>
        <v>01007396200</v>
      </c>
      <c r="B5881" s="1" t="str">
        <f>"HOMECROFT II LLC"</f>
        <v>HOMECROFT II LLC</v>
      </c>
      <c r="C5881" s="1" t="str">
        <f>"HOMECROFT DRIVE HOMECROFT LOT 205"</f>
        <v>HOMECROFT DRIVE HOMECROFT LOT 205</v>
      </c>
      <c r="D5881" s="1">
        <v>1867.89</v>
      </c>
    </row>
    <row r="5882" spans="1:4" x14ac:dyDescent="0.3">
      <c r="A5882" s="1" t="str">
        <f>"24000130700"</f>
        <v>24000130700</v>
      </c>
      <c r="B5882" s="1" t="str">
        <f>"HOMES ON THE HILL COMMUNITY DEVELOPMENT CORPORATION"</f>
        <v>HOMES ON THE HILL COMMUNITY DEVELOPMENT CORPORATION</v>
      </c>
      <c r="C5882" s="1" t="str">
        <f>"MIX AVE WEST COLUMBUS PARK LOTS 194-196"</f>
        <v>MIX AVE WEST COLUMBUS PARK LOTS 194-196</v>
      </c>
      <c r="D5882" s="1">
        <v>30.84</v>
      </c>
    </row>
    <row r="5883" spans="1:4" x14ac:dyDescent="0.3">
      <c r="A5883" s="1" t="str">
        <f>"01007386200"</f>
        <v>01007386200</v>
      </c>
      <c r="B5883" s="1" t="str">
        <f>"HOMES REVIV3D LLC"</f>
        <v>HOMES REVIV3D LLC</v>
      </c>
      <c r="C5883" s="1" t="str">
        <f>"HIAWATHA ST ALMADA LOT 670"</f>
        <v>HIAWATHA ST ALMADA LOT 670</v>
      </c>
      <c r="D5883" s="1">
        <v>1950.36</v>
      </c>
    </row>
    <row r="5884" spans="1:4" x14ac:dyDescent="0.3">
      <c r="A5884" s="1" t="str">
        <f>"01009963300"</f>
        <v>01009963300</v>
      </c>
      <c r="B5884" s="1" t="str">
        <f>"HOMETRUST INC TR"</f>
        <v>HOMETRUST INC TR</v>
      </c>
      <c r="C5884" s="1" t="str">
        <f>"CAROLWOOD AVE BEECHWOOD LOT 161"</f>
        <v>CAROLWOOD AVE BEECHWOOD LOT 161</v>
      </c>
      <c r="D5884" s="1">
        <v>756.72</v>
      </c>
    </row>
    <row r="5885" spans="1:4" x14ac:dyDescent="0.3">
      <c r="A5885" s="1" t="str">
        <f>"53016643300"</f>
        <v>53016643300</v>
      </c>
      <c r="B5885" s="1" t="str">
        <f>"HOMEWOOD CORP"</f>
        <v>HOMEWOOD CORP</v>
      </c>
      <c r="C5885" s="1" t="str">
        <f>"TUSSING RD 5.ACRES R21 T12 S25 1/2 S43"</f>
        <v>TUSSING RD 5.ACRES R21 T12 S25 1/2 S43</v>
      </c>
      <c r="D5885" s="1">
        <v>88.62</v>
      </c>
    </row>
    <row r="5886" spans="1:4" x14ac:dyDescent="0.3">
      <c r="A5886" s="1" t="str">
        <f>"61023537400"</f>
        <v>61023537400</v>
      </c>
      <c r="B5886" s="1" t="str">
        <f>"HOMEWOOD CORP"</f>
        <v>HOMEWOOD CORP</v>
      </c>
      <c r="C5886" s="1" t="str">
        <f>"TRIPOLI COURT BARBARY RIDGE LOT 15"</f>
        <v>TRIPOLI COURT BARBARY RIDGE LOT 15</v>
      </c>
      <c r="D5886" s="1">
        <v>2738.71</v>
      </c>
    </row>
    <row r="5887" spans="1:4" x14ac:dyDescent="0.3">
      <c r="A5887" s="1" t="str">
        <f>"24000658700"</f>
        <v>24000658700</v>
      </c>
      <c r="B5887" s="1" t="str">
        <f>"HOMEWOOD CORP"</f>
        <v>HOMEWOOD CORP</v>
      </c>
      <c r="C5887" s="1" t="str">
        <f>"GALLOWAY ROAD ENTRY 1473 OQ 1000 2.440 ACRES"</f>
        <v>GALLOWAY ROAD ENTRY 1473 OQ 1000 2.440 ACRES</v>
      </c>
      <c r="D5887" s="1">
        <v>1680.8</v>
      </c>
    </row>
    <row r="5888" spans="1:4" x14ac:dyDescent="0.3">
      <c r="A5888" s="1" t="str">
        <f>"56021425600"</f>
        <v>56021425600</v>
      </c>
      <c r="B5888" s="1" t="str">
        <f>"HOMEWOOD CORP"</f>
        <v>HOMEWOOD CORP</v>
      </c>
      <c r="C5888" s="1" t="str">
        <f>"SPINDLER ROAD ENTRY 6642 0.339 ACRE"</f>
        <v>SPINDLER ROAD ENTRY 6642 0.339 ACRE</v>
      </c>
      <c r="D5888" s="1">
        <v>9.31</v>
      </c>
    </row>
    <row r="5889" spans="1:4" x14ac:dyDescent="0.3">
      <c r="A5889" s="1" t="str">
        <f>"27401240800"</f>
        <v>27401240800</v>
      </c>
      <c r="B5889" s="1" t="str">
        <f>"HOMEWOOD CORPORATION"</f>
        <v>HOMEWOOD CORPORATION</v>
      </c>
      <c r="C5889" s="1" t="str">
        <f>"AVONDALE WOODS SECTION 2 RESERVE F"</f>
        <v>AVONDALE WOODS SECTION 2 RESERVE F</v>
      </c>
      <c r="D5889" s="1">
        <v>2.86</v>
      </c>
    </row>
    <row r="5890" spans="1:4" x14ac:dyDescent="0.3">
      <c r="A5890" s="1" t="str">
        <f>"01013197000"</f>
        <v>01013197000</v>
      </c>
      <c r="B5890" s="1" t="str">
        <f>"HONEY BLOSSOM HOLDINGS LLC"</f>
        <v>HONEY BLOSSOM HOLDINGS LLC</v>
      </c>
      <c r="C5890" s="1" t="str">
        <f>"REDWOOD RD FOREST PARK 2 LOT 323"</f>
        <v>REDWOOD RD FOREST PARK 2 LOT 323</v>
      </c>
      <c r="D5890" s="1">
        <v>2188.31</v>
      </c>
    </row>
    <row r="5891" spans="1:4" x14ac:dyDescent="0.3">
      <c r="A5891" s="1" t="str">
        <f>"56011604300"</f>
        <v>56011604300</v>
      </c>
      <c r="B5891" s="1" t="str">
        <f>"HONEYWELL INTERNATIONAL INC"</f>
        <v>HONEYWELL INTERNATIONAL INC</v>
      </c>
      <c r="C5891" s="1" t="str">
        <f>"WILSON RD                 ENTRY 544                 9.986 ACRES              "</f>
        <v xml:space="preserve">WILSON RD                 ENTRY 544                 9.986 ACRES              </v>
      </c>
      <c r="D5891" s="1">
        <v>187376.27</v>
      </c>
    </row>
    <row r="5892" spans="1:4" x14ac:dyDescent="0.3">
      <c r="A5892" s="1" t="str">
        <f>"01001218400"</f>
        <v>01001218400</v>
      </c>
      <c r="B5892" s="1" t="str">
        <f>"HONG MARINA"</f>
        <v>HONG MARINA</v>
      </c>
      <c r="C5892" s="1" t="str">
        <f>"1827 SULLIVANT AVE ALLOFLOT1&amp;8.66FTWSOF LOT2HILLTONIA LOT1-2"</f>
        <v>1827 SULLIVANT AVE ALLOFLOT1&amp;8.66FTWSOF LOT2HILLTONIA LOT1-2</v>
      </c>
      <c r="D5892" s="1">
        <v>2744.4</v>
      </c>
    </row>
    <row r="5893" spans="1:4" x14ac:dyDescent="0.3">
      <c r="A5893" s="1" t="str">
        <f>"08000487200"</f>
        <v>08000487200</v>
      </c>
      <c r="B5893" s="1" t="str">
        <f>"HONG TO D, HONG HAO T, HONG HIEU T"</f>
        <v>HONG TO D, HONG HAO T, HONG HIEU T</v>
      </c>
      <c r="C5893" s="1" t="str">
        <f>"LAKELAND SUBDIV 5 LAKELAND DRIVE LOT 227"</f>
        <v>LAKELAND SUBDIV 5 LAKELAND DRIVE LOT 227</v>
      </c>
      <c r="D5893" s="1">
        <v>285.64</v>
      </c>
    </row>
    <row r="5894" spans="1:4" x14ac:dyDescent="0.3">
      <c r="A5894" s="1" t="str">
        <f>"01007697100"</f>
        <v>01007697100</v>
      </c>
      <c r="B5894" s="1" t="str">
        <f>"HONTIVEROS SILAHIS, PIDLAOAN VICTORIO"</f>
        <v>HONTIVEROS SILAHIS, PIDLAOAN VICTORIO</v>
      </c>
      <c r="C5894" s="1" t="str">
        <f>"ROYS AVE BROADVIEW EXT LOT 10 BLK 23"</f>
        <v>ROYS AVE BROADVIEW EXT LOT 10 BLK 23</v>
      </c>
      <c r="D5894" s="1">
        <v>4213.28</v>
      </c>
    </row>
    <row r="5895" spans="1:4" x14ac:dyDescent="0.3">
      <c r="A5895" s="1" t="str">
        <f>"01005933600"</f>
        <v>01005933600</v>
      </c>
      <c r="B5895" s="1" t="str">
        <f>"HOOD CHERONE M, HEWLETT CHRISTOPHER C"</f>
        <v>HOOD CHERONE M, HEWLETT CHRISTOPHER C</v>
      </c>
      <c r="C5895" s="1" t="str">
        <f>"MANHATTAN LINDEN LOT 72"</f>
        <v>MANHATTAN LINDEN LOT 72</v>
      </c>
      <c r="D5895" s="1">
        <v>1505.28</v>
      </c>
    </row>
    <row r="5896" spans="1:4" x14ac:dyDescent="0.3">
      <c r="A5896" s="1" t="str">
        <f>"07000936000"</f>
        <v>07000936000</v>
      </c>
      <c r="B5896" s="1" t="str">
        <f>"HOOD MARILYN G TOD"</f>
        <v>HOOD MARILYN G TOD</v>
      </c>
      <c r="C5896" s="1" t="str">
        <f>"3310 SOMERFORD RD MILLWOOD LOT 1 BLK 295"</f>
        <v>3310 SOMERFORD RD MILLWOOD LOT 1 BLK 295</v>
      </c>
      <c r="D5896" s="1">
        <v>4171.28</v>
      </c>
    </row>
    <row r="5897" spans="1:4" x14ac:dyDescent="0.3">
      <c r="A5897" s="1" t="str">
        <f>"01003420600"</f>
        <v>01003420600</v>
      </c>
      <c r="B5897" s="1" t="str">
        <f>"HOOPER BOBBY L"</f>
        <v>HOOPER BOBBY L</v>
      </c>
      <c r="C5897" s="1" t="str">
        <f>"204 COLUMBIAN AVE GLENWOOD HTS LOT 286-87-88-89"</f>
        <v>204 COLUMBIAN AVE GLENWOOD HTS LOT 286-87-88-89</v>
      </c>
      <c r="D5897" s="1">
        <v>511.51</v>
      </c>
    </row>
    <row r="5898" spans="1:4" x14ac:dyDescent="0.3">
      <c r="A5898" s="1" t="str">
        <f>"19000394200"</f>
        <v>19000394200</v>
      </c>
      <c r="B5898" s="1" t="str">
        <f>"HOOPER JODY W"</f>
        <v>HOOPER JODY W</v>
      </c>
      <c r="C5898" s="1" t="str">
        <f>"MECCA RD NORTHGLEN SUB LOT 182"</f>
        <v>MECCA RD NORTHGLEN SUB LOT 182</v>
      </c>
      <c r="D5898" s="1">
        <v>645.07000000000005</v>
      </c>
    </row>
    <row r="5899" spans="1:4" x14ac:dyDescent="0.3">
      <c r="A5899" s="1" t="str">
        <f>"01005811300"</f>
        <v>01005811300</v>
      </c>
      <c r="B5899" s="1" t="str">
        <f>"HOOSHIARNEJAD EBRAHIM"</f>
        <v>HOOSHIARNEJAD EBRAHIM</v>
      </c>
      <c r="C5899" s="1" t="str">
        <f>"446-48 KIAN AVE BRODBELTS LOT 25"</f>
        <v>446-48 KIAN AVE BRODBELTS LOT 25</v>
      </c>
      <c r="D5899" s="1">
        <v>877.4</v>
      </c>
    </row>
    <row r="5900" spans="1:4" x14ac:dyDescent="0.3">
      <c r="A5900" s="1" t="str">
        <f>"01005811200"</f>
        <v>01005811200</v>
      </c>
      <c r="B5900" s="1" t="str">
        <f>"HOOSHIARNEJAD EBRAHIM"</f>
        <v>HOOSHIARNEJAD EBRAHIM</v>
      </c>
      <c r="C5900" s="1" t="str">
        <f>"442-44 KIAN AVE BRODBELTS LOT 24"</f>
        <v>442-44 KIAN AVE BRODBELTS LOT 24</v>
      </c>
      <c r="D5900" s="1">
        <v>1235</v>
      </c>
    </row>
    <row r="5901" spans="1:4" x14ac:dyDescent="0.3">
      <c r="A5901" s="1" t="str">
        <f>"01005811400"</f>
        <v>01005811400</v>
      </c>
      <c r="B5901" s="1" t="str">
        <f>"HOOSHIARNEJAD EBRAHIM"</f>
        <v>HOOSHIARNEJAD EBRAHIM</v>
      </c>
      <c r="C5901" s="1" t="str">
        <f>"450-52 KIAN AVE BRODBELTS LOT 26"</f>
        <v>450-52 KIAN AVE BRODBELTS LOT 26</v>
      </c>
      <c r="D5901" s="1">
        <v>1545.34</v>
      </c>
    </row>
    <row r="5902" spans="1:4" x14ac:dyDescent="0.3">
      <c r="A5902" s="1" t="str">
        <f>"08001077600"</f>
        <v>08001077600</v>
      </c>
      <c r="B5902" s="1" t="str">
        <f>"HOOVER MEGAN, OSBORNE TYLER"</f>
        <v>HOOVER MEGAN, OSBORNE TYLER</v>
      </c>
      <c r="C5902" s="1" t="str">
        <f>"1049 E WALNUT ST R17 T2 1/4T1 PT LOT 7=2.413 ACRES"</f>
        <v>1049 E WALNUT ST R17 T2 1/4T1 PT LOT 7=2.413 ACRES</v>
      </c>
      <c r="D5902" s="1">
        <v>710.38</v>
      </c>
    </row>
    <row r="5903" spans="1:4" x14ac:dyDescent="0.3">
      <c r="A5903" s="1" t="str">
        <f>"59021848100"</f>
        <v>59021848100</v>
      </c>
      <c r="B5903" s="1" t="str">
        <f>"HOOVER TERRY L TR"</f>
        <v>HOOVER TERRY L TR</v>
      </c>
      <c r="C5903" s="1" t="str">
        <f>"HAYDEN FALLS CONDO 1 9TH AMENDMENT BLDG 21 UNIT 5732"</f>
        <v>HAYDEN FALLS CONDO 1 9TH AMENDMENT BLDG 21 UNIT 5732</v>
      </c>
      <c r="D5903" s="1">
        <v>7115.89</v>
      </c>
    </row>
    <row r="5904" spans="1:4" x14ac:dyDescent="0.3">
      <c r="A5904" s="1" t="str">
        <f>"01010929200"</f>
        <v>01010929200</v>
      </c>
      <c r="B5904" s="1" t="str">
        <f>"HOPKINS GLORIA F"</f>
        <v>HOPKINS GLORIA F</v>
      </c>
      <c r="C5904" s="1" t="str">
        <f>"ARLINGTON PARK TRACT 2 LOT 23"</f>
        <v>ARLINGTON PARK TRACT 2 LOT 23</v>
      </c>
      <c r="D5904" s="1">
        <v>106.64</v>
      </c>
    </row>
    <row r="5905" spans="1:4" x14ac:dyDescent="0.3">
      <c r="A5905" s="1" t="str">
        <f>"01012797000"</f>
        <v>01012797000</v>
      </c>
      <c r="B5905" s="1" t="str">
        <f>"HOPKINS KENT T"</f>
        <v>HOPKINS KENT T</v>
      </c>
      <c r="C5905" s="1" t="str">
        <f>"QUIGLEY RD BERWYN LOT 96"</f>
        <v>QUIGLEY RD BERWYN LOT 96</v>
      </c>
      <c r="D5905" s="1">
        <v>392.1</v>
      </c>
    </row>
    <row r="5906" spans="1:4" x14ac:dyDescent="0.3">
      <c r="A5906" s="1" t="str">
        <f>"01016102400"</f>
        <v>01016102400</v>
      </c>
      <c r="B5906" s="1" t="str">
        <f>"HOPKINS THERESA L"</f>
        <v>HOPKINS THERESA L</v>
      </c>
      <c r="C5906" s="1" t="str">
        <f>"WOODBROOK CR W WOODBROOK VILLAGE CONDOMINIUM UNIT 58"</f>
        <v>WOODBROOK CR W WOODBROOK VILLAGE CONDOMINIUM UNIT 58</v>
      </c>
      <c r="D5906" s="1">
        <v>62.94</v>
      </c>
    </row>
    <row r="5907" spans="1:4" x14ac:dyDescent="0.3">
      <c r="A5907" s="1" t="str">
        <f>"18500099300"</f>
        <v>18500099300</v>
      </c>
      <c r="B5907" s="1" t="str">
        <f>"HOPKINS TRACY J, STONE DARCY L"</f>
        <v>HOPKINS TRACY J, STONE DARCY L</v>
      </c>
      <c r="C5907" s="1" t="str">
        <f>"BENSON DR WESTPORT LOT 62 "</f>
        <v xml:space="preserve">BENSON DR WESTPORT LOT 62 </v>
      </c>
      <c r="D5907" s="1">
        <v>182.79</v>
      </c>
    </row>
    <row r="5908" spans="1:4" x14ac:dyDescent="0.3">
      <c r="A5908" s="1" t="str">
        <f>"01002823100"</f>
        <v>01002823100</v>
      </c>
      <c r="B5908" s="1" t="str">
        <f>"HOPPE BRIAN C"</f>
        <v>HOPPE BRIAN C</v>
      </c>
      <c r="C5908" s="1" t="str">
        <f>"432 W 2ND AVE             G W WAKEFIELD SUBD        LOT 5                    "</f>
        <v xml:space="preserve">432 W 2ND AVE             G W WAKEFIELD SUBD        LOT 5                    </v>
      </c>
      <c r="D5908" s="1">
        <v>339.23</v>
      </c>
    </row>
    <row r="5909" spans="1:4" x14ac:dyDescent="0.3">
      <c r="A5909" s="1" t="str">
        <f>"01016108500"</f>
        <v>01016108500</v>
      </c>
      <c r="B5909" s="1" t="str">
        <f>"HOPPER JASON R"</f>
        <v>HOPPER JASON R</v>
      </c>
      <c r="C5909" s="1" t="str">
        <f>"WOODBROOK CR N WOODBROOK VILLAGE CONDO UNIT 119"</f>
        <v>WOODBROOK CR N WOODBROOK VILLAGE CONDO UNIT 119</v>
      </c>
      <c r="D5909" s="1">
        <v>1528.71</v>
      </c>
    </row>
    <row r="5910" spans="1:4" x14ac:dyDescent="0.3">
      <c r="A5910" s="1" t="str">
        <f>"07001366400"</f>
        <v>07001366400</v>
      </c>
      <c r="B5910" s="1" t="str">
        <f>"HOPPER JOHN B, BISE HOPPER SHEILA D"</f>
        <v>HOPPER JOHN B, BISE HOPPER SHEILA D</v>
      </c>
      <c r="C5910" s="1" t="str">
        <f>"SHERWOOD VIL CON AM BLDG 4 UNIT 17 "</f>
        <v xml:space="preserve">SHERWOOD VIL CON AM BLDG 4 UNIT 17 </v>
      </c>
      <c r="D5910" s="1">
        <v>225.54</v>
      </c>
    </row>
    <row r="5911" spans="1:4" x14ac:dyDescent="0.3">
      <c r="A5911" s="1" t="str">
        <f>"04001535500"</f>
        <v>04001535500</v>
      </c>
      <c r="B5911" s="1" t="str">
        <f>"HORAK MATTHEW TTEE"</f>
        <v>HORAK MATTHEW TTEE</v>
      </c>
      <c r="C5911" s="1" t="str">
        <f>"CHESTNUT FARMS            CONDOMINIUM 3RD AMD       PHASE 4 UNIT 8-1629      "</f>
        <v xml:space="preserve">CHESTNUT FARMS            CONDOMINIUM 3RD AMD       PHASE 4 UNIT 8-1629      </v>
      </c>
      <c r="D5911" s="1">
        <v>2897.88</v>
      </c>
    </row>
    <row r="5912" spans="1:4" x14ac:dyDescent="0.3">
      <c r="A5912" s="1" t="str">
        <f>"03000172100"</f>
        <v>03000172100</v>
      </c>
      <c r="B5912" s="1" t="str">
        <f>"HORD JUDY A TR"</f>
        <v>HORD JUDY A TR</v>
      </c>
      <c r="C5912" s="1" t="str">
        <f>"1163 WILLIARD AVE NORTHWEST BLVD 3 LOT 199"</f>
        <v>1163 WILLIARD AVE NORTHWEST BLVD 3 LOT 199</v>
      </c>
      <c r="D5912" s="1">
        <v>482.59</v>
      </c>
    </row>
    <row r="5913" spans="1:4" x14ac:dyDescent="0.3">
      <c r="A5913" s="1" t="str">
        <f>"01004944100"</f>
        <v>01004944100</v>
      </c>
      <c r="B5913" s="1" t="str">
        <f>"HORINEK MAEGAN E, WHALEN MATTHEW R"</f>
        <v>HORINEK MAEGAN E, WHALEN MATTHEW R</v>
      </c>
      <c r="C5913" s="1" t="str">
        <f>"1688 W 3RD AVE URLINS GRANDVIEW HTS LOT 217-8"</f>
        <v>1688 W 3RD AVE URLINS GRANDVIEW HTS LOT 217-8</v>
      </c>
      <c r="D5913" s="1">
        <v>258.74</v>
      </c>
    </row>
    <row r="5914" spans="1:4" x14ac:dyDescent="0.3">
      <c r="A5914" s="1" t="str">
        <f>"01000759500"</f>
        <v>01000759500</v>
      </c>
      <c r="B5914" s="1" t="str">
        <f>"HORIZON CREST LLC"</f>
        <v>HORIZON CREST LLC</v>
      </c>
      <c r="C5914" s="1" t="str">
        <f>"904-6-8-10-12-14-916 LIVINGSTON AVE ANDREWS AMD L85-6-7"</f>
        <v>904-6-8-10-12-14-916 LIVINGSTON AVE ANDREWS AMD L85-6-7</v>
      </c>
      <c r="D5914" s="1">
        <v>4741.75</v>
      </c>
    </row>
    <row r="5915" spans="1:4" x14ac:dyDescent="0.3">
      <c r="A5915" s="1" t="str">
        <f>"44534588900"</f>
        <v>44534588900</v>
      </c>
      <c r="B5915" s="1" t="str">
        <f>"HORIZON SCIENCE ACADEMY ELEMENTARY SCHOOL INC"</f>
        <v>HORIZON SCIENCE ACADEMY ELEMENTARY SCHOOL INC</v>
      </c>
      <c r="C5915" s="1" t="str">
        <f>"2845 MORSE RD R17 T1 1/4T2 0.321 ACRE"</f>
        <v>2845 MORSE RD R17 T1 1/4T2 0.321 ACRE</v>
      </c>
      <c r="D5915" s="1">
        <v>3928.89</v>
      </c>
    </row>
    <row r="5916" spans="1:4" x14ac:dyDescent="0.3">
      <c r="A5916" s="1" t="str">
        <f>"01004548100"</f>
        <v>01004548100</v>
      </c>
      <c r="B5916" s="1" t="str">
        <f>"HORN BRIAN JAMES, HORN MARTHA LUANNE"</f>
        <v>HORN BRIAN JAMES, HORN MARTHA LUANNE</v>
      </c>
      <c r="C5916" s="1" t="str">
        <f>"492 RYAN AVE M L SULLIVANT 35' X 109.05 LOT 33"</f>
        <v>492 RYAN AVE M L SULLIVANT 35' X 109.05 LOT 33</v>
      </c>
      <c r="D5916" s="1">
        <v>1780.12</v>
      </c>
    </row>
    <row r="5917" spans="1:4" x14ac:dyDescent="0.3">
      <c r="A5917" s="1" t="str">
        <f>"56016243800"</f>
        <v>56016243800</v>
      </c>
      <c r="B5917" s="1" t="str">
        <f>"HORN DANNY"</f>
        <v>HORN DANNY</v>
      </c>
      <c r="C5917" s="1" t="str">
        <f>"SCIOTO DARBY CK RD 1.238 ACRES ENTRY 547"</f>
        <v>SCIOTO DARBY CK RD 1.238 ACRES ENTRY 547</v>
      </c>
      <c r="D5917" s="1">
        <v>3295.47</v>
      </c>
    </row>
    <row r="5918" spans="1:4" x14ac:dyDescent="0.3">
      <c r="A5918" s="1" t="str">
        <f>"27300196500"</f>
        <v>27300196500</v>
      </c>
      <c r="B5918" s="1" t="str">
        <f>"HORN KARLA W"</f>
        <v>HORN KARLA W</v>
      </c>
      <c r="C5918" s="1" t="str">
        <f>"5767 LOCH MAREE CT MUIRFIELD VIL 4 PT 3 LOT 924"</f>
        <v>5767 LOCH MAREE CT MUIRFIELD VIL 4 PT 3 LOT 924</v>
      </c>
      <c r="D5918" s="1">
        <v>401.39</v>
      </c>
    </row>
    <row r="5919" spans="1:4" x14ac:dyDescent="0.3">
      <c r="A5919" s="1" t="str">
        <f>"07000638900"</f>
        <v>07000638900</v>
      </c>
      <c r="B5919" s="1" t="str">
        <f>"HORN SUNDAE R, GRIMES DANA R"</f>
        <v>HORN SUNDAE R, GRIMES DANA R</v>
      </c>
      <c r="C5919" s="1" t="str">
        <f>"SHREWSBURY RD RIVER RIDGE 10 BLK 16"</f>
        <v>SHREWSBURY RD RIVER RIDGE 10 BLK 16</v>
      </c>
      <c r="D5919" s="1">
        <v>387.73</v>
      </c>
    </row>
    <row r="5920" spans="1:4" x14ac:dyDescent="0.3">
      <c r="A5920" s="1" t="str">
        <f>"09000108800"</f>
        <v>09000108800</v>
      </c>
      <c r="B5920" s="1" t="str">
        <f>"HORNBERGER PHILLIP D"</f>
        <v>HORNBERGER PHILLIP D</v>
      </c>
      <c r="C5920" s="1" t="str">
        <f>"4607 SAN JOSE LANE NORTON FIELD PLAT 1 LOT 238"</f>
        <v>4607 SAN JOSE LANE NORTON FIELD PLAT 1 LOT 238</v>
      </c>
      <c r="D5920" s="1">
        <v>2722.54</v>
      </c>
    </row>
    <row r="5921" spans="1:4" x14ac:dyDescent="0.3">
      <c r="A5921" s="1" t="str">
        <f>"01000963100"</f>
        <v>01000963100</v>
      </c>
      <c r="B5921" s="1" t="str">
        <f>"HORNE TERESA K"</f>
        <v>HORNE TERESA K</v>
      </c>
      <c r="C5921" s="1" t="str">
        <f>"53 N YALE AVE FRANKLIN 2ND LOT 66"</f>
        <v>53 N YALE AVE FRANKLIN 2ND LOT 66</v>
      </c>
      <c r="D5921" s="1">
        <v>99.1</v>
      </c>
    </row>
    <row r="5922" spans="1:4" x14ac:dyDescent="0.3">
      <c r="A5922" s="1" t="str">
        <f>"01003121700"</f>
        <v>01003121700</v>
      </c>
      <c r="B5922" s="1" t="str">
        <f>"HORTON LUSHONNA R"</f>
        <v>HORTON LUSHONNA R</v>
      </c>
      <c r="C5922" s="1" t="str">
        <f>"587 E STARR AVE HIGHLAND LOT 86"</f>
        <v>587 E STARR AVE HIGHLAND LOT 86</v>
      </c>
      <c r="D5922" s="1">
        <v>126.84</v>
      </c>
    </row>
    <row r="5923" spans="1:4" x14ac:dyDescent="0.3">
      <c r="A5923" s="1" t="str">
        <f>"15200008700"</f>
        <v>15200008700</v>
      </c>
      <c r="B5923" s="1" t="str">
        <f>"HOSKINSON NANCY, BANKS MARIE E"</f>
        <v>HOSKINSON NANCY, BANKS MARIE E</v>
      </c>
      <c r="C5923" s="1" t="str">
        <f>"1829 ARCADIA AVE COLUMBUS TERRACE LOTS 551-552"</f>
        <v>1829 ARCADIA AVE COLUMBUS TERRACE LOTS 551-552</v>
      </c>
      <c r="D5923" s="1">
        <v>1896.48</v>
      </c>
    </row>
    <row r="5924" spans="1:4" x14ac:dyDescent="0.3">
      <c r="A5924" s="1" t="str">
        <f>"15200008900"</f>
        <v>15200008900</v>
      </c>
      <c r="B5924" s="1" t="str">
        <f>"HOSKINSON NANCY, BANKS MARIE E"</f>
        <v>HOSKINSON NANCY, BANKS MARIE E</v>
      </c>
      <c r="C5924" s="1" t="str">
        <f>"1829 ARCADIA AVE COLUMBUS TERRACE 553"</f>
        <v>1829 ARCADIA AVE COLUMBUS TERRACE 553</v>
      </c>
      <c r="D5924" s="1">
        <v>226.64</v>
      </c>
    </row>
    <row r="5925" spans="1:4" x14ac:dyDescent="0.3">
      <c r="A5925" s="1" t="str">
        <f>"01014286900"</f>
        <v>01014286900</v>
      </c>
      <c r="B5925" s="1" t="str">
        <f>"HOSLER ROBERT TR, HOSLER JAMES TR, HARRIS AMY TR"</f>
        <v>HOSLER ROBERT TR, HOSLER JAMES TR, HARRIS AMY TR</v>
      </c>
      <c r="C5925" s="1" t="str">
        <f>"SOUTHERN PINES SEC 5 LOT 402 "</f>
        <v xml:space="preserve">SOUTHERN PINES SEC 5 LOT 402 </v>
      </c>
      <c r="D5925" s="1">
        <v>1569.46</v>
      </c>
    </row>
    <row r="5926" spans="1:4" x14ac:dyDescent="0.3">
      <c r="A5926" s="1" t="str">
        <f>"60018550100"</f>
        <v>60018550100</v>
      </c>
      <c r="B5926" s="1" t="str">
        <f>"HOST CYNTHIA S"</f>
        <v>HOST CYNTHIA S</v>
      </c>
      <c r="C5926" s="1" t="str">
        <f>"CANON RIDGE PL CANONGATE SECTION 1 LOT 21"</f>
        <v>CANON RIDGE PL CANONGATE SECTION 1 LOT 21</v>
      </c>
      <c r="D5926" s="1">
        <v>122.56</v>
      </c>
    </row>
    <row r="5927" spans="1:4" x14ac:dyDescent="0.3">
      <c r="A5927" s="1" t="str">
        <f>"01002455100"</f>
        <v>01002455100</v>
      </c>
      <c r="B5927" s="1" t="str">
        <f>"HOSTERMAN JEFFREY W"</f>
        <v>HOSTERMAN JEFFREY W</v>
      </c>
      <c r="C5927" s="1" t="str">
        <f>"1323-5 N 5TH ST NEW INDIANOLA LOT 176"</f>
        <v>1323-5 N 5TH ST NEW INDIANOLA LOT 176</v>
      </c>
      <c r="D5927" s="1">
        <v>5519.29</v>
      </c>
    </row>
    <row r="5928" spans="1:4" x14ac:dyDescent="0.3">
      <c r="A5928" s="1" t="str">
        <f>"01001800200"</f>
        <v>01001800200</v>
      </c>
      <c r="B5928" s="1" t="str">
        <f>"HOSTERMAN JEFFREY W"</f>
        <v>HOSTERMAN JEFFREY W</v>
      </c>
      <c r="C5928" s="1" t="str">
        <f>"135-137 E 4TH AVE         44.60 FT MID PT           COLLINS ET AL            "</f>
        <v xml:space="preserve">135-137 E 4TH AVE         44.60 FT MID PT           COLLINS ET AL            </v>
      </c>
      <c r="D5928" s="1">
        <v>7512.44</v>
      </c>
    </row>
    <row r="5929" spans="1:4" x14ac:dyDescent="0.3">
      <c r="A5929" s="1" t="str">
        <f>"61020621100"</f>
        <v>61020621100</v>
      </c>
      <c r="B5929" s="1" t="str">
        <f>"HOSTON CONSTRUCTION LLC"</f>
        <v>HOSTON CONSTRUCTION LLC</v>
      </c>
      <c r="C5929" s="1" t="str">
        <f>"WORTHINGTON HEIGHTS CONDO 3RD AMD UNIT 228"</f>
        <v>WORTHINGTON HEIGHTS CONDO 3RD AMD UNIT 228</v>
      </c>
      <c r="D5929" s="1">
        <v>2688.8</v>
      </c>
    </row>
    <row r="5930" spans="1:4" x14ac:dyDescent="0.3">
      <c r="A5930" s="1" t="str">
        <f>"01006379800"</f>
        <v>01006379800</v>
      </c>
      <c r="B5930" s="1" t="str">
        <f>"HOTDOG BOY LLC"</f>
        <v>HOTDOG BOY LLC</v>
      </c>
      <c r="C5930" s="1" t="str">
        <f>"1792-94 5TH AVE W SUMMIT PLAIN ALL LOT 251-3"</f>
        <v>1792-94 5TH AVE W SUMMIT PLAIN ALL LOT 251-3</v>
      </c>
      <c r="D5930" s="1">
        <v>3782.64</v>
      </c>
    </row>
    <row r="5931" spans="1:4" x14ac:dyDescent="0.3">
      <c r="A5931" s="1" t="str">
        <f>"01007318800"</f>
        <v>01007318800</v>
      </c>
      <c r="B5931" s="1" t="str">
        <f>"HOUSE HUNTER PREMIER LLC"</f>
        <v>HOUSE HUNTER PREMIER LLC</v>
      </c>
      <c r="C5931" s="1" t="str">
        <f>"20THAVE 1069 RICHMOND LOT 103"</f>
        <v>20THAVE 1069 RICHMOND LOT 103</v>
      </c>
      <c r="D5931" s="1">
        <v>2632.57</v>
      </c>
    </row>
    <row r="5932" spans="1:4" x14ac:dyDescent="0.3">
      <c r="A5932" s="1" t="str">
        <f>"01009907200"</f>
        <v>01009907200</v>
      </c>
      <c r="B5932" s="1" t="str">
        <f>"HOUSE HUNTER PREMIER LLC"</f>
        <v>HOUSE HUNTER PREMIER LLC</v>
      </c>
      <c r="C5932" s="1" t="str">
        <f>"DUXBERRY AVE ALL 164 &amp;5FT WS LOT 163 NORLEA PK LT 163-164"</f>
        <v>DUXBERRY AVE ALL 164 &amp;5FT WS LOT 163 NORLEA PK LT 163-164</v>
      </c>
      <c r="D5932" s="1">
        <v>1744.95</v>
      </c>
    </row>
    <row r="5933" spans="1:4" x14ac:dyDescent="0.3">
      <c r="A5933" s="1" t="str">
        <f>"01009895000"</f>
        <v>01009895000</v>
      </c>
      <c r="B5933" s="1" t="str">
        <f>"HOUSE HUNTER PREMIER LLC"</f>
        <v>HOUSE HUNTER PREMIER LLC</v>
      </c>
      <c r="C5933" s="1" t="str">
        <f>"CORDELL AVE NORLEA PARK LOT 41-42-43"</f>
        <v>CORDELL AVE NORLEA PARK LOT 41-42-43</v>
      </c>
      <c r="D5933" s="1">
        <v>1104.3699999999999</v>
      </c>
    </row>
    <row r="5934" spans="1:4" x14ac:dyDescent="0.3">
      <c r="A5934" s="1" t="str">
        <f>"01006839300"</f>
        <v>01006839300</v>
      </c>
      <c r="B5934" s="1" t="str">
        <f>"HOUSE TO HOME 614 LLC"</f>
        <v>HOUSE TO HOME 614 LLC</v>
      </c>
      <c r="C5934" s="1" t="str">
        <f>"WARREN AVE 34FT NS WILSHIRE HTS LOT 7 BLK 4"</f>
        <v>WARREN AVE 34FT NS WILSHIRE HTS LOT 7 BLK 4</v>
      </c>
      <c r="D5934" s="1">
        <v>913.23</v>
      </c>
    </row>
    <row r="5935" spans="1:4" x14ac:dyDescent="0.3">
      <c r="A5935" s="1" t="str">
        <f>"27300913200"</f>
        <v>27300913200</v>
      </c>
      <c r="B5935" s="1" t="str">
        <f>"HOUSE TO HOME 614 LLC"</f>
        <v>HOUSE TO HOME 614 LLC</v>
      </c>
      <c r="C5935" s="1" t="str">
        <f>"SUMMITVIEW ROAD LOT A 1.187 ACRES"</f>
        <v>SUMMITVIEW ROAD LOT A 1.187 ACRES</v>
      </c>
      <c r="D5935" s="1">
        <v>3418.1</v>
      </c>
    </row>
    <row r="5936" spans="1:4" x14ac:dyDescent="0.3">
      <c r="A5936" s="1" t="str">
        <f>"01005816200"</f>
        <v>01005816200</v>
      </c>
      <c r="B5936" s="1" t="str">
        <f>"HOUSEHOLDER JOHN R"</f>
        <v>HOUSEHOLDER JOHN R</v>
      </c>
      <c r="C5936" s="1" t="str">
        <f>"431-433 E MOUND ST WA MCCOY LOT 5 W1/2"</f>
        <v>431-433 E MOUND ST WA MCCOY LOT 5 W1/2</v>
      </c>
      <c r="D5936" s="1">
        <v>784.68</v>
      </c>
    </row>
    <row r="5937" spans="1:4" x14ac:dyDescent="0.3">
      <c r="A5937" s="1" t="str">
        <f>"27300548900"</f>
        <v>27300548900</v>
      </c>
      <c r="B5937" s="1" t="str">
        <f>"HOUSEMAN KELSY, HOUSEMAN CODY"</f>
        <v>HOUSEMAN KELSY, HOUSEMAN CODY</v>
      </c>
      <c r="C5937" s="1" t="str">
        <f>"CHATELAINE DRIVE COVENTRY WOODS SEC 2 LOT 72"</f>
        <v>CHATELAINE DRIVE COVENTRY WOODS SEC 2 LOT 72</v>
      </c>
      <c r="D5937" s="1">
        <v>477.03</v>
      </c>
    </row>
    <row r="5938" spans="1:4" x14ac:dyDescent="0.3">
      <c r="A5938" s="1" t="str">
        <f>"01013626000"</f>
        <v>01013626000</v>
      </c>
      <c r="B5938" s="1" t="str">
        <f>"HOUSTON JOYCE"</f>
        <v>HOUSTON JOYCE</v>
      </c>
      <c r="C5938" s="1" t="str">
        <f>"LINDORA PL WALNUT BLUFF 2 LOT 761"</f>
        <v>LINDORA PL WALNUT BLUFF 2 LOT 761</v>
      </c>
      <c r="D5938" s="1">
        <v>1273.1600000000001</v>
      </c>
    </row>
    <row r="5939" spans="1:4" x14ac:dyDescent="0.3">
      <c r="A5939" s="1" t="str">
        <f>"57016981400"</f>
        <v>57016981400</v>
      </c>
      <c r="B5939" s="1" t="str">
        <f>"HOWARD CHRISTOPHER E"</f>
        <v>HOWARD CHRISTOPHER E</v>
      </c>
      <c r="C5939" s="1" t="str">
        <f>"WESTBURY VILLAGE CONDOMINIUM 4 UNIT 6-A"</f>
        <v>WESTBURY VILLAGE CONDOMINIUM 4 UNIT 6-A</v>
      </c>
      <c r="D5939" s="1">
        <v>2007.87</v>
      </c>
    </row>
    <row r="5940" spans="1:4" x14ac:dyDescent="0.3">
      <c r="A5940" s="1" t="str">
        <f>"01015429500"</f>
        <v>01015429500</v>
      </c>
      <c r="B5940" s="1" t="str">
        <f>"HOWARD JOHN J II"</f>
        <v>HOWARD JOHN J II</v>
      </c>
      <c r="C5940" s="1" t="str">
        <f>"RED FERN DR LAKEWOOD PARK SEC 1 LOT 47"</f>
        <v>RED FERN DR LAKEWOOD PARK SEC 1 LOT 47</v>
      </c>
      <c r="D5940" s="1">
        <v>240.42</v>
      </c>
    </row>
    <row r="5941" spans="1:4" x14ac:dyDescent="0.3">
      <c r="A5941" s="1" t="str">
        <f>"18000063600"</f>
        <v>18000063600</v>
      </c>
      <c r="B5941" s="1" t="str">
        <f>"HOWARD KENNETH"</f>
        <v>HOWARD KENNETH</v>
      </c>
      <c r="C5941" s="1" t="str">
        <f>"PONTIUS RD OH &amp; ERIE LEASE 916 .42 ACRE ENTRY 1957"</f>
        <v>PONTIUS RD OH &amp; ERIE LEASE 916 .42 ACRE ENTRY 1957</v>
      </c>
      <c r="D5941" s="1">
        <v>3911.18</v>
      </c>
    </row>
    <row r="5942" spans="1:4" x14ac:dyDescent="0.3">
      <c r="A5942" s="1" t="str">
        <f>"14000745500"</f>
        <v>14000745500</v>
      </c>
      <c r="B5942" s="1" t="str">
        <f>"HOWARD KERI L"</f>
        <v>HOWARD KERI L</v>
      </c>
      <c r="C5942" s="1" t="str">
        <f>"ALKIRE RD ENTRY 1389 0.443 ACRE"</f>
        <v>ALKIRE RD ENTRY 1389 0.443 ACRE</v>
      </c>
      <c r="D5942" s="1">
        <v>2200.34</v>
      </c>
    </row>
    <row r="5943" spans="1:4" x14ac:dyDescent="0.3">
      <c r="A5943" s="1" t="str">
        <f>"57017774200"</f>
        <v>57017774200</v>
      </c>
      <c r="B5943" s="1" t="str">
        <f>"HOWARD KERNNIE M, HOWARD PATRICIA A"</f>
        <v>HOWARD KERNNIE M, HOWARD PATRICIA A</v>
      </c>
      <c r="C5943" s="1" t="str">
        <f>"CORRAL GATE CT GREENE COUNTRIE SEC3 PH1 LOT 229"</f>
        <v>CORRAL GATE CT GREENE COUNTRIE SEC3 PH1 LOT 229</v>
      </c>
      <c r="D5943" s="1">
        <v>831.48</v>
      </c>
    </row>
    <row r="5944" spans="1:4" x14ac:dyDescent="0.3">
      <c r="A5944" s="1" t="str">
        <f>"57021914700"</f>
        <v>57021914700</v>
      </c>
      <c r="B5944" s="1" t="str">
        <f>"HOWARD NADEANE"</f>
        <v>HOWARD NADEANE</v>
      </c>
      <c r="C5944" s="1" t="str">
        <f>"COLLET COURT SCIOTO WOODS SEC 3 LOT 155"</f>
        <v>COLLET COURT SCIOTO WOODS SEC 3 LOT 155</v>
      </c>
      <c r="D5944" s="1">
        <v>2946.46</v>
      </c>
    </row>
    <row r="5945" spans="1:4" x14ac:dyDescent="0.3">
      <c r="A5945" s="1" t="str">
        <f>"01012198400"</f>
        <v>01012198400</v>
      </c>
      <c r="B5945" s="1" t="str">
        <f>"HOWARD SHARON E AFDT"</f>
        <v>HOWARD SHARON E AFDT</v>
      </c>
      <c r="C5945" s="1" t="str">
        <f>"CLARENDON AVE 981 RAINBOW LOT 282"</f>
        <v>CLARENDON AVE 981 RAINBOW LOT 282</v>
      </c>
      <c r="D5945" s="1">
        <v>48.11</v>
      </c>
    </row>
    <row r="5946" spans="1:4" x14ac:dyDescent="0.3">
      <c r="A5946" s="1" t="str">
        <f>"11000538800"</f>
        <v>11000538800</v>
      </c>
      <c r="B5946" s="1" t="str">
        <f>"HOWARD TIMOTHY, SAKURAI SACHIE"</f>
        <v>HOWARD TIMOTHY, SAKURAI SACHIE</v>
      </c>
      <c r="C5946" s="1" t="str">
        <f>"GOLDFINCH DRIVE SUNBURY WOODS LOT 146"</f>
        <v>GOLDFINCH DRIVE SUNBURY WOODS LOT 146</v>
      </c>
      <c r="D5946" s="1">
        <v>3117.44</v>
      </c>
    </row>
    <row r="5947" spans="1:4" x14ac:dyDescent="0.3">
      <c r="A5947" s="1" t="str">
        <f>"61022604700"</f>
        <v>61022604700</v>
      </c>
      <c r="B5947" s="1" t="str">
        <f>"HOWBERT MARIE EVA"</f>
        <v>HOWBERT MARIE EVA</v>
      </c>
      <c r="C5947" s="1" t="str">
        <f>"WORTHINGTON PARK PLACE SECTION 2 LOT 49"</f>
        <v>WORTHINGTON PARK PLACE SECTION 2 LOT 49</v>
      </c>
      <c r="D5947" s="1">
        <v>410.01</v>
      </c>
    </row>
    <row r="5948" spans="1:4" x14ac:dyDescent="0.3">
      <c r="A5948" s="1" t="str">
        <f>"01010188100"</f>
        <v>01010188100</v>
      </c>
      <c r="B5948" s="1" t="str">
        <f>"HOWELL BARBARA J"</f>
        <v>HOWELL BARBARA J</v>
      </c>
      <c r="C5948" s="1" t="str">
        <f>"MIRIAM SUB 3 LOT 2 BLK 1 "</f>
        <v xml:space="preserve">MIRIAM SUB 3 LOT 2 BLK 1 </v>
      </c>
      <c r="D5948" s="1">
        <v>2185.9499999999998</v>
      </c>
    </row>
    <row r="5949" spans="1:4" x14ac:dyDescent="0.3">
      <c r="A5949" s="1" t="str">
        <f>"15000112600"</f>
        <v>15000112600</v>
      </c>
      <c r="B5949" s="1" t="str">
        <f>"HOWELL JOHNNIE R"</f>
        <v>HOWELL JOHNNIE R</v>
      </c>
      <c r="C5949" s="1" t="str">
        <f>"RR LOCKBOURNE RD .316 ACRE R22 T4 S15"</f>
        <v>RR LOCKBOURNE RD .316 ACRE R22 T4 S15</v>
      </c>
      <c r="D5949" s="1">
        <v>27.49</v>
      </c>
    </row>
    <row r="5950" spans="1:4" x14ac:dyDescent="0.3">
      <c r="A5950" s="1" t="str">
        <f>"15000158000"</f>
        <v>15000158000</v>
      </c>
      <c r="B5950" s="1" t="str">
        <f>"HOWELL JOHNNIE R"</f>
        <v>HOWELL JOHNNIE R</v>
      </c>
      <c r="C5950" s="1" t="str">
        <f>"1063 MEADOW LN .3159 ACRE R22 T4 S15"</f>
        <v>1063 MEADOW LN .3159 ACRE R22 T4 S15</v>
      </c>
      <c r="D5950" s="1">
        <v>124.81</v>
      </c>
    </row>
    <row r="5951" spans="1:4" x14ac:dyDescent="0.3">
      <c r="A5951" s="1" t="str">
        <f>"03000291900"</f>
        <v>03000291900</v>
      </c>
      <c r="B5951" s="1" t="str">
        <f>"HOWELL KENNETH, HOWELL CYNTHIA F"</f>
        <v>HOWELL KENNETH, HOWELL CYNTHIA F</v>
      </c>
      <c r="C5951" s="1" t="str">
        <f>"JAMESTOWN OF GRANDVIEW CONDOMINIUM UNIT 7-1373 B"</f>
        <v>JAMESTOWN OF GRANDVIEW CONDOMINIUM UNIT 7-1373 B</v>
      </c>
      <c r="D5951" s="1">
        <v>4956.1099999999997</v>
      </c>
    </row>
    <row r="5952" spans="1:4" x14ac:dyDescent="0.3">
      <c r="A5952" s="1" t="str">
        <f>"15000043200"</f>
        <v>15000043200</v>
      </c>
      <c r="B5952" s="1" t="str">
        <f>"HOWELL MARK F, HOWELL JOHNNIE R"</f>
        <v>HOWELL MARK F, HOWELL JOHNNIE R</v>
      </c>
      <c r="C5952" s="1" t="str">
        <f>"MEADOW RD R22 T4 S15 .3159 ACRE"</f>
        <v>MEADOW RD R22 T4 S15 .3159 ACRE</v>
      </c>
      <c r="D5952" s="1">
        <v>577.30999999999995</v>
      </c>
    </row>
    <row r="5953" spans="1:4" x14ac:dyDescent="0.3">
      <c r="A5953" s="1" t="str">
        <f>"01007521100"</f>
        <v>01007521100</v>
      </c>
      <c r="B5953" s="1" t="str">
        <f>"HOWELL MELINDA"</f>
        <v>HOWELL MELINDA</v>
      </c>
      <c r="C5953" s="1" t="str">
        <f>"HOWEY AVE40FT.N.S. GRASMERE GARDENS LOT 448"</f>
        <v>HOWEY AVE40FT.N.S. GRASMERE GARDENS LOT 448</v>
      </c>
      <c r="D5953" s="1">
        <v>173.21</v>
      </c>
    </row>
    <row r="5954" spans="1:4" x14ac:dyDescent="0.3">
      <c r="A5954" s="1" t="str">
        <f>"01012507700"</f>
        <v>01012507700</v>
      </c>
      <c r="B5954" s="1" t="str">
        <f>"HOWELL VICKI L"</f>
        <v>HOWELL VICKI L</v>
      </c>
      <c r="C5954" s="1" t="str">
        <f>"POLING DR MOORES &amp; DALES 4 LOT 11"</f>
        <v>POLING DR MOORES &amp; DALES 4 LOT 11</v>
      </c>
      <c r="D5954" s="1">
        <v>2067.7399999999998</v>
      </c>
    </row>
    <row r="5955" spans="1:4" x14ac:dyDescent="0.3">
      <c r="A5955" s="1" t="str">
        <f>"08000457600"</f>
        <v>08000457600</v>
      </c>
      <c r="B5955" s="1" t="str">
        <f>"HOWELL WALTER R TR, HOWELL NORMA J TR"</f>
        <v>HOWELL WALTER R TR, HOWELL NORMA J TR</v>
      </c>
      <c r="C5955" s="1" t="str">
        <f>"KIENLE AV LAKELAND SUB DIVISION 4 LOT 192"</f>
        <v>KIENLE AV LAKELAND SUB DIVISION 4 LOT 192</v>
      </c>
      <c r="D5955" s="1">
        <v>3271.49</v>
      </c>
    </row>
    <row r="5956" spans="1:4" x14ac:dyDescent="0.3">
      <c r="A5956" s="1" t="str">
        <f>"19000271300"</f>
        <v>19000271300</v>
      </c>
      <c r="B5956" s="1" t="str">
        <f>"HOWHOWLE LLC"</f>
        <v>HOWHOWLE LLC</v>
      </c>
      <c r="C5956" s="1" t="str">
        <f>"2970 PERDUE AVE BUR-LEA ADDN LTS188-189&amp;PT VAC AL"</f>
        <v>2970 PERDUE AVE BUR-LEA ADDN LTS188-189&amp;PT VAC AL</v>
      </c>
      <c r="D5956" s="1">
        <v>1550.05</v>
      </c>
    </row>
    <row r="5957" spans="1:4" x14ac:dyDescent="0.3">
      <c r="A5957" s="1" t="str">
        <f>"05000627100"</f>
        <v>05000627100</v>
      </c>
      <c r="B5957" s="1" t="str">
        <f>"HOWISON WILLIAM M, HOWISON TERI S"</f>
        <v>HOWISON WILLIAM M, HOWISON TERI S</v>
      </c>
      <c r="C5957" s="1" t="str">
        <f>"SWENSON STREET DARBY GLEN SECTION 1 LOT 74"</f>
        <v>SWENSON STREET DARBY GLEN SECTION 1 LOT 74</v>
      </c>
      <c r="D5957" s="1">
        <v>44</v>
      </c>
    </row>
    <row r="5958" spans="1:4" x14ac:dyDescent="0.3">
      <c r="A5958" s="1" t="str">
        <f>"06000582700"</f>
        <v>06000582700</v>
      </c>
      <c r="B5958" s="1" t="str">
        <f>"HOWZE OSITELU TIANA ADAIR"</f>
        <v>HOWZE OSITELU TIANA ADAIR</v>
      </c>
      <c r="C5958" s="1" t="str">
        <f>"LYNBRIDGE DRIVE EASTSHIRE LOT 168"</f>
        <v>LYNBRIDGE DRIVE EASTSHIRE LOT 168</v>
      </c>
      <c r="D5958" s="1">
        <v>6120.09</v>
      </c>
    </row>
    <row r="5959" spans="1:4" x14ac:dyDescent="0.3">
      <c r="A5959" s="1" t="str">
        <f>"01000852400"</f>
        <v>01000852400</v>
      </c>
      <c r="B5959" s="1" t="str">
        <f>"HOY KAREN M TTEE"</f>
        <v>HOY KAREN M TTEE</v>
      </c>
      <c r="C5959" s="1" t="str">
        <f>"300 WALHALLA ROAD WALHALLA PK PLACE LOT 91"</f>
        <v>300 WALHALLA ROAD WALHALLA PK PLACE LOT 91</v>
      </c>
      <c r="D5959" s="1">
        <v>368.14</v>
      </c>
    </row>
    <row r="5960" spans="1:4" x14ac:dyDescent="0.3">
      <c r="A5960" s="1" t="str">
        <f>"01014084100"</f>
        <v>01014084100</v>
      </c>
      <c r="B5960" s="1" t="str">
        <f>"HOYLE REED, HOYLE CLARISSA"</f>
        <v>HOYLE REED, HOYLE CLARISSA</v>
      </c>
      <c r="C5960" s="1" t="str">
        <f>"HAVILAND 4 LOT 217 "</f>
        <v xml:space="preserve">HAVILAND 4 LOT 217 </v>
      </c>
      <c r="D5960" s="1">
        <v>1100.8800000000001</v>
      </c>
    </row>
    <row r="5961" spans="1:4" x14ac:dyDescent="0.3">
      <c r="A5961" s="1" t="str">
        <f>"01005127000"</f>
        <v>01005127000</v>
      </c>
      <c r="B5961" s="1" t="str">
        <f>"HOYOS ZAPATA JUAN"</f>
        <v>HOYOS ZAPATA JUAN</v>
      </c>
      <c r="C5961" s="1" t="str">
        <f>"434 S TERRACE AVE BRONX LOT 283"</f>
        <v>434 S TERRACE AVE BRONX LOT 283</v>
      </c>
      <c r="D5961" s="1">
        <v>1737.45</v>
      </c>
    </row>
    <row r="5962" spans="1:4" x14ac:dyDescent="0.3">
      <c r="A5962" s="1" t="str">
        <f>"01007076400"</f>
        <v>01007076400</v>
      </c>
      <c r="B5962" s="1" t="str">
        <f>"HOYT JACK J"</f>
        <v>HOYT JACK J</v>
      </c>
      <c r="C5962" s="1" t="str">
        <f>"PONTIAC ST ALMADA LOT 282"</f>
        <v>PONTIAC ST ALMADA LOT 282</v>
      </c>
      <c r="D5962" s="1">
        <v>871.55</v>
      </c>
    </row>
    <row r="5963" spans="1:4" x14ac:dyDescent="0.3">
      <c r="A5963" s="1" t="str">
        <f>"01015944400"</f>
        <v>01015944400</v>
      </c>
      <c r="B5963" s="1" t="str">
        <f>"HRABCAK GREGORY J, HRABCAK DONNA M"</f>
        <v>HRABCAK GREGORY J, HRABCAK DONNA M</v>
      </c>
      <c r="C5963" s="1" t="str">
        <f>"SHARON WOODS SEC 8 HILLANDALE AV LOT 808"</f>
        <v>SHARON WOODS SEC 8 HILLANDALE AV LOT 808</v>
      </c>
      <c r="D5963" s="1">
        <v>9.9</v>
      </c>
    </row>
    <row r="5964" spans="1:4" x14ac:dyDescent="0.3">
      <c r="A5964" s="1" t="str">
        <f>"01003441000"</f>
        <v>01003441000</v>
      </c>
      <c r="B5964" s="1" t="str">
        <f>"HRDLICKA DAVID J"</f>
        <v>HRDLICKA DAVID J</v>
      </c>
      <c r="C5964" s="1" t="str">
        <f>"1080 LEONA AVE S A SHOEMAKER HRS LOT 22"</f>
        <v>1080 LEONA AVE S A SHOEMAKER HRS LOT 22</v>
      </c>
      <c r="D5964" s="1">
        <v>76.709999999999994</v>
      </c>
    </row>
    <row r="5965" spans="1:4" x14ac:dyDescent="0.3">
      <c r="A5965" s="1" t="str">
        <f>"01003441100"</f>
        <v>01003441100</v>
      </c>
      <c r="B5965" s="1" t="str">
        <f>"HRDLICKA DAVID J"</f>
        <v>HRDLICKA DAVID J</v>
      </c>
      <c r="C5965" s="1" t="str">
        <f>"LEONA AVE S A SHOEMAKER HRS LOT 23"</f>
        <v>LEONA AVE S A SHOEMAKER HRS LOT 23</v>
      </c>
      <c r="D5965" s="1">
        <v>263.75</v>
      </c>
    </row>
    <row r="5966" spans="1:4" x14ac:dyDescent="0.3">
      <c r="A5966" s="1" t="str">
        <f>"01011845400"</f>
        <v>01011845400</v>
      </c>
      <c r="B5966" s="1" t="str">
        <f>"HS HOSPITALITY LLC"</f>
        <v>HS HOSPITALITY LLC</v>
      </c>
      <c r="C5966" s="1" t="str">
        <f>"TAYLOR RD 6.475 ACRE R21 T12 S28 1/4S49 "</f>
        <v xml:space="preserve">TAYLOR RD 6.475 ACRE R21 T12 S28 1/4S49 </v>
      </c>
      <c r="D5966" s="1">
        <v>311.62</v>
      </c>
    </row>
    <row r="5967" spans="1:4" x14ac:dyDescent="0.3">
      <c r="A5967" s="1" t="str">
        <f>"06000524500"</f>
        <v>06000524500</v>
      </c>
      <c r="B5967" s="1" t="str">
        <f>"HSIEH SCOTT T, HSIEH KUEI YING"</f>
        <v>HSIEH SCOTT T, HSIEH KUEI YING</v>
      </c>
      <c r="C5967" s="1" t="str">
        <f>"ROSEDALE AVE AMD SUB ROSE HILL LOT 368 EX"</f>
        <v>ROSEDALE AVE AMD SUB ROSE HILL LOT 368 EX</v>
      </c>
      <c r="D5967" s="1">
        <v>228.45</v>
      </c>
    </row>
    <row r="5968" spans="1:4" x14ac:dyDescent="0.3">
      <c r="A5968" s="1" t="str">
        <f>"01025491200"</f>
        <v>01025491200</v>
      </c>
      <c r="B5968" s="1" t="str">
        <f>"HSUEH WILLA A"</f>
        <v>HSUEH WILLA A</v>
      </c>
      <c r="C5968" s="1" t="str">
        <f>"1 MIRANOVA PL CONDO # 605 "</f>
        <v xml:space="preserve">1 MIRANOVA PL CONDO # 605 </v>
      </c>
      <c r="D5968" s="1">
        <v>420.25</v>
      </c>
    </row>
    <row r="5969" spans="1:4" x14ac:dyDescent="0.3">
      <c r="A5969" s="1" t="str">
        <f>"01004344100"</f>
        <v>01004344100</v>
      </c>
      <c r="B5969" s="1" t="str">
        <f>"HUA PROPERTIES LTD"</f>
        <v>HUA PROPERTIES LTD</v>
      </c>
      <c r="C5969" s="1" t="str">
        <f>"341 SO WHEATLAND AVE ARLINGTON LOT 138"</f>
        <v>341 SO WHEATLAND AVE ARLINGTON LOT 138</v>
      </c>
      <c r="D5969" s="1">
        <v>3790.3</v>
      </c>
    </row>
    <row r="5970" spans="1:4" x14ac:dyDescent="0.3">
      <c r="A5970" s="1" t="str">
        <f>"01019432700"</f>
        <v>01019432700</v>
      </c>
      <c r="B5970" s="1" t="str">
        <f>"HUANG BOWEN, MENG RUI"</f>
        <v>HUANG BOWEN, MENG RUI</v>
      </c>
      <c r="C5970" s="1" t="str">
        <f>"5315-303 PORTLAND ST NORTHAMPTON VILLAGE CONDO PH1 BLDG 3 UNIT 59"</f>
        <v>5315-303 PORTLAND ST NORTHAMPTON VILLAGE CONDO PH1 BLDG 3 UNIT 59</v>
      </c>
      <c r="D5970" s="1">
        <v>2431.36</v>
      </c>
    </row>
    <row r="5971" spans="1:4" x14ac:dyDescent="0.3">
      <c r="A5971" s="1" t="str">
        <f>"01002899000"</f>
        <v>01002899000</v>
      </c>
      <c r="B5971" s="1" t="str">
        <f>"HUANG PATRICK"</f>
        <v>HUANG PATRICK</v>
      </c>
      <c r="C5971" s="1" t="str">
        <f>"462 STANLEY WOLFEL LOT 42"</f>
        <v>462 STANLEY WOLFEL LOT 42</v>
      </c>
      <c r="D5971" s="1">
        <v>5123.21</v>
      </c>
    </row>
    <row r="5972" spans="1:4" x14ac:dyDescent="0.3">
      <c r="A5972" s="1" t="str">
        <f>"27300687100"</f>
        <v>27300687100</v>
      </c>
      <c r="B5972" s="1" t="str">
        <f>"HUANG RUIWEN, SIEBERT DOUGLAS"</f>
        <v>HUANG RUIWEN, SIEBERT DOUGLAS</v>
      </c>
      <c r="C5972" s="1" t="str">
        <f>"CHARMONTE COURT SHEFFIELD PLACE SEC1 LOT 23"</f>
        <v>CHARMONTE COURT SHEFFIELD PLACE SEC1 LOT 23</v>
      </c>
      <c r="D5972" s="1">
        <v>525.4</v>
      </c>
    </row>
    <row r="5973" spans="1:4" x14ac:dyDescent="0.3">
      <c r="A5973" s="1" t="str">
        <f>"27301278300"</f>
        <v>27301278300</v>
      </c>
      <c r="B5973" s="1" t="str">
        <f>"HUBBALLI SANGAMESH, SHIVANAND CHAITRA"</f>
        <v>HUBBALLI SANGAMESH, SHIVANAND CHAITRA</v>
      </c>
      <c r="C5973" s="1" t="str">
        <f>"RIVIERA SECTION 1 LOT 28"</f>
        <v>RIVIERA SECTION 1 LOT 28</v>
      </c>
      <c r="D5973" s="1">
        <v>1193.01</v>
      </c>
    </row>
    <row r="5974" spans="1:4" x14ac:dyDescent="0.3">
      <c r="A5974" s="1" t="str">
        <f>"01011526300"</f>
        <v>01011526300</v>
      </c>
      <c r="B5974" s="1" t="str">
        <f>"HUBBARD CURTIS W JR"</f>
        <v>HUBBARD CURTIS W JR</v>
      </c>
      <c r="C5974" s="1" t="str">
        <f>"DEWBERRY RD M J MCDOWELLS LOT 16"</f>
        <v>DEWBERRY RD M J MCDOWELLS LOT 16</v>
      </c>
      <c r="D5974" s="1">
        <v>1571.82</v>
      </c>
    </row>
    <row r="5975" spans="1:4" x14ac:dyDescent="0.3">
      <c r="A5975" s="1" t="str">
        <f>"01010319700"</f>
        <v>01010319700</v>
      </c>
      <c r="B5975" s="1" t="str">
        <f>"HUBBARD JOHN B"</f>
        <v>HUBBARD JOHN B</v>
      </c>
      <c r="C5975" s="1" t="str">
        <f>"854 THOMAS LANE R18 T1 1/4T2 LOT 12 1.507 ACRES"</f>
        <v>854 THOMAS LANE R18 T1 1/4T2 LOT 12 1.507 ACRES</v>
      </c>
      <c r="D5975" s="1">
        <v>165.6</v>
      </c>
    </row>
    <row r="5976" spans="1:4" x14ac:dyDescent="0.3">
      <c r="A5976" s="1" t="str">
        <f>"01010354600"</f>
        <v>01010354600</v>
      </c>
      <c r="B5976" s="1" t="str">
        <f>"HUBER BRIAN L"</f>
        <v>HUBER BRIAN L</v>
      </c>
      <c r="C5976" s="1" t="str">
        <f>"HOMESTEAD DR WM H DAVIS SUB LOT 128"</f>
        <v>HOMESTEAD DR WM H DAVIS SUB LOT 128</v>
      </c>
      <c r="D5976" s="1">
        <v>1487.24</v>
      </c>
    </row>
    <row r="5977" spans="1:4" x14ac:dyDescent="0.3">
      <c r="A5977" s="1" t="str">
        <f>"01005316700"</f>
        <v>01005316700</v>
      </c>
      <c r="B5977" s="1" t="str">
        <f>"HUBER DENISE M"</f>
        <v>HUBER DENISE M</v>
      </c>
      <c r="C5977" s="1" t="str">
        <f>"SUMMIT ST GLENOLA HTS LOT 108"</f>
        <v>SUMMIT ST GLENOLA HTS LOT 108</v>
      </c>
      <c r="D5977" s="1">
        <v>2009.79</v>
      </c>
    </row>
    <row r="5978" spans="1:4" x14ac:dyDescent="0.3">
      <c r="A5978" s="1" t="str">
        <f>"61027119400"</f>
        <v>61027119400</v>
      </c>
      <c r="B5978" s="1" t="str">
        <f>"HUBIN DAVID, WISSMAN KATHRYN"</f>
        <v>HUBIN DAVID, WISSMAN KATHRYN</v>
      </c>
      <c r="C5978" s="1" t="str">
        <f>"HOWELL DRIVE LAZELLE WOODS SECTION 3 LOT 84"</f>
        <v>HOWELL DRIVE LAZELLE WOODS SECTION 3 LOT 84</v>
      </c>
      <c r="D5978" s="1">
        <v>13796.29</v>
      </c>
    </row>
    <row r="5979" spans="1:4" x14ac:dyDescent="0.3">
      <c r="A5979" s="1" t="str">
        <f>"15300018100"</f>
        <v>15300018100</v>
      </c>
      <c r="B5979" s="1" t="str">
        <f>"HUBNER DONNA M"</f>
        <v>HUBNER DONNA M</v>
      </c>
      <c r="C5979" s="1" t="str">
        <f>"E HOWARD RD PAR 41-42 URP 0.400 AC"</f>
        <v>E HOWARD RD PAR 41-42 URP 0.400 AC</v>
      </c>
      <c r="D5979" s="1">
        <v>483.75</v>
      </c>
    </row>
    <row r="5980" spans="1:4" x14ac:dyDescent="0.3">
      <c r="A5980" s="1" t="str">
        <f>"19000121100"</f>
        <v>19000121100</v>
      </c>
      <c r="B5980" s="1" t="str">
        <f>"HUDSON RUTH S"</f>
        <v>HUDSON RUTH S</v>
      </c>
      <c r="C5980" s="1" t="str">
        <f>"2120 GENESEE AVE W 1/2 DENUNE E LINDEN 5TH 171"</f>
        <v>2120 GENESEE AVE W 1/2 DENUNE E LINDEN 5TH 171</v>
      </c>
      <c r="D5980" s="1">
        <v>490.48</v>
      </c>
    </row>
    <row r="5981" spans="1:4" x14ac:dyDescent="0.3">
      <c r="A5981" s="1" t="str">
        <f>"14000700800"</f>
        <v>14000700800</v>
      </c>
      <c r="B5981" s="1" t="str">
        <f>"HUDSON SCOTT B"</f>
        <v>HUDSON SCOTT B</v>
      </c>
      <c r="C5981" s="1" t="str">
        <f>"ALKIRE RD ENTRY 1389 .435 ACRE"</f>
        <v>ALKIRE RD ENTRY 1389 .435 ACRE</v>
      </c>
      <c r="D5981" s="1">
        <v>73.67</v>
      </c>
    </row>
    <row r="5982" spans="1:4" x14ac:dyDescent="0.3">
      <c r="A5982" s="1" t="str">
        <f>"14000701500"</f>
        <v>14000701500</v>
      </c>
      <c r="B5982" s="1" t="str">
        <f>"HUDSON SCOTT B"</f>
        <v>HUDSON SCOTT B</v>
      </c>
      <c r="C5982" s="1" t="str">
        <f>"DEMOREST RD ENTRY 1389 .629 ACS "</f>
        <v xml:space="preserve">DEMOREST RD ENTRY 1389 .629 ACS </v>
      </c>
      <c r="D5982" s="1">
        <v>177.68</v>
      </c>
    </row>
    <row r="5983" spans="1:4" x14ac:dyDescent="0.3">
      <c r="A5983" s="1" t="str">
        <f>"16000039900"</f>
        <v>16000039900</v>
      </c>
      <c r="B5983" s="1" t="str">
        <f>"HUDSON SCOTT B"</f>
        <v>HUDSON SCOTT B</v>
      </c>
      <c r="C5983" s="1" t="str">
        <f>"3970 ALKIRE RD ENTRY 1389 LOT 2-7 1.644 ACRES"</f>
        <v>3970 ALKIRE RD ENTRY 1389 LOT 2-7 1.644 ACRES</v>
      </c>
      <c r="D5983" s="1">
        <v>4868.51</v>
      </c>
    </row>
    <row r="5984" spans="1:4" x14ac:dyDescent="0.3">
      <c r="A5984" s="1" t="str">
        <f>"53015660000"</f>
        <v>53015660000</v>
      </c>
      <c r="B5984" s="1" t="str">
        <f>"HUFF DARREN"</f>
        <v>HUFF DARREN</v>
      </c>
      <c r="C5984" s="1" t="str">
        <f>"3980 WILLIAMS RD WALNUT CROSSING SEC 3 RES D &amp; 2.00 ACRES"</f>
        <v>3980 WILLIAMS RD WALNUT CROSSING SEC 3 RES D &amp; 2.00 ACRES</v>
      </c>
      <c r="D5984" s="1">
        <v>3545.84</v>
      </c>
    </row>
    <row r="5985" spans="1:4" x14ac:dyDescent="0.3">
      <c r="A5985" s="1" t="str">
        <f>"57022311200"</f>
        <v>57022311200</v>
      </c>
      <c r="B5985" s="1" t="str">
        <f>"HUFF JESSIE"</f>
        <v>HUFF JESSIE</v>
      </c>
      <c r="C5985" s="1" t="str">
        <f>"GREYSTONE VILLAGE DR GREYSTONE VILLAGE CONDO 6TH AMD UNIT4C"</f>
        <v>GREYSTONE VILLAGE DR GREYSTONE VILLAGE CONDO 6TH AMD UNIT4C</v>
      </c>
      <c r="D5985" s="1">
        <v>934.19</v>
      </c>
    </row>
    <row r="5986" spans="1:4" x14ac:dyDescent="0.3">
      <c r="A5986" s="1" t="str">
        <f>"05300071000"</f>
        <v>05300071000</v>
      </c>
      <c r="B5986" s="1" t="str">
        <f>"HUFFMAN CHRISTINE MARIE, HUFFMAN ANTHONY JAMES"</f>
        <v>HUFFMAN CHRISTINE MARIE, HUFFMAN ANTHONY JAMES</v>
      </c>
      <c r="C5986" s="1" t="str">
        <f>"HERITAGE PRESERVE SECTION 4 PHASE 2 LOT 357"</f>
        <v>HERITAGE PRESERVE SECTION 4 PHASE 2 LOT 357</v>
      </c>
      <c r="D5986" s="1">
        <v>772.04</v>
      </c>
    </row>
    <row r="5987" spans="1:4" x14ac:dyDescent="0.3">
      <c r="A5987" s="1" t="str">
        <f>"15000175800"</f>
        <v>15000175800</v>
      </c>
      <c r="B5987" s="1" t="str">
        <f>"HUFFMAN TIMOTHY D, HUFFMAN SHARON A"</f>
        <v>HUFFMAN TIMOTHY D, HUFFMAN SHARON A</v>
      </c>
      <c r="C5987" s="1" t="str">
        <f>"MONCRIEF AVE HAMILTON MEADOWS 136"</f>
        <v>MONCRIEF AVE HAMILTON MEADOWS 136</v>
      </c>
      <c r="D5987" s="1">
        <v>87.18</v>
      </c>
    </row>
    <row r="5988" spans="1:4" x14ac:dyDescent="0.3">
      <c r="A5988" s="1" t="str">
        <f>"57022583200"</f>
        <v>57022583200</v>
      </c>
      <c r="B5988" s="1" t="str">
        <f>"HUFFMAN TROY D, HUFFMAN BREANNA C"</f>
        <v>HUFFMAN TROY D, HUFFMAN BREANNA C</v>
      </c>
      <c r="C5988" s="1" t="str">
        <f>"CHESAPEAKE FARMS SECTION 1 LOT 116"</f>
        <v>CHESAPEAKE FARMS SECTION 1 LOT 116</v>
      </c>
      <c r="D5988" s="1">
        <v>193.83</v>
      </c>
    </row>
    <row r="5989" spans="1:4" x14ac:dyDescent="0.3">
      <c r="A5989" s="1" t="str">
        <f>"01010828800"</f>
        <v>01010828800</v>
      </c>
      <c r="B5989" s="1" t="str">
        <f>"HUFFORD BOBBIE M"</f>
        <v>HUFFORD BOBBIE M</v>
      </c>
      <c r="C5989" s="1" t="str">
        <f>"HIGHLAND DR MARBURN LOT 32"</f>
        <v>HIGHLAND DR MARBURN LOT 32</v>
      </c>
      <c r="D5989" s="1">
        <v>3732.61</v>
      </c>
    </row>
    <row r="5990" spans="1:4" x14ac:dyDescent="0.3">
      <c r="A5990" s="1" t="str">
        <f>"14000151000"</f>
        <v>14000151000</v>
      </c>
      <c r="B5990" s="1" t="str">
        <f>"HUFFORD KELLY M"</f>
        <v>HUFFORD KELLY M</v>
      </c>
      <c r="C5990" s="1" t="str">
        <f>"1950 HUNT AVE WOODROW PLACE LOTS 69 &amp; 70"</f>
        <v>1950 HUNT AVE WOODROW PLACE LOTS 69 &amp; 70</v>
      </c>
      <c r="D5990" s="1">
        <v>2094.98</v>
      </c>
    </row>
    <row r="5991" spans="1:4" x14ac:dyDescent="0.3">
      <c r="A5991" s="1" t="str">
        <f>"01001138000"</f>
        <v>01001138000</v>
      </c>
      <c r="B5991" s="1" t="str">
        <f>"HUFFORD KELLY M TR"</f>
        <v>HUFFORD KELLY M TR</v>
      </c>
      <c r="C5991" s="1" t="str">
        <f>"496 RYAN AVE RYAN AVE SURVEY 422"</f>
        <v>496 RYAN AVE RYAN AVE SURVEY 422</v>
      </c>
      <c r="D5991" s="1">
        <v>2665.42</v>
      </c>
    </row>
    <row r="5992" spans="1:4" x14ac:dyDescent="0.3">
      <c r="A5992" s="1" t="str">
        <f>"01007640400"</f>
        <v>01007640400</v>
      </c>
      <c r="B5992" s="1" t="str">
        <f>"HUGHES BEVERLY Y"</f>
        <v>HUGHES BEVERLY Y</v>
      </c>
      <c r="C5992" s="1" t="str">
        <f>"18TH AVE HIGHLAND PLC LOT 135"</f>
        <v>18TH AVE HIGHLAND PLC LOT 135</v>
      </c>
      <c r="D5992" s="1">
        <v>76.099999999999994</v>
      </c>
    </row>
    <row r="5993" spans="1:4" x14ac:dyDescent="0.3">
      <c r="A5993" s="1" t="str">
        <f>"01007630600"</f>
        <v>01007630600</v>
      </c>
      <c r="B5993" s="1" t="str">
        <f>"HUGHES DANA"</f>
        <v>HUGHES DANA</v>
      </c>
      <c r="C5993" s="1" t="str">
        <f>"19TH AVE HIGHLAND PLC LOT 36"</f>
        <v>19TH AVE HIGHLAND PLC LOT 36</v>
      </c>
      <c r="D5993" s="1">
        <v>1200</v>
      </c>
    </row>
    <row r="5994" spans="1:4" x14ac:dyDescent="0.3">
      <c r="A5994" s="1" t="str">
        <f>"01005500700"</f>
        <v>01005500700</v>
      </c>
      <c r="B5994" s="1" t="str">
        <f>"HUGHES KATRINA M"</f>
        <v>HUGHES KATRINA M</v>
      </c>
      <c r="C5994" s="1" t="str">
        <f>"966 MILLER AVE G WILLIAMS MILLER LOT 97"</f>
        <v>966 MILLER AVE G WILLIAMS MILLER LOT 97</v>
      </c>
      <c r="D5994" s="1">
        <v>1150.1199999999999</v>
      </c>
    </row>
    <row r="5995" spans="1:4" x14ac:dyDescent="0.3">
      <c r="A5995" s="1" t="str">
        <f>"07001326100"</f>
        <v>07001326100</v>
      </c>
      <c r="B5995" s="1" t="str">
        <f>"HUGHES NANCY A TTEE"</f>
        <v>HUGHES NANCY A TTEE</v>
      </c>
      <c r="C5995" s="1" t="str">
        <f>"ARLINGTOWNE CONDO UNIT 1 "</f>
        <v xml:space="preserve">ARLINGTOWNE CONDO UNIT 1 </v>
      </c>
      <c r="D5995" s="1">
        <v>2244.44</v>
      </c>
    </row>
    <row r="5996" spans="1:4" x14ac:dyDescent="0.3">
      <c r="A5996" s="1" t="str">
        <f>"01028052000"</f>
        <v>01028052000</v>
      </c>
      <c r="B5996" s="1" t="str">
        <f>"HUGHES PATRICIA M TR"</f>
        <v>HUGHES PATRICIA M TR</v>
      </c>
      <c r="C5996" s="1" t="str">
        <f>"THE HEIGHTS CONDOMINIUMS UNIT 204"</f>
        <v>THE HEIGHTS CONDOMINIUMS UNIT 204</v>
      </c>
      <c r="D5996" s="1">
        <v>4428.07</v>
      </c>
    </row>
    <row r="5997" spans="1:4" x14ac:dyDescent="0.3">
      <c r="A5997" s="1" t="str">
        <f>"01010814500"</f>
        <v>01010814500</v>
      </c>
      <c r="B5997" s="1" t="str">
        <f>"HUGHES TAMMY"</f>
        <v>HUGHES TAMMY</v>
      </c>
      <c r="C5997" s="1" t="str">
        <f>"493 STOCKBRIDGE RD 0.301 ACRE R22 T4 S10"</f>
        <v>493 STOCKBRIDGE RD 0.301 ACRE R22 T4 S10</v>
      </c>
      <c r="D5997" s="1">
        <v>170.48</v>
      </c>
    </row>
    <row r="5998" spans="1:4" x14ac:dyDescent="0.3">
      <c r="A5998" s="1" t="str">
        <f>"25000560700"</f>
        <v>25000560700</v>
      </c>
      <c r="B5998" s="1" t="str">
        <f>"HUGHLETT KEITH D TTEE"</f>
        <v>HUGHLETT KEITH D TTEE</v>
      </c>
      <c r="C5998" s="1" t="str">
        <f>"BERTSON PLACE FLONT RIDGE TERRACE 12"</f>
        <v>BERTSON PLACE FLONT RIDGE TERRACE 12</v>
      </c>
      <c r="D5998" s="1">
        <v>4574.88</v>
      </c>
    </row>
    <row r="5999" spans="1:4" x14ac:dyDescent="0.3">
      <c r="A5999" s="1" t="str">
        <f>"56018331300"</f>
        <v>56018331300</v>
      </c>
      <c r="B5999" s="1" t="str">
        <f>"HUHTA M SUSAN"</f>
        <v>HUHTA M SUSAN</v>
      </c>
      <c r="C5999" s="1" t="str">
        <f>"WALDEN RAVINES COND4 UNIT 3172 BLDG 11 "</f>
        <v xml:space="preserve">WALDEN RAVINES COND4 UNIT 3172 BLDG 11 </v>
      </c>
      <c r="D5999" s="1">
        <v>646.29999999999995</v>
      </c>
    </row>
    <row r="6000" spans="1:4" x14ac:dyDescent="0.3">
      <c r="A6000" s="1" t="str">
        <f>"01000429000"</f>
        <v>01000429000</v>
      </c>
      <c r="B6000" s="1" t="str">
        <f>"HUITGER COLLINS A"</f>
        <v>HUITGER COLLINS A</v>
      </c>
      <c r="C6000" s="1" t="str">
        <f>"941-3 HUNTER COLLINS ATKINSON &amp; GUITNER LOT 145"</f>
        <v>941-3 HUNTER COLLINS ATKINSON &amp; GUITNER LOT 145</v>
      </c>
      <c r="D6000" s="1">
        <v>8035.29</v>
      </c>
    </row>
    <row r="6001" spans="1:4" x14ac:dyDescent="0.3">
      <c r="A6001" s="1" t="str">
        <f>"14000646800"</f>
        <v>14000646800</v>
      </c>
      <c r="B6001" s="1" t="str">
        <f>"HUITRON GLORIA"</f>
        <v>HUITRON GLORIA</v>
      </c>
      <c r="C6001" s="1" t="str">
        <f>"3455 CLIME RD HOLIDAY HILLS ESTATES LOT 12"</f>
        <v>3455 CLIME RD HOLIDAY HILLS ESTATES LOT 12</v>
      </c>
      <c r="D6001" s="1">
        <v>243.66</v>
      </c>
    </row>
    <row r="6002" spans="1:4" x14ac:dyDescent="0.3">
      <c r="A6002" s="1" t="str">
        <f>"06000089000"</f>
        <v>06000089000</v>
      </c>
      <c r="B6002" s="1" t="str">
        <f>"HULET CHARLES, HULET DEBORAH"</f>
        <v>HULET CHARLES, HULET DEBORAH</v>
      </c>
      <c r="C6002" s="1" t="str">
        <f>"859 HILLRIDGE RD BROOKSIDE PARK 2 466 "</f>
        <v xml:space="preserve">859 HILLRIDGE RD BROOKSIDE PARK 2 466 </v>
      </c>
      <c r="D6002" s="1">
        <v>2520.02</v>
      </c>
    </row>
    <row r="6003" spans="1:4" x14ac:dyDescent="0.3">
      <c r="A6003" s="1" t="str">
        <f>"01008342900"</f>
        <v>01008342900</v>
      </c>
      <c r="B6003" s="1" t="str">
        <f>"HULL DIANA, HULL RONALD J"</f>
        <v>HULL DIANA, HULL RONALD J</v>
      </c>
      <c r="C6003" s="1" t="str">
        <f>"ATWOOD TER SUNNYSIDE LOT 293"</f>
        <v>ATWOOD TER SUNNYSIDE LOT 293</v>
      </c>
      <c r="D6003" s="1">
        <v>924.66</v>
      </c>
    </row>
    <row r="6004" spans="1:4" x14ac:dyDescent="0.3">
      <c r="A6004" s="1" t="str">
        <f>"01002176900"</f>
        <v>01002176900</v>
      </c>
      <c r="B6004" s="1" t="str">
        <f>"HULL HILDEGARDE JANE, HULL JENNIFER MARIE"</f>
        <v>HULL HILDEGARDE JANE, HULL JENNIFER MARIE</v>
      </c>
      <c r="C6004" s="1" t="str">
        <f>"2809 TENTH AVE DUNHAMS 1ST LOT 44-42"</f>
        <v>2809 TENTH AVE DUNHAMS 1ST LOT 44-42</v>
      </c>
      <c r="D6004" s="1">
        <v>158.75</v>
      </c>
    </row>
    <row r="6005" spans="1:4" x14ac:dyDescent="0.3">
      <c r="A6005" s="1" t="str">
        <f>"01013154700"</f>
        <v>01013154700</v>
      </c>
      <c r="B6005" s="1" t="str">
        <f>"HULSE WILLIAMS H, HEWITT-HULSE ELIZABETH"</f>
        <v>HULSE WILLIAMS H, HEWITT-HULSE ELIZABETH</v>
      </c>
      <c r="C6005" s="1" t="str">
        <f>"ASHTON CT BEECHWOOD 2 LOT 3"</f>
        <v>ASHTON CT BEECHWOOD 2 LOT 3</v>
      </c>
      <c r="D6005" s="1">
        <v>495.88</v>
      </c>
    </row>
    <row r="6006" spans="1:4" x14ac:dyDescent="0.3">
      <c r="A6006" s="1" t="str">
        <f>"01029127200"</f>
        <v>01029127200</v>
      </c>
      <c r="B6006" s="1" t="str">
        <f>"HULTEEN PHYLLIS J"</f>
        <v>HULTEEN PHYLLIS J</v>
      </c>
      <c r="C6006" s="1" t="str">
        <f>"THE WOODS AT SUGAR RUN CONDOMINIUM 18TH AMD UNIT 15-5461"</f>
        <v>THE WOODS AT SUGAR RUN CONDOMINIUM 18TH AMD UNIT 15-5461</v>
      </c>
      <c r="D6006" s="1">
        <v>3121.51</v>
      </c>
    </row>
    <row r="6007" spans="1:4" x14ac:dyDescent="0.3">
      <c r="A6007" s="1" t="str">
        <f>"10000435400"</f>
        <v>10000435400</v>
      </c>
      <c r="B6007" s="1" t="str">
        <f>"HUMMEL DANIEL E, HUMMEL CYNTHIA L"</f>
        <v>HUMMEL DANIEL E, HUMMEL CYNTHIA L</v>
      </c>
      <c r="C6007" s="1" t="str">
        <f>"355 BRYANT AVE WORTHINGWAY 3 LOT 199"</f>
        <v>355 BRYANT AVE WORTHINGWAY 3 LOT 199</v>
      </c>
      <c r="D6007" s="1">
        <v>559.66</v>
      </c>
    </row>
    <row r="6008" spans="1:4" x14ac:dyDescent="0.3">
      <c r="A6008" s="1" t="str">
        <f>"01007731900"</f>
        <v>01007731900</v>
      </c>
      <c r="B6008" s="1" t="str">
        <f>"HUMMEL JAMES A JR"</f>
        <v>HUMMEL JAMES A JR</v>
      </c>
      <c r="C6008" s="1" t="str">
        <f>"BANCROFT ST MULBUR PARK LOT 221"</f>
        <v>BANCROFT ST MULBUR PARK LOT 221</v>
      </c>
      <c r="D6008" s="1">
        <v>184.69</v>
      </c>
    </row>
    <row r="6009" spans="1:4" x14ac:dyDescent="0.3">
      <c r="A6009" s="1" t="str">
        <f>"49026669400"</f>
        <v>49026669400</v>
      </c>
      <c r="B6009" s="1" t="str">
        <f>"HUMMEL ROBIN"</f>
        <v>HUMMEL ROBIN</v>
      </c>
      <c r="C6009" s="1" t="str">
        <f>"BOWEN RD SE Q OF S18 T15 R20 2.128 ACRES"</f>
        <v>BOWEN RD SE Q OF S18 T15 R20 2.128 ACRES</v>
      </c>
      <c r="D6009" s="1">
        <v>253.89</v>
      </c>
    </row>
    <row r="6010" spans="1:4" x14ac:dyDescent="0.3">
      <c r="A6010" s="1" t="str">
        <f>"01010975800"</f>
        <v>01010975800</v>
      </c>
      <c r="B6010" s="1" t="str">
        <f>"HUMMER LISA L"</f>
        <v>HUMMER LISA L</v>
      </c>
      <c r="C6010" s="1" t="str">
        <f>"CHASE AVE CHASELAND &amp;15FT AL VAC LOT 149"</f>
        <v>CHASE AVE CHASELAND &amp;15FT AL VAC LOT 149</v>
      </c>
      <c r="D6010" s="1">
        <v>2188.31</v>
      </c>
    </row>
    <row r="6011" spans="1:4" x14ac:dyDescent="0.3">
      <c r="A6011" s="1" t="str">
        <f>"01015725000"</f>
        <v>01015725000</v>
      </c>
      <c r="B6011" s="1" t="str">
        <f>"HUMPHREY CHARLES R JR"</f>
        <v>HUMPHREY CHARLES R JR</v>
      </c>
      <c r="C6011" s="1" t="str">
        <f>"BREMEN ST OAK PARK ADDITION 13 LOT 8"</f>
        <v>BREMEN ST OAK PARK ADDITION 13 LOT 8</v>
      </c>
      <c r="D6011" s="1">
        <v>3271.59</v>
      </c>
    </row>
    <row r="6012" spans="1:4" x14ac:dyDescent="0.3">
      <c r="A6012" s="1" t="str">
        <f>"01007927400"</f>
        <v>01007927400</v>
      </c>
      <c r="B6012" s="1" t="str">
        <f>"HUMPHREY JAMES A, HUMPHREY MELINDA A"</f>
        <v>HUMPHREY JAMES A, HUMPHREY MELINDA A</v>
      </c>
      <c r="C6012" s="1" t="str">
        <f>"PARKSIDE RD WESTGARE PARK LOT 760"</f>
        <v>PARKSIDE RD WESTGARE PARK LOT 760</v>
      </c>
      <c r="D6012" s="1">
        <v>273.86</v>
      </c>
    </row>
    <row r="6013" spans="1:4" x14ac:dyDescent="0.3">
      <c r="A6013" s="1" t="str">
        <f>"24000677100"</f>
        <v>24000677100</v>
      </c>
      <c r="B6013" s="1" t="str">
        <f>"HUMPHREY JASON E"</f>
        <v>HUMPHREY JASON E</v>
      </c>
      <c r="C6013" s="1" t="str">
        <f>"50 FT MID PT EACH ROME LOTS 44-48"</f>
        <v>50 FT MID PT EACH ROME LOTS 44-48</v>
      </c>
      <c r="D6013" s="1">
        <v>2127.9499999999998</v>
      </c>
    </row>
    <row r="6014" spans="1:4" x14ac:dyDescent="0.3">
      <c r="A6014" s="1" t="str">
        <f>"24000672900"</f>
        <v>24000672900</v>
      </c>
      <c r="B6014" s="1" t="str">
        <f>"HUMPHREY JASON E"</f>
        <v>HUMPHREY JASON E</v>
      </c>
      <c r="C6014" s="1" t="str">
        <f>"50 FT N E OF EACH ROME 44-48 "</f>
        <v xml:space="preserve">50 FT N E OF EACH ROME 44-48 </v>
      </c>
      <c r="D6014" s="1">
        <v>2405.6999999999998</v>
      </c>
    </row>
    <row r="6015" spans="1:4" x14ac:dyDescent="0.3">
      <c r="A6015" s="1" t="str">
        <f>"01001944800"</f>
        <v>01001944800</v>
      </c>
      <c r="B6015" s="1" t="str">
        <f>"HUMPHREYS GLORIA"</f>
        <v>HUMPHREYS GLORIA</v>
      </c>
      <c r="C6015" s="1" t="str">
        <f>"132 WOODROW AVE 33X 133 FT WOODROW AVE 1/2 SEC 42-3 MERION"</f>
        <v>132 WOODROW AVE 33X 133 FT WOODROW AVE 1/2 SEC 42-3 MERION</v>
      </c>
      <c r="D6015" s="1">
        <v>1335.59</v>
      </c>
    </row>
    <row r="6016" spans="1:4" x14ac:dyDescent="0.3">
      <c r="A6016" s="1" t="str">
        <f>"01027299500"</f>
        <v>01027299500</v>
      </c>
      <c r="B6016" s="1" t="str">
        <f>"HUNLEY JAMES A, EMCH INGRID R"</f>
        <v>HUNLEY JAMES A, EMCH INGRID R</v>
      </c>
      <c r="C6016" s="1" t="str">
        <f>"WINDSOR BRIDGE AT THE PRESERVE COND 4TH AMD BLDG 23 UNIT 23-4328"</f>
        <v>WINDSOR BRIDGE AT THE PRESERVE COND 4TH AMD BLDG 23 UNIT 23-4328</v>
      </c>
      <c r="D6016" s="1">
        <v>239.82</v>
      </c>
    </row>
    <row r="6017" spans="1:4" x14ac:dyDescent="0.3">
      <c r="A6017" s="1" t="str">
        <f>"01008493500"</f>
        <v>01008493500</v>
      </c>
      <c r="B6017" s="1" t="str">
        <f>"HUNT BARBARA E, GEPHART KAREN"</f>
        <v>HUNT BARBARA E, GEPHART KAREN</v>
      </c>
      <c r="C6017" s="1" t="str">
        <f>"E BEECHWOLD BLVD ZOOLAND LOT 64"</f>
        <v>E BEECHWOLD BLVD ZOOLAND LOT 64</v>
      </c>
      <c r="D6017" s="1">
        <v>235.81</v>
      </c>
    </row>
    <row r="6018" spans="1:4" x14ac:dyDescent="0.3">
      <c r="A6018" s="1" t="str">
        <f>"01014470900"</f>
        <v>01014470900</v>
      </c>
      <c r="B6018" s="1" t="str">
        <f>"HUNT DANIEL A JR, HUNT PATRICIA W"</f>
        <v>HUNT DANIEL A JR, HUNT PATRICIA W</v>
      </c>
      <c r="C6018" s="1" t="str">
        <f>"BLUE ASH RD FOREST PARK EAST SEC 1 LOT 108"</f>
        <v>BLUE ASH RD FOREST PARK EAST SEC 1 LOT 108</v>
      </c>
      <c r="D6018" s="1">
        <v>1950.11</v>
      </c>
    </row>
    <row r="6019" spans="1:4" x14ac:dyDescent="0.3">
      <c r="A6019" s="1" t="str">
        <f>"61023367400"</f>
        <v>61023367400</v>
      </c>
      <c r="B6019" s="1" t="str">
        <f>"HUNT DAVID M, AGUAYO-HUNT LISA M"</f>
        <v>HUNT DAVID M, AGUAYO-HUNT LISA M</v>
      </c>
      <c r="C6019" s="1" t="str">
        <f>"WORTHINGTON CROSS DR WORTHINGTON CROSSING SECTION 1 LOT 4"</f>
        <v>WORTHINGTON CROSS DR WORTHINGTON CROSSING SECTION 1 LOT 4</v>
      </c>
      <c r="D6019" s="1">
        <v>4372.24</v>
      </c>
    </row>
    <row r="6020" spans="1:4" x14ac:dyDescent="0.3">
      <c r="A6020" s="1" t="str">
        <f>"01002089500"</f>
        <v>01002089500</v>
      </c>
      <c r="B6020" s="1" t="str">
        <f>"HUNT ELDON"</f>
        <v>HUNT ELDON</v>
      </c>
      <c r="C6020" s="1" t="str">
        <f>"1049-1055 PARSONS AV WIRTH LOT 14"</f>
        <v>1049-1055 PARSONS AV WIRTH LOT 14</v>
      </c>
      <c r="D6020" s="1">
        <v>1065.6600000000001</v>
      </c>
    </row>
    <row r="6021" spans="1:4" x14ac:dyDescent="0.3">
      <c r="A6021" s="1" t="str">
        <f>"01002557900"</f>
        <v>01002557900</v>
      </c>
      <c r="B6021" s="1" t="str">
        <f>"HUNTER DIONYSIUS D"</f>
        <v>HUNTER DIONYSIUS D</v>
      </c>
      <c r="C6021" s="1" t="str">
        <f>"844 OHIO AVE S OLD ORCHARD LOT 137"</f>
        <v>844 OHIO AVE S OLD ORCHARD LOT 137</v>
      </c>
      <c r="D6021" s="1">
        <v>150.32</v>
      </c>
    </row>
    <row r="6022" spans="1:4" x14ac:dyDescent="0.3">
      <c r="A6022" s="1" t="str">
        <f>"01005165400"</f>
        <v>01005165400</v>
      </c>
      <c r="B6022" s="1" t="str">
        <f>"HUNTER DONNA Y TOD"</f>
        <v>HUNTER DONNA Y TOD</v>
      </c>
      <c r="C6022" s="1" t="str">
        <f>"1078 BELLOWS AVE S 1/2 AVONDALE LOT 41"</f>
        <v>1078 BELLOWS AVE S 1/2 AVONDALE LOT 41</v>
      </c>
      <c r="D6022" s="1">
        <v>6.58</v>
      </c>
    </row>
    <row r="6023" spans="1:4" x14ac:dyDescent="0.3">
      <c r="A6023" s="1" t="str">
        <f>"01014847100"</f>
        <v>01014847100</v>
      </c>
      <c r="B6023" s="1" t="str">
        <f>"HUNTER JOHN E"</f>
        <v>HUNTER JOHN E</v>
      </c>
      <c r="C6023" s="1" t="str">
        <f>"PEARLDALE RD N SKYWAE HEIGHTS SEC 1 LOT 3"</f>
        <v>PEARLDALE RD N SKYWAE HEIGHTS SEC 1 LOT 3</v>
      </c>
      <c r="D6023" s="1">
        <v>470.17</v>
      </c>
    </row>
    <row r="6024" spans="1:4" x14ac:dyDescent="0.3">
      <c r="A6024" s="1" t="str">
        <f>"01008591800"</f>
        <v>01008591800</v>
      </c>
      <c r="B6024" s="1" t="str">
        <f>"HUNTER KATY ANN"</f>
        <v>HUNTER KATY ANN</v>
      </c>
      <c r="C6024" s="1" t="str">
        <f>"ZOOLAND LOT 152 "</f>
        <v xml:space="preserve">ZOOLAND LOT 152 </v>
      </c>
      <c r="D6024" s="1">
        <v>2438.62</v>
      </c>
    </row>
    <row r="6025" spans="1:4" x14ac:dyDescent="0.3">
      <c r="A6025" s="1" t="str">
        <f>"01007606700"</f>
        <v>01007606700</v>
      </c>
      <c r="B6025" s="1" t="str">
        <f>"HUNTER MARY L"</f>
        <v>HUNTER MARY L</v>
      </c>
      <c r="C6025" s="1" t="str">
        <f>"MCGUFFY RD N GRASSMERE LOT 311"</f>
        <v>MCGUFFY RD N GRASSMERE LOT 311</v>
      </c>
      <c r="D6025" s="1">
        <v>64.14</v>
      </c>
    </row>
    <row r="6026" spans="1:4" x14ac:dyDescent="0.3">
      <c r="A6026" s="1" t="str">
        <f>"01003445300"</f>
        <v>01003445300</v>
      </c>
      <c r="B6026" s="1" t="str">
        <f>"HUNTER MARY L"</f>
        <v>HUNTER MARY L</v>
      </c>
      <c r="C6026" s="1" t="str">
        <f>"1154 LEXINGTON AVE S A SHOEMAKERS HRS LOT 170"</f>
        <v>1154 LEXINGTON AVE S A SHOEMAKERS HRS LOT 170</v>
      </c>
      <c r="D6026" s="1">
        <v>88.81</v>
      </c>
    </row>
    <row r="6027" spans="1:4" x14ac:dyDescent="0.3">
      <c r="A6027" s="1" t="str">
        <f>"53016989500"</f>
        <v>53016989500</v>
      </c>
      <c r="B6027" s="1" t="str">
        <f>"HUNTER MELANIE, HUNTER CHAD"</f>
        <v>HUNTER MELANIE, HUNTER CHAD</v>
      </c>
      <c r="C6027" s="1" t="str">
        <f>"WINTERCRESS COURT RESUB/LOTS 49-83 OF MADISON MILLS LT22"</f>
        <v>WINTERCRESS COURT RESUB/LOTS 49-83 OF MADISON MILLS LT22</v>
      </c>
      <c r="D6027" s="1">
        <v>2002.19</v>
      </c>
    </row>
    <row r="6028" spans="1:4" x14ac:dyDescent="0.3">
      <c r="A6028" s="1" t="str">
        <f>"01016986300"</f>
        <v>01016986300</v>
      </c>
      <c r="B6028" s="1" t="str">
        <f>"HUNTER SHERYL L"</f>
        <v>HUNTER SHERYL L</v>
      </c>
      <c r="C6028" s="1" t="str">
        <f>"RAINIER LAKE CONDOMINIUM BLDG 9 UNIT 3246"</f>
        <v>RAINIER LAKE CONDOMINIUM BLDG 9 UNIT 3246</v>
      </c>
      <c r="D6028" s="1">
        <v>3145.27</v>
      </c>
    </row>
    <row r="6029" spans="1:4" x14ac:dyDescent="0.3">
      <c r="A6029" s="1" t="str">
        <f>"49029807900"</f>
        <v>49029807900</v>
      </c>
      <c r="B6029" s="1" t="str">
        <f>"HUNTERS GLEN HOMEOENERS ASSOCIATION"</f>
        <v>HUNTERS GLEN HOMEOENERS ASSOCIATION</v>
      </c>
      <c r="C6029" s="1" t="str">
        <f>"HUNTERS GLEN SECTION 2 RESERVE C"</f>
        <v>HUNTERS GLEN SECTION 2 RESERVE C</v>
      </c>
      <c r="D6029" s="1">
        <v>31.97</v>
      </c>
    </row>
    <row r="6030" spans="1:4" x14ac:dyDescent="0.3">
      <c r="A6030" s="1" t="str">
        <f>"10000438800"</f>
        <v>10000438800</v>
      </c>
      <c r="B6030" s="1" t="str">
        <f>"HUNTINGTON SUSAN L"</f>
        <v>HUNTINGTON SUSAN L</v>
      </c>
      <c r="C6030" s="1" t="str">
        <f>"435 HIGHGATE AVE WORTHINGWAY LOT 19"</f>
        <v>435 HIGHGATE AVE WORTHINGWAY LOT 19</v>
      </c>
      <c r="D6030" s="1">
        <v>2.2000000000000002</v>
      </c>
    </row>
    <row r="6031" spans="1:4" x14ac:dyDescent="0.3">
      <c r="A6031" s="1" t="str">
        <f>"01004138300"</f>
        <v>01004138300</v>
      </c>
      <c r="B6031" s="1" t="str">
        <f>"HUNTLEY JENNIFER L"</f>
        <v>HUNTLEY JENNIFER L</v>
      </c>
      <c r="C6031" s="1" t="str">
        <f>"215 S TERRACE AVE LANDSCAPE LOT 92"</f>
        <v>215 S TERRACE AVE LANDSCAPE LOT 92</v>
      </c>
      <c r="D6031" s="1">
        <v>992.09</v>
      </c>
    </row>
    <row r="6032" spans="1:4" x14ac:dyDescent="0.3">
      <c r="A6032" s="1" t="str">
        <f>"56022398500"</f>
        <v>56022398500</v>
      </c>
      <c r="B6032" s="1" t="str">
        <f>"HUPP DIXIE L"</f>
        <v>HUPP DIXIE L</v>
      </c>
      <c r="C6032" s="1" t="str">
        <f>"HILLIARD VILLAGE CONDOMINIUM 5TH AMD UNIT 38A"</f>
        <v>HILLIARD VILLAGE CONDOMINIUM 5TH AMD UNIT 38A</v>
      </c>
      <c r="D6032" s="1">
        <v>4260.6499999999996</v>
      </c>
    </row>
    <row r="6033" spans="1:4" x14ac:dyDescent="0.3">
      <c r="A6033" s="1" t="str">
        <f>"01016085700"</f>
        <v>01016085700</v>
      </c>
      <c r="B6033" s="1" t="str">
        <f>"HURISA BIRHANE"</f>
        <v>HURISA BIRHANE</v>
      </c>
      <c r="C6033" s="1" t="str">
        <f>"LEON AVE CASSADY FARMS NO 1 LOT 5"</f>
        <v>LEON AVE CASSADY FARMS NO 1 LOT 5</v>
      </c>
      <c r="D6033" s="1">
        <v>1917.39</v>
      </c>
    </row>
    <row r="6034" spans="1:4" x14ac:dyDescent="0.3">
      <c r="A6034" s="1" t="str">
        <f>"04000470400"</f>
        <v>04000470400</v>
      </c>
      <c r="B6034" s="1" t="str">
        <f>"HURST GARY A JR, HURST BONNIE K"</f>
        <v>HURST GARY A JR, HURST BONNIE K</v>
      </c>
      <c r="C6034" s="1" t="str">
        <f>"2315 BLODWEN CIRCLE PARK RIDGE NO 3 LOT 141"</f>
        <v>2315 BLODWEN CIRCLE PARK RIDGE NO 3 LOT 141</v>
      </c>
      <c r="D6034" s="1">
        <v>2360.9699999999998</v>
      </c>
    </row>
    <row r="6035" spans="1:4" x14ac:dyDescent="0.3">
      <c r="A6035" s="1" t="str">
        <f>"01009039000"</f>
        <v>01009039000</v>
      </c>
      <c r="B6035" s="1" t="str">
        <f>"HURT FRANKLIN D JR"</f>
        <v>HURT FRANKLIN D JR</v>
      </c>
      <c r="C6035" s="1" t="str">
        <f>"BROWNLEE AVE EASTMINSTER LOT 167"</f>
        <v>BROWNLEE AVE EASTMINSTER LOT 167</v>
      </c>
      <c r="D6035" s="1">
        <v>1715.35</v>
      </c>
    </row>
    <row r="6036" spans="1:4" x14ac:dyDescent="0.3">
      <c r="A6036" s="1" t="str">
        <f>"01005765400"</f>
        <v>01005765400</v>
      </c>
      <c r="B6036" s="1" t="str">
        <f>"HUSAIN ANNIE"</f>
        <v>HUSAIN ANNIE</v>
      </c>
      <c r="C6036" s="1" t="str">
        <f>"RR 1448 FRANKLIN AVE J NELSON LOT 110"</f>
        <v>RR 1448 FRANKLIN AVE J NELSON LOT 110</v>
      </c>
      <c r="D6036" s="1">
        <v>312.2</v>
      </c>
    </row>
    <row r="6037" spans="1:4" x14ac:dyDescent="0.3">
      <c r="A6037" s="1" t="str">
        <f>"10000422200"</f>
        <v>10000422200</v>
      </c>
      <c r="B6037" s="1" t="str">
        <f>"HUSHAK LEROY J TR, HUSHAK VIRGINIA L TR"</f>
        <v>HUSHAK LEROY J TR, HUSHAK VIRGINIA L TR</v>
      </c>
      <c r="C6037" s="1" t="str">
        <f>"238 E HALLIGAN AVE WORTHINGTON ESTATES 2 LOT 140"</f>
        <v>238 E HALLIGAN AVE WORTHINGTON ESTATES 2 LOT 140</v>
      </c>
      <c r="D6037" s="1">
        <v>4522.09</v>
      </c>
    </row>
    <row r="6038" spans="1:4" x14ac:dyDescent="0.3">
      <c r="A6038" s="1" t="str">
        <f>"60014765000"</f>
        <v>60014765000</v>
      </c>
      <c r="B6038" s="1" t="str">
        <f>"HUSSAIN TALIB"</f>
        <v>HUSSAIN TALIB</v>
      </c>
      <c r="C6038" s="1" t="str">
        <f>"VILLA PARK LOT 28-29 BLK 2 "</f>
        <v xml:space="preserve">VILLA PARK LOT 28-29 BLK 2 </v>
      </c>
      <c r="D6038" s="1">
        <v>1769.53</v>
      </c>
    </row>
    <row r="6039" spans="1:4" x14ac:dyDescent="0.3">
      <c r="A6039" s="1" t="str">
        <f>"57024884900"</f>
        <v>57024884900</v>
      </c>
      <c r="B6039" s="1" t="str">
        <f>"HUSSEIN ASHA"</f>
        <v>HUSSEIN ASHA</v>
      </c>
      <c r="C6039" s="1" t="str">
        <f>"NORTHEM COURT WINDWARD FARMS SECTION 2 PART 2 LOT 90"</f>
        <v>NORTHEM COURT WINDWARD FARMS SECTION 2 PART 2 LOT 90</v>
      </c>
      <c r="D6039" s="1">
        <v>4529.1499999999996</v>
      </c>
    </row>
    <row r="6040" spans="1:4" x14ac:dyDescent="0.3">
      <c r="A6040" s="1" t="str">
        <f>"01005867800"</f>
        <v>01005867800</v>
      </c>
      <c r="B6040" s="1" t="str">
        <f>"HUSTED MARTY A"</f>
        <v>HUSTED MARTY A</v>
      </c>
      <c r="C6040" s="1" t="str">
        <f>"205 E DUNEDIN RD OAKLAND PARK LOT 111"</f>
        <v>205 E DUNEDIN RD OAKLAND PARK LOT 111</v>
      </c>
      <c r="D6040" s="1">
        <v>3659.81</v>
      </c>
    </row>
    <row r="6041" spans="1:4" x14ac:dyDescent="0.3">
      <c r="A6041" s="1" t="str">
        <f>"07000751500"</f>
        <v>07000751500</v>
      </c>
      <c r="B6041" s="1" t="str">
        <f>"HUSTON CAROL"</f>
        <v>HUSTON CAROL</v>
      </c>
      <c r="C6041" s="1" t="str">
        <f>"2763 LEAR RD FAIRFAX 10 "</f>
        <v xml:space="preserve">2763 LEAR RD FAIRFAX 10 </v>
      </c>
      <c r="D6041" s="1">
        <v>561.54999999999995</v>
      </c>
    </row>
    <row r="6042" spans="1:4" x14ac:dyDescent="0.3">
      <c r="A6042" s="1" t="str">
        <f>"01025286700"</f>
        <v>01025286700</v>
      </c>
      <c r="B6042" s="1" t="str">
        <f>"HUSTON DANA E"</f>
        <v>HUSTON DANA E</v>
      </c>
      <c r="C6042" s="1" t="str">
        <f>"ACROPOLIS CONDOMINIUM GARAGE UNIT UNIT 1C-1"</f>
        <v>ACROPOLIS CONDOMINIUM GARAGE UNIT UNIT 1C-1</v>
      </c>
      <c r="D6042" s="1">
        <v>6.92</v>
      </c>
    </row>
    <row r="6043" spans="1:4" x14ac:dyDescent="0.3">
      <c r="A6043" s="1" t="str">
        <f>"01028859700"</f>
        <v>01028859700</v>
      </c>
      <c r="B6043" s="1" t="str">
        <f>"HUSTON JILL, HUSTON JAMES"</f>
        <v>HUSTON JILL, HUSTON JAMES</v>
      </c>
      <c r="C6043" s="1" t="str">
        <f>"THE JACKSON ON HIGH       CONDOMINIUM               UNIT 602                 "</f>
        <v xml:space="preserve">THE JACKSON ON HIGH       CONDOMINIUM               UNIT 602                 </v>
      </c>
      <c r="D6043" s="1">
        <v>2793.13</v>
      </c>
    </row>
    <row r="6044" spans="1:4" x14ac:dyDescent="0.3">
      <c r="A6044" s="1" t="str">
        <f>"01016205000"</f>
        <v>01016205000</v>
      </c>
      <c r="B6044" s="1" t="str">
        <f>"HUTCHINS CHARLES E, HUTCHINS MAROJAH P"</f>
        <v>HUTCHINS CHARLES E, HUTCHINS MAROJAH P</v>
      </c>
      <c r="C6044" s="1" t="str">
        <f>"HINGHAM LANE FRAMINGHAM LOT 224"</f>
        <v>HINGHAM LANE FRAMINGHAM LOT 224</v>
      </c>
      <c r="D6044" s="1">
        <v>153.72</v>
      </c>
    </row>
    <row r="6045" spans="1:4" x14ac:dyDescent="0.3">
      <c r="A6045" s="1" t="str">
        <f>"01007740000"</f>
        <v>01007740000</v>
      </c>
      <c r="B6045" s="1" t="str">
        <f>"HUTCHINS SESSLEY LEONADRA R, SESSLEY ZOE AA, SESSLEY TYLER SYDNY MICHELLE, SESSLEY PHILIP A"</f>
        <v>HUTCHINS SESSLEY LEONADRA R, SESSLEY ZOE AA, SESSLEY TYLER SYDNY MICHELLE, SESSLEY PHILIP A</v>
      </c>
      <c r="C6045" s="1" t="str">
        <f>"NELSON RD ST MARYS PARK LOT 23"</f>
        <v>NELSON RD ST MARYS PARK LOT 23</v>
      </c>
      <c r="D6045" s="1">
        <v>2108.88</v>
      </c>
    </row>
    <row r="6046" spans="1:4" x14ac:dyDescent="0.3">
      <c r="A6046" s="1" t="str">
        <f>"01011977300"</f>
        <v>01011977300</v>
      </c>
      <c r="B6046" s="1" t="str">
        <f>"HUTCHINSON JOHN C, HUTCHINSON ANGELINA P"</f>
        <v>HUTCHINSON JOHN C, HUTCHINSON ANGELINA P</v>
      </c>
      <c r="C6046" s="1" t="str">
        <f>"KINGSFORD RD WESTGATE TERR LOT 91"</f>
        <v>KINGSFORD RD WESTGATE TERR LOT 91</v>
      </c>
      <c r="D6046" s="1">
        <v>4152.67</v>
      </c>
    </row>
    <row r="6047" spans="1:4" x14ac:dyDescent="0.3">
      <c r="A6047" s="1" t="str">
        <f>"09000276400"</f>
        <v>09000276400</v>
      </c>
      <c r="B6047" s="1" t="str">
        <f>"HUTH THOMAS J TR"</f>
        <v>HUTH THOMAS J TR</v>
      </c>
      <c r="C6047" s="1" t="str">
        <f>"4114 POWELL AV PINEWOOD 299"</f>
        <v>4114 POWELL AV PINEWOOD 299</v>
      </c>
      <c r="D6047" s="1">
        <v>117.49</v>
      </c>
    </row>
    <row r="6048" spans="1:4" x14ac:dyDescent="0.3">
      <c r="A6048" s="1" t="str">
        <f>"57016650000"</f>
        <v>57016650000</v>
      </c>
      <c r="B6048" s="1" t="str">
        <f>"HUTT RUTH A"</f>
        <v>HUTT RUTH A</v>
      </c>
      <c r="C6048" s="1" t="str">
        <f>"WESTBURY VILLAGE CONDOMINIUM NO 3 UNIT 10-D"</f>
        <v>WESTBURY VILLAGE CONDOMINIUM NO 3 UNIT 10-D</v>
      </c>
      <c r="D6048" s="1">
        <v>400</v>
      </c>
    </row>
    <row r="6049" spans="1:4" x14ac:dyDescent="0.3">
      <c r="A6049" s="1" t="str">
        <f>"01028920900"</f>
        <v>01028920900</v>
      </c>
      <c r="B6049" s="1" t="str">
        <f>"HUTTA CHRISTOPHER J"</f>
        <v>HUTTA CHRISTOPHER J</v>
      </c>
      <c r="C6049" s="1" t="str">
        <f>"THE FALLS AT HAYDEN RUN CONDOMINIUM 15TH AMD BLDG 84 UNIT 84-5338"</f>
        <v>THE FALLS AT HAYDEN RUN CONDOMINIUM 15TH AMD BLDG 84 UNIT 84-5338</v>
      </c>
      <c r="D6049" s="1">
        <v>218.25</v>
      </c>
    </row>
    <row r="6050" spans="1:4" x14ac:dyDescent="0.3">
      <c r="A6050" s="1" t="str">
        <f>"01007594000"</f>
        <v>01007594000</v>
      </c>
      <c r="B6050" s="1" t="str">
        <f>"HUTTON DAVID A JR, HUTTON CHRISTINA M JR"</f>
        <v>HUTTON DAVID A JR, HUTTON CHRISTINA M JR</v>
      </c>
      <c r="C6050" s="1" t="str">
        <f>"GRASMERE AVE N GRASMERE LOT 184-185"</f>
        <v>GRASMERE AVE N GRASMERE LOT 184-185</v>
      </c>
      <c r="D6050" s="1">
        <v>2415.84</v>
      </c>
    </row>
    <row r="6051" spans="1:4" x14ac:dyDescent="0.3">
      <c r="A6051" s="1" t="str">
        <f>"01007368300"</f>
        <v>01007368300</v>
      </c>
      <c r="B6051" s="1" t="str">
        <f>"HUTTON DAVID A JR, HUTTON CHRISTINA M JR"</f>
        <v>HUTTON DAVID A JR, HUTTON CHRISTINA M JR</v>
      </c>
      <c r="C6051" s="1" t="str">
        <f>"2603 ATWOOD TERRACE ALMADA ADDN LOT 58"</f>
        <v>2603 ATWOOD TERRACE ALMADA ADDN LOT 58</v>
      </c>
      <c r="D6051" s="1">
        <v>2057.4499999999998</v>
      </c>
    </row>
    <row r="6052" spans="1:4" x14ac:dyDescent="0.3">
      <c r="A6052" s="1" t="str">
        <f>"01015284900"</f>
        <v>01015284900</v>
      </c>
      <c r="B6052" s="1" t="str">
        <f>"HUYNH CHI"</f>
        <v>HUYNH CHI</v>
      </c>
      <c r="C6052" s="1" t="str">
        <f>"SUMAC DR FOREST PARK E SEC 9 LOT 1355"</f>
        <v>SUMAC DR FOREST PARK E SEC 9 LOT 1355</v>
      </c>
      <c r="D6052" s="1">
        <v>200.83</v>
      </c>
    </row>
    <row r="6053" spans="1:4" x14ac:dyDescent="0.3">
      <c r="A6053" s="1" t="str">
        <f>"01009134500"</f>
        <v>01009134500</v>
      </c>
      <c r="B6053" s="1" t="str">
        <f>"HUYNH TAM M"</f>
        <v>HUYNH TAM M</v>
      </c>
      <c r="C6053" s="1" t="str">
        <f>"ASHBURTON RD EASTHAMPTON LOT 121"</f>
        <v>ASHBURTON RD EASTHAMPTON LOT 121</v>
      </c>
      <c r="D6053" s="1">
        <v>252.17</v>
      </c>
    </row>
    <row r="6054" spans="1:4" x14ac:dyDescent="0.3">
      <c r="A6054" s="1" t="str">
        <f>"59020033000"</f>
        <v>59020033000</v>
      </c>
      <c r="B6054" s="1" t="str">
        <f>"HWANG BYEONG YUL"</f>
        <v>HWANG BYEONG YUL</v>
      </c>
      <c r="C6054" s="1" t="str">
        <f>"HEDGEROW ROAD ENCLAVE CONDO UNIT 2245C"</f>
        <v>HEDGEROW ROAD ENCLAVE CONDO UNIT 2245C</v>
      </c>
      <c r="D6054" s="1">
        <v>3404.23</v>
      </c>
    </row>
    <row r="6055" spans="1:4" x14ac:dyDescent="0.3">
      <c r="A6055" s="1" t="str">
        <f>"01003580500"</f>
        <v>01003580500</v>
      </c>
      <c r="B6055" s="1" t="str">
        <f>"HWP INC"</f>
        <v>HWP INC</v>
      </c>
      <c r="C6055" s="1" t="str">
        <f>"678 MILLER AVE MILLER LOT 82"</f>
        <v>678 MILLER AVE MILLER LOT 82</v>
      </c>
      <c r="D6055" s="1">
        <v>400.59</v>
      </c>
    </row>
    <row r="6056" spans="1:4" x14ac:dyDescent="0.3">
      <c r="A6056" s="1" t="str">
        <f>"01004284200"</f>
        <v>01004284200</v>
      </c>
      <c r="B6056" s="1" t="str">
        <f>"HYFIELD MACHINERY SALES RENTAL INC"</f>
        <v>HYFIELD MACHINERY SALES RENTAL INC</v>
      </c>
      <c r="C6056" s="1" t="str">
        <f>"FOURTH AVENUE DEVON SUB LOT 68 (30' X 143')"</f>
        <v>FOURTH AVENUE DEVON SUB LOT 68 (30' X 143')</v>
      </c>
      <c r="D6056" s="1">
        <v>3.18</v>
      </c>
    </row>
    <row r="6057" spans="1:4" x14ac:dyDescent="0.3">
      <c r="A6057" s="1" t="str">
        <f>"01017058200"</f>
        <v>01017058200</v>
      </c>
      <c r="B6057" s="1" t="str">
        <f>"HYLTON OLAN R, HYLTON STARLETT L"</f>
        <v>HYLTON OLAN R, HYLTON STARLETT L</v>
      </c>
      <c r="C6057" s="1" t="str">
        <f>"STACIE LANE WINDNG HLLS A SUB CR SC 2 LOT 21"</f>
        <v>STACIE LANE WINDNG HLLS A SUB CR SC 2 LOT 21</v>
      </c>
      <c r="D6057" s="1">
        <v>1928.33</v>
      </c>
    </row>
    <row r="6058" spans="1:4" x14ac:dyDescent="0.3">
      <c r="A6058" s="1" t="str">
        <f>"27300771100"</f>
        <v>27300771100</v>
      </c>
      <c r="B6058" s="1" t="str">
        <f>"HYNDMAN JOHN, HYNDMAN CATHERINE"</f>
        <v>HYNDMAN JOHN, HYNDMAN CATHERINE</v>
      </c>
      <c r="C6058" s="1" t="str">
        <f>"BALFOURE CIRCLE SHEFFIELD PLACE SECTION 2 LOT 59"</f>
        <v>BALFOURE CIRCLE SHEFFIELD PLACE SECTION 2 LOT 59</v>
      </c>
      <c r="D6058" s="1">
        <v>1277.98</v>
      </c>
    </row>
    <row r="6059" spans="1:4" x14ac:dyDescent="0.3">
      <c r="A6059" s="1" t="str">
        <f>"01005202500"</f>
        <v>01005202500</v>
      </c>
      <c r="B6059" s="1" t="str">
        <f>"HYPES WILLIAM J"</f>
        <v>HYPES WILLIAM J</v>
      </c>
      <c r="C6059" s="1" t="str">
        <f>"2792 SIXTH AVE LOT 520 "</f>
        <v xml:space="preserve">2792 SIXTH AVE LOT 520 </v>
      </c>
      <c r="D6059" s="1">
        <v>635.53</v>
      </c>
    </row>
    <row r="6060" spans="1:4" x14ac:dyDescent="0.3">
      <c r="A6060" s="1" t="str">
        <f>"01002975800"</f>
        <v>01002975800</v>
      </c>
      <c r="B6060" s="1" t="str">
        <f>"HYSELL CHAD P, HYSELL TEX S"</f>
        <v>HYSELL CHAD P, HYSELL TEX S</v>
      </c>
      <c r="C6060" s="1" t="str">
        <f>"248 E 18TH AVE INDIANOLA FOREST LOT 68"</f>
        <v>248 E 18TH AVE INDIANOLA FOREST LOT 68</v>
      </c>
      <c r="D6060" s="1">
        <v>2840.85</v>
      </c>
    </row>
    <row r="6061" spans="1:4" x14ac:dyDescent="0.3">
      <c r="A6061" s="1" t="str">
        <f>"01006302500"</f>
        <v>01006302500</v>
      </c>
      <c r="B6061" s="1" t="str">
        <f>"HYSELL ROGER W II"</f>
        <v>HYSELL ROGER W II</v>
      </c>
      <c r="C6061" s="1" t="str">
        <f>"STUDER AVE THE HAAG LOT 11"</f>
        <v>STUDER AVE THE HAAG LOT 11</v>
      </c>
      <c r="D6061" s="1">
        <v>2462.5500000000002</v>
      </c>
    </row>
    <row r="6062" spans="1:4" x14ac:dyDescent="0.3">
      <c r="A6062" s="1" t="str">
        <f>"01018744400"</f>
        <v>01018744400</v>
      </c>
      <c r="B6062" s="1" t="str">
        <f>"I &amp; O PROPERTY INVESTMENTS LLC"</f>
        <v>I &amp; O PROPERTY INVESTMENTS LLC</v>
      </c>
      <c r="C6062" s="1" t="str">
        <f>"TAMARACK BL TAMARACK CONDOMINIUM UNIT 5727-G BLDG 3"</f>
        <v>TAMARACK BL TAMARACK CONDOMINIUM UNIT 5727-G BLDG 3</v>
      </c>
      <c r="D6062" s="1">
        <v>1997.96</v>
      </c>
    </row>
    <row r="6063" spans="1:4" x14ac:dyDescent="0.3">
      <c r="A6063" s="1" t="str">
        <f>"01001602300"</f>
        <v>01001602300</v>
      </c>
      <c r="B6063" s="1" t="str">
        <f>"I&amp;S BUILDERS LLC"</f>
        <v>I&amp;S BUILDERS LLC</v>
      </c>
      <c r="C6063" s="1" t="str">
        <f>"1064 HEYL AVE CITY PARK LOT 16-17"</f>
        <v>1064 HEYL AVE CITY PARK LOT 16-17</v>
      </c>
      <c r="D6063" s="1">
        <v>433.61</v>
      </c>
    </row>
    <row r="6064" spans="1:4" x14ac:dyDescent="0.3">
      <c r="A6064" s="1" t="str">
        <f>"01012943300"</f>
        <v>01012943300</v>
      </c>
      <c r="B6064" s="1" t="str">
        <f>"IAAD LIMITED LIABILITY COMPANY"</f>
        <v>IAAD LIMITED LIABILITY COMPANY</v>
      </c>
      <c r="C6064" s="1" t="str">
        <f>"MARECO EAST LOT 50 "</f>
        <v xml:space="preserve">MARECO EAST LOT 50 </v>
      </c>
      <c r="D6064" s="1">
        <v>743.22</v>
      </c>
    </row>
    <row r="6065" spans="1:4" x14ac:dyDescent="0.3">
      <c r="A6065" s="1" t="str">
        <f>"01017060000"</f>
        <v>01017060000</v>
      </c>
      <c r="B6065" s="1" t="str">
        <f>"IACOBONE ANGELO, IACOBONE ANTONELLA"</f>
        <v>IACOBONE ANGELO, IACOBONE ANTONELLA</v>
      </c>
      <c r="C6065" s="1" t="str">
        <f>"WEBSTER CANYON CT WEBSTER CANYON LOT 10"</f>
        <v>WEBSTER CANYON CT WEBSTER CANYON LOT 10</v>
      </c>
      <c r="D6065" s="1">
        <v>2416.65</v>
      </c>
    </row>
    <row r="6066" spans="1:4" x14ac:dyDescent="0.3">
      <c r="A6066" s="1" t="str">
        <f>"01017060300"</f>
        <v>01017060300</v>
      </c>
      <c r="B6066" s="1" t="str">
        <f>"IACOBONE ANGELO, IACOBONE ANTONELLA"</f>
        <v>IACOBONE ANGELO, IACOBONE ANTONELLA</v>
      </c>
      <c r="C6066" s="1" t="str">
        <f>"WEBSTER CANYON CT WEBSTER CANYON LOT 13"</f>
        <v>WEBSTER CANYON CT WEBSTER CANYON LOT 13</v>
      </c>
      <c r="D6066" s="1">
        <v>2410.87</v>
      </c>
    </row>
    <row r="6067" spans="1:4" x14ac:dyDescent="0.3">
      <c r="A6067" s="1" t="str">
        <f>"01010412300"</f>
        <v>01010412300</v>
      </c>
      <c r="B6067" s="1" t="str">
        <f>"IAGUNAS FIDEL"</f>
        <v>IAGUNAS FIDEL</v>
      </c>
      <c r="C6067" s="1" t="str">
        <f>"1406 MILLER AVE LOCKBOURNE AVE LOT 83"</f>
        <v>1406 MILLER AVE LOCKBOURNE AVE LOT 83</v>
      </c>
      <c r="D6067" s="1">
        <v>2975.24</v>
      </c>
    </row>
    <row r="6068" spans="1:4" x14ac:dyDescent="0.3">
      <c r="A6068" s="1" t="str">
        <f>"04000533400"</f>
        <v>04000533400</v>
      </c>
      <c r="B6068" s="1" t="str">
        <f>"IAMS JOHN R"</f>
        <v>IAMS JOHN R</v>
      </c>
      <c r="C6068" s="1" t="str">
        <f>"6186 BEAVER LAKE DR INDIAN TRAILS SEC 1 LOT 98"</f>
        <v>6186 BEAVER LAKE DR INDIAN TRAILS SEC 1 LOT 98</v>
      </c>
      <c r="D6068" s="1">
        <v>247.42</v>
      </c>
    </row>
    <row r="6069" spans="1:4" x14ac:dyDescent="0.3">
      <c r="A6069" s="1" t="str">
        <f>"58026197700"</f>
        <v>58026197700</v>
      </c>
      <c r="B6069" s="1" t="str">
        <f>"IANNARINO MARY"</f>
        <v>IANNARINO MARY</v>
      </c>
      <c r="C6069" s="1" t="str">
        <f>"THE RESIDENCES AT SCIOTO CONDOMINIUMS UNIT 207"</f>
        <v>THE RESIDENCES AT SCIOTO CONDOMINIUMS UNIT 207</v>
      </c>
      <c r="D6069" s="1">
        <v>2270.4</v>
      </c>
    </row>
    <row r="6070" spans="1:4" x14ac:dyDescent="0.3">
      <c r="A6070" s="1" t="str">
        <f>"01028280400"</f>
        <v>01028280400</v>
      </c>
      <c r="B6070" s="1" t="str">
        <f>"IBEW LOCAL UNION 71 BUILDING CORPORATION"</f>
        <v>IBEW LOCAL UNION 71 BUILDING CORPORATION</v>
      </c>
      <c r="C6070" s="1" t="str">
        <f>"2280 CITYGATE DRIVE R17 T1 1/4T3 2.621 ACRES"</f>
        <v>2280 CITYGATE DRIVE R17 T1 1/4T3 2.621 ACRES</v>
      </c>
      <c r="D6070" s="1">
        <v>42357.73</v>
      </c>
    </row>
    <row r="6071" spans="1:4" x14ac:dyDescent="0.3">
      <c r="A6071" s="1" t="str">
        <f>"27400059800"</f>
        <v>27400059800</v>
      </c>
      <c r="B6071" s="1" t="str">
        <f>"IBRAHIM KAWTHAR, IBRAHIM FAYSAL"</f>
        <v>IBRAHIM KAWTHAR, IBRAHIM FAYSAL</v>
      </c>
      <c r="C6071" s="1" t="str">
        <f>"BARONSMORE WAY BALLANTRAE SECTION 2 PART 3 LOT 235"</f>
        <v>BARONSMORE WAY BALLANTRAE SECTION 2 PART 3 LOT 235</v>
      </c>
      <c r="D6071" s="1">
        <v>882.44</v>
      </c>
    </row>
    <row r="6072" spans="1:4" x14ac:dyDescent="0.3">
      <c r="A6072" s="1" t="str">
        <f>"01007499300"</f>
        <v>01007499300</v>
      </c>
      <c r="B6072" s="1" t="str">
        <f>"IBRAHIM NAEMA BASHIR"</f>
        <v>IBRAHIM NAEMA BASHIR</v>
      </c>
      <c r="C6072" s="1" t="str">
        <f>"MCGUFFEY RD GRASMERE GARDENS LOT230"</f>
        <v>MCGUFFEY RD GRASMERE GARDENS LOT230</v>
      </c>
      <c r="D6072" s="1">
        <v>1511.8</v>
      </c>
    </row>
    <row r="6073" spans="1:4" x14ac:dyDescent="0.3">
      <c r="A6073" s="1" t="str">
        <f>"01004643300"</f>
        <v>01004643300</v>
      </c>
      <c r="B6073" s="1" t="str">
        <f>"ICC SAFETY SURFACES INC"</f>
        <v>ICC SAFETY SURFACES INC</v>
      </c>
      <c r="C6073" s="1" t="str">
        <f>"LEONA AVE SA SHOEMAKER HRS LOT 20"</f>
        <v>LEONA AVE SA SHOEMAKER HRS LOT 20</v>
      </c>
      <c r="D6073" s="1">
        <v>1420.7</v>
      </c>
    </row>
    <row r="6074" spans="1:4" x14ac:dyDescent="0.3">
      <c r="A6074" s="1" t="str">
        <f>"01021303500"</f>
        <v>01021303500</v>
      </c>
      <c r="B6074" s="1" t="str">
        <f>"ICKERT HEINZ, ICKERT GRETCHEN"</f>
        <v>ICKERT HEINZ, ICKERT GRETCHEN</v>
      </c>
      <c r="C6074" s="1" t="str">
        <f>"KATHERINES RIDGE LN KATHERINES WOOD LOT 17"</f>
        <v>KATHERINES RIDGE LN KATHERINES WOOD LOT 17</v>
      </c>
      <c r="D6074" s="1">
        <v>414.55</v>
      </c>
    </row>
    <row r="6075" spans="1:4" x14ac:dyDescent="0.3">
      <c r="A6075" s="1" t="str">
        <f>"01002041100"</f>
        <v>01002041100</v>
      </c>
      <c r="B6075" s="1" t="str">
        <f>"IE CAPITAL LLC"</f>
        <v>IE CAPITAL LLC</v>
      </c>
      <c r="C6075" s="1" t="str">
        <f>"64 S PRINCETON AVE WEST PARK LOT 779"</f>
        <v>64 S PRINCETON AVE WEST PARK LOT 779</v>
      </c>
      <c r="D6075" s="1">
        <v>2941.99</v>
      </c>
    </row>
    <row r="6076" spans="1:4" x14ac:dyDescent="0.3">
      <c r="A6076" s="1" t="str">
        <f>"01015753900"</f>
        <v>01015753900</v>
      </c>
      <c r="B6076" s="1" t="str">
        <f>"IFEDI ROSAIRE O"</f>
        <v>IFEDI ROSAIRE O</v>
      </c>
      <c r="C6076" s="1" t="str">
        <f>"SCOTTSDALE AV THE GABLES WEST LOT 265"</f>
        <v>SCOTTSDALE AV THE GABLES WEST LOT 265</v>
      </c>
      <c r="D6076" s="1">
        <v>3437.75</v>
      </c>
    </row>
    <row r="6077" spans="1:4" x14ac:dyDescent="0.3">
      <c r="A6077" s="1" t="str">
        <f>"01017122500"</f>
        <v>01017122500</v>
      </c>
      <c r="B6077" s="1" t="str">
        <f>"IFTIN INVESTMENT PROPERTIES LLC"</f>
        <v>IFTIN INVESTMENT PROPERTIES LLC</v>
      </c>
      <c r="C6077" s="1" t="str">
        <f>"CHATEAU MORSE CONDO LOT 4327 "</f>
        <v xml:space="preserve">CHATEAU MORSE CONDO LOT 4327 </v>
      </c>
      <c r="D6077" s="1">
        <v>158.87</v>
      </c>
    </row>
    <row r="6078" spans="1:4" x14ac:dyDescent="0.3">
      <c r="A6078" s="1" t="str">
        <f>"11300070300"</f>
        <v>11300070300</v>
      </c>
      <c r="B6078" s="1" t="str">
        <f>"IFTIN INVESTMENT PROPERTIES LLC"</f>
        <v>IFTIN INVESTMENT PROPERTIES LLC</v>
      </c>
      <c r="C6078" s="1" t="str">
        <f>"5282 CLEVELAND AVE MINERVA PARK 285 "</f>
        <v xml:space="preserve">5282 CLEVELAND AVE MINERVA PARK 285 </v>
      </c>
      <c r="D6078" s="1">
        <v>2353.84</v>
      </c>
    </row>
    <row r="6079" spans="1:4" x14ac:dyDescent="0.3">
      <c r="A6079" s="1" t="str">
        <f>"01014473500"</f>
        <v>01014473500</v>
      </c>
      <c r="B6079" s="1" t="str">
        <f>"IFTIN INVESTMENT PROPERTIES LLC"</f>
        <v>IFTIN INVESTMENT PROPERTIES LLC</v>
      </c>
      <c r="C6079" s="1" t="str">
        <f>"WALNUT HILL PK DR AMD WALNUT HILL PK SEC 2 LOT 239"</f>
        <v>WALNUT HILL PK DR AMD WALNUT HILL PK SEC 2 LOT 239</v>
      </c>
      <c r="D6079" s="1">
        <v>1318.17</v>
      </c>
    </row>
    <row r="6080" spans="1:4" x14ac:dyDescent="0.3">
      <c r="A6080" s="1" t="str">
        <f>"18500255000"</f>
        <v>18500255000</v>
      </c>
      <c r="B6080" s="1" t="str">
        <f>"IGLESIA DE DIOS PENTECOSTAL GETSEMANI"</f>
        <v>IGLESIA DE DIOS PENTECOSTAL GETSEMANI</v>
      </c>
      <c r="C6080" s="1" t="str">
        <f>"GROVEPORT PIKE R21 T11 20-9 0.597 ACRE"</f>
        <v>GROVEPORT PIKE R21 T11 20-9 0.597 ACRE</v>
      </c>
      <c r="D6080" s="1">
        <v>756.88</v>
      </c>
    </row>
    <row r="6081" spans="1:4" x14ac:dyDescent="0.3">
      <c r="A6081" s="1" t="str">
        <f>"01012762200"</f>
        <v>01012762200</v>
      </c>
      <c r="B6081" s="1" t="str">
        <f>"IKOBI PARTRICK C"</f>
        <v>IKOBI PARTRICK C</v>
      </c>
      <c r="C6081" s="1" t="str">
        <f>"RIVERDALE RD PINE HILLS LOT 263"</f>
        <v>RIVERDALE RD PINE HILLS LOT 263</v>
      </c>
      <c r="D6081" s="1">
        <v>3474.41</v>
      </c>
    </row>
    <row r="6082" spans="1:4" x14ac:dyDescent="0.3">
      <c r="A6082" s="1" t="str">
        <f>"01004982800"</f>
        <v>01004982800</v>
      </c>
      <c r="B6082" s="1" t="str">
        <f>"ILH LLC"</f>
        <v>ILH LLC</v>
      </c>
      <c r="C6082" s="1" t="str">
        <f>"2668-2670 E 5TH AVE NORTH BEXLEY VIEW 3 SE LOT 5 EX IRR SEC SS"</f>
        <v>2668-2670 E 5TH AVE NORTH BEXLEY VIEW 3 SE LOT 5 EX IRR SEC SS</v>
      </c>
      <c r="D6082" s="1">
        <v>145.62</v>
      </c>
    </row>
    <row r="6083" spans="1:4" x14ac:dyDescent="0.3">
      <c r="A6083" s="1" t="str">
        <f>"01018325200"</f>
        <v>01018325200</v>
      </c>
      <c r="B6083" s="1" t="str">
        <f>"ILIEV CRISTINA"</f>
        <v>ILIEV CRISTINA</v>
      </c>
      <c r="C6083" s="1" t="str">
        <f>"SCOTLAND YARD CONDO UNIT 5840-B BLDG 37 "</f>
        <v xml:space="preserve">SCOTLAND YARD CONDO UNIT 5840-B BLDG 37 </v>
      </c>
      <c r="D6083" s="1">
        <v>1070.08</v>
      </c>
    </row>
    <row r="6084" spans="1:4" x14ac:dyDescent="0.3">
      <c r="A6084" s="1" t="str">
        <f>"01002626400"</f>
        <v>01002626400</v>
      </c>
      <c r="B6084" s="1" t="str">
        <f>"ILIEV NIKOLA"</f>
        <v>ILIEV NIKOLA</v>
      </c>
      <c r="C6084" s="1" t="str">
        <f>"913 KESSLER ST KESSLER ADD LOT 38"</f>
        <v>913 KESSLER ST KESSLER ADD LOT 38</v>
      </c>
      <c r="D6084" s="1">
        <v>282.47000000000003</v>
      </c>
    </row>
    <row r="6085" spans="1:4" x14ac:dyDescent="0.3">
      <c r="A6085" s="1" t="str">
        <f>"01023054900"</f>
        <v>01023054900</v>
      </c>
      <c r="B6085" s="1" t="str">
        <f>"ILPT WILLIAMS ROAD LLC"</f>
        <v>ILPT WILLIAMS ROAD LLC</v>
      </c>
      <c r="C6085" s="1" t="str">
        <f>"GROVEPORT ROAD R22 T4 S11 24.486 ACRES"</f>
        <v>GROVEPORT ROAD R22 T4 S11 24.486 ACRES</v>
      </c>
      <c r="D6085" s="1">
        <v>20136.12</v>
      </c>
    </row>
    <row r="6086" spans="1:4" x14ac:dyDescent="0.3">
      <c r="A6086" s="1" t="str">
        <f>"01011349100"</f>
        <v>01011349100</v>
      </c>
      <c r="B6086" s="1" t="str">
        <f>"IM INVESTMENTS LLC"</f>
        <v>IM INVESTMENTS LLC</v>
      </c>
      <c r="C6086" s="1" t="str">
        <f>"SOUTH HIGH GARDENS LOT 17 "</f>
        <v xml:space="preserve">SOUTH HIGH GARDENS LOT 17 </v>
      </c>
      <c r="D6086" s="1">
        <v>3503.21</v>
      </c>
    </row>
    <row r="6087" spans="1:4" x14ac:dyDescent="0.3">
      <c r="A6087" s="1" t="str">
        <f>"01001758700"</f>
        <v>01001758700</v>
      </c>
      <c r="B6087" s="1" t="str">
        <f>"IM INVESTMENTS LLC"</f>
        <v>IM INVESTMENTS LLC</v>
      </c>
      <c r="C6087" s="1" t="str">
        <f>"1009-1011 17TH AVE LOUIS HTS LOT 335"</f>
        <v>1009-1011 17TH AVE LOUIS HTS LOT 335</v>
      </c>
      <c r="D6087" s="1">
        <v>2661.14</v>
      </c>
    </row>
    <row r="6088" spans="1:4" x14ac:dyDescent="0.3">
      <c r="A6088" s="1" t="str">
        <f>"03000172500"</f>
        <v>03000172500</v>
      </c>
      <c r="B6088" s="1" t="str">
        <f>"IMBER ROBERT S, BUCKINGHAM IMBER MARY ANN"</f>
        <v>IMBER ROBERT S, BUCKINGHAM IMBER MARY ANN</v>
      </c>
      <c r="C6088" s="1" t="str">
        <f>"1204 HOPE AVE LOT 206 NORTHWEST BLVD 3"</f>
        <v>1204 HOPE AVE LOT 206 NORTHWEST BLVD 3</v>
      </c>
      <c r="D6088" s="1">
        <v>5555.43</v>
      </c>
    </row>
    <row r="6089" spans="1:4" x14ac:dyDescent="0.3">
      <c r="A6089" s="1" t="str">
        <f>"08000750000"</f>
        <v>08000750000</v>
      </c>
      <c r="B6089" s="1" t="str">
        <f>"IMLER DENISE M"</f>
        <v>IMLER DENISE M</v>
      </c>
      <c r="C6089" s="1" t="str">
        <f>"401 S SPRING RD CANYON CREEK SEC 1 LOT 62"</f>
        <v>401 S SPRING RD CANYON CREEK SEC 1 LOT 62</v>
      </c>
      <c r="D6089" s="1">
        <v>333.58</v>
      </c>
    </row>
    <row r="6090" spans="1:4" x14ac:dyDescent="0.3">
      <c r="A6090" s="1" t="str">
        <f>"01010282100"</f>
        <v>01010282100</v>
      </c>
      <c r="B6090" s="1" t="str">
        <f>"IMMEL PHILLIP D, IMMEL KIMBERLY"</f>
        <v>IMMEL PHILLIP D, IMMEL KIMBERLY</v>
      </c>
      <c r="C6090" s="1" t="str">
        <f>"905 MIRIAM DR E MIRIAM 4 LOT 14 BLK 20"</f>
        <v>905 MIRIAM DR E MIRIAM 4 LOT 14 BLK 20</v>
      </c>
      <c r="D6090" s="1">
        <v>3736.47</v>
      </c>
    </row>
    <row r="6091" spans="1:4" x14ac:dyDescent="0.3">
      <c r="A6091" s="1" t="str">
        <f>"11000011300"</f>
        <v>11000011300</v>
      </c>
      <c r="B6091" s="1" t="str">
        <f>"IMMESOETE PHILLIP A"</f>
        <v>IMMESOETE PHILLIP A</v>
      </c>
      <c r="C6091" s="1" t="str">
        <f>"CUBBAGE RD R17 T2 1/4T1 5.63 ACRES"</f>
        <v>CUBBAGE RD R17 T2 1/4T1 5.63 ACRES</v>
      </c>
      <c r="D6091" s="1">
        <v>2075.83</v>
      </c>
    </row>
    <row r="6092" spans="1:4" x14ac:dyDescent="0.3">
      <c r="A6092" s="1" t="str">
        <f>"01001614000"</f>
        <v>01001614000</v>
      </c>
      <c r="B6092" s="1" t="str">
        <f>"IMPACT VENTURES VII LLC"</f>
        <v>IMPACT VENTURES VII LLC</v>
      </c>
      <c r="C6092" s="1" t="str">
        <f>"SHAWNEE AVE EX6FT W END HAMILTON 2ND GDN LOT 20"</f>
        <v>SHAWNEE AVE EX6FT W END HAMILTON 2ND GDN LOT 20</v>
      </c>
      <c r="D6092" s="1">
        <v>236.49</v>
      </c>
    </row>
    <row r="6093" spans="1:4" x14ac:dyDescent="0.3">
      <c r="A6093" s="1" t="str">
        <f>"26400003900"</f>
        <v>26400003900</v>
      </c>
      <c r="B6093" s="1" t="str">
        <f>"INABNITT ANNE L TR"</f>
        <v>INABNITT ANNE L TR</v>
      </c>
      <c r="C6093" s="1" t="str">
        <f>"HIGH ST POWELLS 25 "</f>
        <v xml:space="preserve">HIGH ST POWELLS 25 </v>
      </c>
      <c r="D6093" s="1">
        <v>55.9</v>
      </c>
    </row>
    <row r="6094" spans="1:4" x14ac:dyDescent="0.3">
      <c r="A6094" s="1" t="str">
        <f>"01003783900"</f>
        <v>01003783900</v>
      </c>
      <c r="B6094" s="1" t="str">
        <f>"INCLUSIVE PROPERTIES LLC"</f>
        <v>INCLUSIVE PROPERTIES LLC</v>
      </c>
      <c r="C6094" s="1" t="str">
        <f>"899 INGLESIDE AVE         241.25FT INGLESIDE        AVE .5 ACRES             "</f>
        <v xml:space="preserve">899 INGLESIDE AVE         241.25FT INGLESIDE        AVE .5 ACRES             </v>
      </c>
      <c r="D6094" s="1">
        <v>9429.89</v>
      </c>
    </row>
    <row r="6095" spans="1:4" x14ac:dyDescent="0.3">
      <c r="A6095" s="1" t="str">
        <f>"01007672600"</f>
        <v>01007672600</v>
      </c>
      <c r="B6095" s="1" t="str">
        <f>"INDALECIO JEFFREY"</f>
        <v>INDALECIO JEFFREY</v>
      </c>
      <c r="C6095" s="1" t="str">
        <f>"1216-1218 26TH AVE PART OF LOTS 158&amp;159 HOMESTEAD HTS 2"</f>
        <v>1216-1218 26TH AVE PART OF LOTS 158&amp;159 HOMESTEAD HTS 2</v>
      </c>
      <c r="D6095" s="1">
        <v>2877.38</v>
      </c>
    </row>
    <row r="6096" spans="1:4" x14ac:dyDescent="0.3">
      <c r="A6096" s="1" t="str">
        <f>"01001373400"</f>
        <v>01001373400</v>
      </c>
      <c r="B6096" s="1" t="str">
        <f>"INDEPENDENT TAXICAB ASSOCIATION OF COLS INC"</f>
        <v>INDEPENDENT TAXICAB ASSOCIATION OF COLS INC</v>
      </c>
      <c r="C6096" s="1" t="str">
        <f>"SWITZER AVE ELMHURST 2 LOT 10 BLK M"</f>
        <v>SWITZER AVE ELMHURST 2 LOT 10 BLK M</v>
      </c>
      <c r="D6096" s="1">
        <v>252.02</v>
      </c>
    </row>
    <row r="6097" spans="1:4" x14ac:dyDescent="0.3">
      <c r="A6097" s="1" t="str">
        <f>"01015836100"</f>
        <v>01015836100</v>
      </c>
      <c r="B6097" s="1" t="str">
        <f>"INDEPENDENT TAXICAB ASSOCIATION OF COLS INC"</f>
        <v>INDEPENDENT TAXICAB ASSOCIATION OF COLS INC</v>
      </c>
      <c r="C6097" s="1" t="str">
        <f>"SWITZER AVE ELMHURST 2 LOT 8 BLK M"</f>
        <v>SWITZER AVE ELMHURST 2 LOT 8 BLK M</v>
      </c>
      <c r="D6097" s="1">
        <v>9821.7000000000007</v>
      </c>
    </row>
    <row r="6098" spans="1:4" x14ac:dyDescent="0.3">
      <c r="A6098" s="1" t="str">
        <f>"01015836200"</f>
        <v>01015836200</v>
      </c>
      <c r="B6098" s="1" t="str">
        <f>"INDEPENDENT TAXICAB ASSOCIATION OF COLS INC"</f>
        <v>INDEPENDENT TAXICAB ASSOCIATION OF COLS INC</v>
      </c>
      <c r="C6098" s="1" t="str">
        <f>"SWITZER AVE ELMHURST 2 LOT 9 BLK M"</f>
        <v>SWITZER AVE ELMHURST 2 LOT 9 BLK M</v>
      </c>
      <c r="D6098" s="1">
        <v>509.25</v>
      </c>
    </row>
    <row r="6099" spans="1:4" x14ac:dyDescent="0.3">
      <c r="A6099" s="1" t="str">
        <f>"57021892600"</f>
        <v>57021892600</v>
      </c>
      <c r="B6099" s="1" t="str">
        <f>"INFANTE AMY S"</f>
        <v>INFANTE AMY S</v>
      </c>
      <c r="C6099" s="1" t="str">
        <f>"GREYSTONE VILLAGE CONDOMINIUM UNIT 14D"</f>
        <v>GREYSTONE VILLAGE CONDOMINIUM UNIT 14D</v>
      </c>
      <c r="D6099" s="1">
        <v>68.55</v>
      </c>
    </row>
    <row r="6100" spans="1:4" x14ac:dyDescent="0.3">
      <c r="A6100" s="1" t="str">
        <f>"01032739700"</f>
        <v>01032739700</v>
      </c>
      <c r="B6100" s="1" t="str">
        <f>"INFINITI ENTERPRISES LLC"</f>
        <v>INFINITI ENTERPRISES LLC</v>
      </c>
      <c r="C6100" s="1" t="str">
        <f>"PERRY ST WYOMING ADD PT LOT 26 (0.048 ACRE)"</f>
        <v>PERRY ST WYOMING ADD PT LOT 26 (0.048 ACRE)</v>
      </c>
      <c r="D6100" s="1">
        <v>2408.41</v>
      </c>
    </row>
    <row r="6101" spans="1:4" x14ac:dyDescent="0.3">
      <c r="A6101" s="1" t="str">
        <f>"59019696700"</f>
        <v>59019696700</v>
      </c>
      <c r="B6101" s="1" t="str">
        <f>"INFINITY INVESTMENTS OF OHIO LTD"</f>
        <v>INFINITY INVESTMENTS OF OHIO LTD</v>
      </c>
      <c r="C6101" s="1" t="str">
        <f>"5282 WOODRUN BLVD WOODRUN PLC CONDO 1 BLDG 6 UNIT 39"</f>
        <v>5282 WOODRUN BLVD WOODRUN PLC CONDO 1 BLDG 6 UNIT 39</v>
      </c>
      <c r="D6101" s="1">
        <v>199.42</v>
      </c>
    </row>
    <row r="6102" spans="1:4" x14ac:dyDescent="0.3">
      <c r="A6102" s="1" t="str">
        <f>"59023063500"</f>
        <v>59023063500</v>
      </c>
      <c r="B6102" s="1" t="str">
        <f>"INFINITY INVESTMENTS OF OHIO LTD"</f>
        <v>INFINITY INVESTMENTS OF OHIO LTD</v>
      </c>
      <c r="C6102" s="1" t="str">
        <f>"BETHEL COMMONS CONDOMINIUM 9TH AMD UNIT 49B"</f>
        <v>BETHEL COMMONS CONDOMINIUM 9TH AMD UNIT 49B</v>
      </c>
      <c r="D6102" s="1">
        <v>202.41</v>
      </c>
    </row>
    <row r="6103" spans="1:4" x14ac:dyDescent="0.3">
      <c r="A6103" s="1" t="str">
        <f>"24000419500"</f>
        <v>24000419500</v>
      </c>
      <c r="B6103" s="1" t="str">
        <f>"INGALLS ROBERTA A"</f>
        <v>INGALLS ROBERTA A</v>
      </c>
      <c r="C6103" s="1" t="str">
        <f>"REDMOND RD LINCOLN VILLAGE SOUTH 32"</f>
        <v>REDMOND RD LINCOLN VILLAGE SOUTH 32</v>
      </c>
      <c r="D6103" s="1">
        <v>220</v>
      </c>
    </row>
    <row r="6104" spans="1:4" x14ac:dyDescent="0.3">
      <c r="A6104" s="1" t="str">
        <f>"01012310700"</f>
        <v>01012310700</v>
      </c>
      <c r="B6104" s="1" t="str">
        <f>"INGLAND BROOKE"</f>
        <v>INGLAND BROOKE</v>
      </c>
      <c r="C6104" s="1" t="str">
        <f>"ELAINE RD PINECREST 4 LOT 392"</f>
        <v>ELAINE RD PINECREST 4 LOT 392</v>
      </c>
      <c r="D6104" s="1">
        <v>1000</v>
      </c>
    </row>
    <row r="6105" spans="1:4" x14ac:dyDescent="0.3">
      <c r="A6105" s="1" t="str">
        <f>"01024646800"</f>
        <v>01024646800</v>
      </c>
      <c r="B6105" s="1" t="str">
        <f>"INGLIS DAVID M, INGLIS JUDITH S"</f>
        <v>INGLIS DAVID M, INGLIS JUDITH S</v>
      </c>
      <c r="C6105" s="1" t="str">
        <f>"MCNAUGHTEN GROVE LN MCNAUGHTEN GROVE LOT 3"</f>
        <v>MCNAUGHTEN GROVE LN MCNAUGHTEN GROVE LOT 3</v>
      </c>
      <c r="D6105" s="1">
        <v>607.17999999999995</v>
      </c>
    </row>
    <row r="6106" spans="1:4" x14ac:dyDescent="0.3">
      <c r="A6106" s="1" t="str">
        <f>"18600002400"</f>
        <v>18600002400</v>
      </c>
      <c r="B6106" s="1" t="str">
        <f>"INGOLD PATRICIA, INGOLD MATTHEW, INGOLD APRIL"</f>
        <v>INGOLD PATRICIA, INGOLD MATTHEW, INGOLD APRIL</v>
      </c>
      <c r="C6106" s="1" t="str">
        <f>"GROVEPORT PIKE 1.011 ACRES R21 T11 S19"</f>
        <v>GROVEPORT PIKE 1.011 ACRES R21 T11 S19</v>
      </c>
      <c r="D6106" s="1">
        <v>3846.28</v>
      </c>
    </row>
    <row r="6107" spans="1:4" x14ac:dyDescent="0.3">
      <c r="A6107" s="1" t="str">
        <f>"15200020300"</f>
        <v>15200020300</v>
      </c>
      <c r="B6107" s="1" t="str">
        <f>"INGOLD ROGER D"</f>
        <v>INGOLD ROGER D</v>
      </c>
      <c r="C6107" s="1" t="str">
        <f>"4317 CHANDLER AVE COLUMBUS TERRACE 811-812"</f>
        <v>4317 CHANDLER AVE COLUMBUS TERRACE 811-812</v>
      </c>
      <c r="D6107" s="1">
        <v>845.78</v>
      </c>
    </row>
    <row r="6108" spans="1:4" x14ac:dyDescent="0.3">
      <c r="A6108" s="1" t="str">
        <f>"18500107900"</f>
        <v>18500107900</v>
      </c>
      <c r="B6108" s="1" t="str">
        <f>"INGOLD ROGER D, INGOLD MARY J"</f>
        <v>INGOLD ROGER D, INGOLD MARY J</v>
      </c>
      <c r="C6108" s="1" t="str">
        <f>"5134 OLD GROVEPORT RD     R21 T11 S19               10.262 ACRES            "</f>
        <v xml:space="preserve">5134 OLD GROVEPORT RD     R21 T11 S19               10.262 ACRES            </v>
      </c>
      <c r="D6108" s="1">
        <v>352.68</v>
      </c>
    </row>
    <row r="6109" spans="1:4" x14ac:dyDescent="0.3">
      <c r="A6109" s="1" t="str">
        <f>"01004774700"</f>
        <v>01004774700</v>
      </c>
      <c r="B6109" s="1" t="str">
        <f>"INGRAM MARGIE"</f>
        <v>INGRAM MARGIE</v>
      </c>
      <c r="C6109" s="1" t="str">
        <f>"704 SUNBURY AVE FAIRMONT LOT 8"</f>
        <v>704 SUNBURY AVE FAIRMONT LOT 8</v>
      </c>
      <c r="D6109" s="1">
        <v>2187.48</v>
      </c>
    </row>
    <row r="6110" spans="1:4" x14ac:dyDescent="0.3">
      <c r="A6110" s="1" t="str">
        <f>"01014321900"</f>
        <v>01014321900</v>
      </c>
      <c r="B6110" s="1" t="str">
        <f>"INGRAM TIMOTHY W"</f>
        <v>INGRAM TIMOTHY W</v>
      </c>
      <c r="C6110" s="1" t="str">
        <f>"PENFIELD CT S HAVILAND 7 LOT 288"</f>
        <v>PENFIELD CT S HAVILAND 7 LOT 288</v>
      </c>
      <c r="D6110" s="1">
        <v>1028.79</v>
      </c>
    </row>
    <row r="6111" spans="1:4" x14ac:dyDescent="0.3">
      <c r="A6111" s="1" t="str">
        <f>"01003895400"</f>
        <v>01003895400</v>
      </c>
      <c r="B6111" s="1" t="str">
        <f>"INGRAM WILLIAM R"</f>
        <v>INGRAM WILLIAM R</v>
      </c>
      <c r="C6111" s="1" t="str">
        <f>"38 CRESTVIEW RD CREST VIEW LOT 676 7"</f>
        <v>38 CRESTVIEW RD CREST VIEW LOT 676 7</v>
      </c>
      <c r="D6111" s="1">
        <v>6189.67</v>
      </c>
    </row>
    <row r="6112" spans="1:4" x14ac:dyDescent="0.3">
      <c r="A6112" s="1" t="str">
        <f>"01011225800"</f>
        <v>01011225800</v>
      </c>
      <c r="B6112" s="1" t="str">
        <f>"INGWERSEN DANIEL E"</f>
        <v>INGWERSEN DANIEL E</v>
      </c>
      <c r="C6112" s="1" t="str">
        <f>"1.431 ACRES J A CLICKENGER HRS R-22 T-4 S-2"</f>
        <v>1.431 ACRES J A CLICKENGER HRS R-22 T-4 S-2</v>
      </c>
      <c r="D6112" s="1">
        <v>2797.07</v>
      </c>
    </row>
    <row r="6113" spans="1:4" x14ac:dyDescent="0.3">
      <c r="A6113" s="1" t="str">
        <f>"57022120200"</f>
        <v>57022120200</v>
      </c>
      <c r="B6113" s="1" t="str">
        <f>"INKS KEVIN G"</f>
        <v>INKS KEVIN G</v>
      </c>
      <c r="C6113" s="1" t="str">
        <f>"DICKSON DRIVE SCIOTO WOODS S5 PT2 LOT 306 EX 5' NE"</f>
        <v>DICKSON DRIVE SCIOTO WOODS S5 PT2 LOT 306 EX 5' NE</v>
      </c>
      <c r="D6113" s="1">
        <v>183.57</v>
      </c>
    </row>
    <row r="6114" spans="1:4" x14ac:dyDescent="0.3">
      <c r="A6114" s="1" t="str">
        <f>"23000301800"</f>
        <v>23000301800</v>
      </c>
      <c r="B6114" s="1" t="str">
        <f>"INKS WARREN M, MCANDREW DENNIS H"</f>
        <v>INKS WARREN M, MCANDREW DENNIS H</v>
      </c>
      <c r="C6114" s="1" t="str">
        <f>"OPOSSUM RUN ROAD ENTRY 644-2596-7 6.311 ACRES"</f>
        <v>OPOSSUM RUN ROAD ENTRY 644-2596-7 6.311 ACRES</v>
      </c>
      <c r="D6114" s="1">
        <v>11549.82</v>
      </c>
    </row>
    <row r="6115" spans="1:4" x14ac:dyDescent="0.3">
      <c r="A6115" s="1" t="str">
        <f>"01027319100"</f>
        <v>01027319100</v>
      </c>
      <c r="B6115" s="1" t="str">
        <f>"INPLACE INVESTMENTS LLC"</f>
        <v>INPLACE INVESTMENTS LLC</v>
      </c>
      <c r="C6115" s="1" t="str">
        <f>"HAMPTONS AT NEW ALBANY    PARK CONDOMINIUM 7TH AMD  BLDG 27 UNIT 27-7173     "</f>
        <v xml:space="preserve">HAMPTONS AT NEW ALBANY    PARK CONDOMINIUM 7TH AMD  BLDG 27 UNIT 27-7173     </v>
      </c>
      <c r="D6115" s="1">
        <v>3522.33</v>
      </c>
    </row>
    <row r="6116" spans="1:4" x14ac:dyDescent="0.3">
      <c r="A6116" s="1" t="str">
        <f>"05000226700"</f>
        <v>05000226700</v>
      </c>
      <c r="B6116" s="1" t="str">
        <f>"INS ROBOTICS INC"</f>
        <v>INS ROBOTICS INC</v>
      </c>
      <c r="C6116" s="1" t="str">
        <f>"3600 PARKWAY LANE CEMETERY RD 1.50 ACR ENTRY 3001"</f>
        <v>3600 PARKWAY LANE CEMETERY RD 1.50 ACR ENTRY 3001</v>
      </c>
      <c r="D6116" s="1">
        <v>1849.13</v>
      </c>
    </row>
    <row r="6117" spans="1:4" x14ac:dyDescent="0.3">
      <c r="A6117" s="1" t="str">
        <f>"01004511000"</f>
        <v>01004511000</v>
      </c>
      <c r="B6117" s="1" t="str">
        <f>"INTEGRITY 1 HOMES LLC"</f>
        <v>INTEGRITY 1 HOMES LLC</v>
      </c>
      <c r="C6117" s="1" t="str">
        <f>"295 S 18TH ST PARSONS 2ND LOT SUB 29"</f>
        <v>295 S 18TH ST PARSONS 2ND LOT SUB 29</v>
      </c>
      <c r="D6117" s="1">
        <v>1393.74</v>
      </c>
    </row>
    <row r="6118" spans="1:4" x14ac:dyDescent="0.3">
      <c r="A6118" s="1" t="str">
        <f>"01002934400"</f>
        <v>01002934400</v>
      </c>
      <c r="B6118" s="1" t="str">
        <f>"INTEGRITY 1 HOMES LLC"</f>
        <v>INTEGRITY 1 HOMES LLC</v>
      </c>
      <c r="C6118" s="1" t="str">
        <f>"SOUTH 17TH STREET PHELANS EASTERN ADDN LOT 50"</f>
        <v>SOUTH 17TH STREET PHELANS EASTERN ADDN LOT 50</v>
      </c>
      <c r="D6118" s="1">
        <v>1219.05</v>
      </c>
    </row>
    <row r="6119" spans="1:4" x14ac:dyDescent="0.3">
      <c r="A6119" s="1" t="str">
        <f>"01004664600"</f>
        <v>01004664600</v>
      </c>
      <c r="B6119" s="1" t="str">
        <f>"INTERNATIONAL HOUSE OF PIZZA LLC"</f>
        <v>INTERNATIONAL HOUSE OF PIZZA LLC</v>
      </c>
      <c r="C6119" s="1" t="str">
        <f>"817 CAMPBELL AVE OSBORN PL LOT 289"</f>
        <v>817 CAMPBELL AVE OSBORN PL LOT 289</v>
      </c>
      <c r="D6119" s="1">
        <v>2955.44</v>
      </c>
    </row>
    <row r="6120" spans="1:4" x14ac:dyDescent="0.3">
      <c r="A6120" s="1" t="str">
        <f>"12000003100"</f>
        <v>12000003100</v>
      </c>
      <c r="B6120" s="1" t="str">
        <f>"INTERNATIONAL SOCIETY FOR KRISHNA CONSCIOUSNESS GREATER COLUMBUS"</f>
        <v>INTERNATIONAL SOCIETY FOR KRISHNA CONSCIOUSNESS GREATER COLUMBUS</v>
      </c>
      <c r="C6120" s="1" t="str">
        <f>"WALKER ROAD OQ 122 ENTRY 5985 48.687 ACRES"</f>
        <v>WALKER ROAD OQ 122 ENTRY 5985 48.687 ACRES</v>
      </c>
      <c r="D6120" s="1">
        <v>116845.31</v>
      </c>
    </row>
    <row r="6121" spans="1:4" x14ac:dyDescent="0.3">
      <c r="A6121" s="1" t="str">
        <f>"24000243700"</f>
        <v>24000243700</v>
      </c>
      <c r="B6121" s="1" t="str">
        <f>"INTHAVONGSAY SOMSAVANH JACK"</f>
        <v>INTHAVONGSAY SOMSAVANH JACK</v>
      </c>
      <c r="C6121" s="1" t="str">
        <f>"INAH AVE CRELLINS WOODLAWN LOT 32 &amp; PT AL VAC"</f>
        <v>INAH AVE CRELLINS WOODLAWN LOT 32 &amp; PT AL VAC</v>
      </c>
      <c r="D6121" s="1">
        <v>911.04</v>
      </c>
    </row>
    <row r="6122" spans="1:4" x14ac:dyDescent="0.3">
      <c r="A6122" s="1" t="str">
        <f>"17000067400"</f>
        <v>17000067400</v>
      </c>
      <c r="B6122" s="1" t="str">
        <f>"INVESTEK PARTNERS LLC"</f>
        <v>INVESTEK PARTNERS LLC</v>
      </c>
      <c r="C6122" s="1" t="str">
        <f>"8181 HAVENS CORNERS RD R16 T1 1-4TWP 1 PAR 2 URP 2.370 ACRES"</f>
        <v>8181 HAVENS CORNERS RD R16 T1 1-4TWP 1 PAR 2 URP 2.370 ACRES</v>
      </c>
      <c r="D6122" s="1">
        <v>1333.05</v>
      </c>
    </row>
    <row r="6123" spans="1:4" x14ac:dyDescent="0.3">
      <c r="A6123" s="1" t="str">
        <f>"01006630400"</f>
        <v>01006630400</v>
      </c>
      <c r="B6123" s="1" t="str">
        <f>"INVITING HEARTH LLC"</f>
        <v>INVITING HEARTH LLC</v>
      </c>
      <c r="C6123" s="1" t="str">
        <f>"MYRTLE AVE MULBUR PK LOT 65"</f>
        <v>MYRTLE AVE MULBUR PK LOT 65</v>
      </c>
      <c r="D6123" s="1">
        <v>137.4</v>
      </c>
    </row>
    <row r="6124" spans="1:4" x14ac:dyDescent="0.3">
      <c r="A6124" s="1" t="str">
        <f>"01007271600"</f>
        <v>01007271600</v>
      </c>
      <c r="B6124" s="1" t="str">
        <f>"INVITING HEARTH LLC"</f>
        <v>INVITING HEARTH LLC</v>
      </c>
      <c r="C6124" s="1" t="str">
        <f>"AZELDA ST ALMADA LOT 468"</f>
        <v>AZELDA ST ALMADA LOT 468</v>
      </c>
      <c r="D6124" s="1">
        <v>80.790000000000006</v>
      </c>
    </row>
    <row r="6125" spans="1:4" x14ac:dyDescent="0.3">
      <c r="A6125" s="1" t="str">
        <f>"01007391000"</f>
        <v>01007391000</v>
      </c>
      <c r="B6125" s="1" t="str">
        <f>"INVITING HEARTH LLC"</f>
        <v>INVITING HEARTH LLC</v>
      </c>
      <c r="C6125" s="1" t="str">
        <f>"HOMECROFT DRIVE HOMECROFT DRIVE LOT 153"</f>
        <v>HOMECROFT DRIVE HOMECROFT DRIVE LOT 153</v>
      </c>
      <c r="D6125" s="1">
        <v>82.06</v>
      </c>
    </row>
    <row r="6126" spans="1:4" x14ac:dyDescent="0.3">
      <c r="A6126" s="1" t="str">
        <f>"27300309100"</f>
        <v>27300309100</v>
      </c>
      <c r="B6126" s="1" t="str">
        <f>"IOANNIDES GERRY G, IOANNIDES OLGA"</f>
        <v>IOANNIDES GERRY G, IOANNIDES OLGA</v>
      </c>
      <c r="C6126" s="1" t="str">
        <f>"WINDWOOD DRIVE THE WOODS OF DUBLIN SEC 1 LOT 22"</f>
        <v>WINDWOOD DRIVE THE WOODS OF DUBLIN SEC 1 LOT 22</v>
      </c>
      <c r="D6126" s="1">
        <v>576.44000000000005</v>
      </c>
    </row>
    <row r="6127" spans="1:4" x14ac:dyDescent="0.3">
      <c r="A6127" s="1" t="str">
        <f>"01004384300"</f>
        <v>01004384300</v>
      </c>
      <c r="B6127" s="1" t="str">
        <f>"IPLAN GROUP AGENT FOR CUSTODIAN FBO 3321262 ROTH IRA"</f>
        <v>IPLAN GROUP AGENT FOR CUSTODIAN FBO 3321262 ROTH IRA</v>
      </c>
      <c r="C6127" s="1" t="str">
        <f>"S HIGH ST L B TUSSING'S ADD LOT 1"</f>
        <v>S HIGH ST L B TUSSING'S ADD LOT 1</v>
      </c>
      <c r="D6127" s="1">
        <v>982.07</v>
      </c>
    </row>
    <row r="6128" spans="1:4" x14ac:dyDescent="0.3">
      <c r="A6128" s="1" t="str">
        <f>"01011428900"</f>
        <v>01011428900</v>
      </c>
      <c r="B6128" s="1" t="str">
        <f>"IPLAN GROUP AGENT FOR CUSTODIAN FBO 3321262 ROTH IRA, IPLAN GROUP AGENT FOR CUSTODIAN FBO 3321371 ROTH IRA"</f>
        <v>IPLAN GROUP AGENT FOR CUSTODIAN FBO 3321262 ROTH IRA, IPLAN GROUP AGENT FOR CUSTODIAN FBO 3321371 ROTH IRA</v>
      </c>
      <c r="C6128" s="1" t="str">
        <f>"611 LOCK AVE LEWIS SOUTHERN HGTS 52.93'EL SE LTS 68-9"</f>
        <v>611 LOCK AVE LEWIS SOUTHERN HGTS 52.93'EL SE LTS 68-9</v>
      </c>
      <c r="D6128" s="1">
        <v>1170.69</v>
      </c>
    </row>
    <row r="6129" spans="1:4" x14ac:dyDescent="0.3">
      <c r="A6129" s="1" t="str">
        <f>"01005370200"</f>
        <v>01005370200</v>
      </c>
      <c r="B6129" s="1" t="str">
        <f>"IQBAL JAVED"</f>
        <v>IQBAL JAVED</v>
      </c>
      <c r="C6129" s="1" t="str">
        <f>"1532 RICHMOND AVE WOODLAND PARK SUB 27"</f>
        <v>1532 RICHMOND AVE WOODLAND PARK SUB 27</v>
      </c>
      <c r="D6129" s="1">
        <v>233.02</v>
      </c>
    </row>
    <row r="6130" spans="1:4" x14ac:dyDescent="0.3">
      <c r="A6130" s="1" t="str">
        <f>"01018738200"</f>
        <v>01018738200</v>
      </c>
      <c r="B6130" s="1" t="str">
        <f>"IQBAL MOHAMMAD MASUM, AKTER RAZIA"</f>
        <v>IQBAL MOHAMMAD MASUM, AKTER RAZIA</v>
      </c>
      <c r="C6130" s="1" t="str">
        <f>"PINE TREE N TAMARACK CONDOMINIUM UNIT 1743-E BLDG 8"</f>
        <v>PINE TREE N TAMARACK CONDOMINIUM UNIT 1743-E BLDG 8</v>
      </c>
      <c r="D6130" s="1">
        <v>68.33</v>
      </c>
    </row>
    <row r="6131" spans="1:4" x14ac:dyDescent="0.3">
      <c r="A6131" s="1" t="str">
        <f>"01018687500"</f>
        <v>01018687500</v>
      </c>
      <c r="B6131" s="1" t="str">
        <f>"IQBAL MOHAMMAD MASUM, AKTER RAZIA"</f>
        <v>IQBAL MOHAMMAD MASUM, AKTER RAZIA</v>
      </c>
      <c r="C6131" s="1" t="str">
        <f>"LEAFAPPLE LANE APPLEWAY EAST CONDO UNIT 5836 BLDG 11"</f>
        <v>LEAFAPPLE LANE APPLEWAY EAST CONDO UNIT 5836 BLDG 11</v>
      </c>
      <c r="D6131" s="1">
        <v>27.82</v>
      </c>
    </row>
    <row r="6132" spans="1:4" x14ac:dyDescent="0.3">
      <c r="A6132" s="1" t="str">
        <f>"02500337700"</f>
        <v>02500337700</v>
      </c>
      <c r="B6132" s="1" t="str">
        <f>"IQBAL SOHAIL, ANSAR ASMA"</f>
        <v>IQBAL SOHAIL, ANSAR ASMA</v>
      </c>
      <c r="C6132" s="1" t="str">
        <f>"388 GAMEWOOD DRIVE BRENTWOOD ESTATES 3 311"</f>
        <v>388 GAMEWOOD DRIVE BRENTWOOD ESTATES 3 311</v>
      </c>
      <c r="D6132" s="1">
        <v>2449.02</v>
      </c>
    </row>
    <row r="6133" spans="1:4" x14ac:dyDescent="0.3">
      <c r="A6133" s="1" t="str">
        <f>"01011325100"</f>
        <v>01011325100</v>
      </c>
      <c r="B6133" s="1" t="str">
        <f>"IRA AMANDA"</f>
        <v>IRA AMANDA</v>
      </c>
      <c r="C6133" s="1" t="str">
        <f>"2392 5TH ST OBETZ LOT 25"</f>
        <v>2392 5TH ST OBETZ LOT 25</v>
      </c>
      <c r="D6133" s="1">
        <v>518.5</v>
      </c>
    </row>
    <row r="6134" spans="1:4" x14ac:dyDescent="0.3">
      <c r="A6134" s="1" t="str">
        <f>"01011263300"</f>
        <v>01011263300</v>
      </c>
      <c r="B6134" s="1" t="str">
        <f>"IRA RANDOLPH"</f>
        <v>IRA RANDOLPH</v>
      </c>
      <c r="C6134" s="1" t="str">
        <f>"2388 5TH ST OBETZ LOT 24"</f>
        <v>2388 5TH ST OBETZ LOT 24</v>
      </c>
      <c r="D6134" s="1">
        <v>389.16</v>
      </c>
    </row>
    <row r="6135" spans="1:4" x14ac:dyDescent="0.3">
      <c r="A6135" s="1" t="str">
        <f>"01000166400"</f>
        <v>01000166400</v>
      </c>
      <c r="B6135" s="1" t="str">
        <f>"IRAHETA ALDO PERAZA, ORTIZ YANINA"</f>
        <v>IRAHETA ALDO PERAZA, ORTIZ YANINA</v>
      </c>
      <c r="C6135" s="1" t="str">
        <f>"349 S EUREKA AVE BELLEAIRE LOT 176"</f>
        <v>349 S EUREKA AVE BELLEAIRE LOT 176</v>
      </c>
      <c r="D6135" s="1">
        <v>749.65</v>
      </c>
    </row>
    <row r="6136" spans="1:4" x14ac:dyDescent="0.3">
      <c r="A6136" s="1" t="str">
        <f>"01008018900"</f>
        <v>01008018900</v>
      </c>
      <c r="B6136" s="1" t="str">
        <f>"IRONS KEITH L, HAMILTON SHELLY"</f>
        <v>IRONS KEITH L, HAMILTON SHELLY</v>
      </c>
      <c r="C6136" s="1" t="str">
        <f>"SEYMOUR AVE LENOX LOT 92"</f>
        <v>SEYMOUR AVE LENOX LOT 92</v>
      </c>
      <c r="D6136" s="1">
        <v>2590.52</v>
      </c>
    </row>
    <row r="6137" spans="1:4" x14ac:dyDescent="0.3">
      <c r="A6137" s="1" t="str">
        <f>"54520600800"</f>
        <v>54520600800</v>
      </c>
      <c r="B6137" s="1" t="str">
        <f>"IRWIN DIANE M"</f>
        <v>IRWIN DIANE M</v>
      </c>
      <c r="C6137" s="1" t="str">
        <f>"LYNX DRIVE THE GLADE SEC 2 LOT 106"</f>
        <v>LYNX DRIVE THE GLADE SEC 2 LOT 106</v>
      </c>
      <c r="D6137" s="1">
        <v>3888.94</v>
      </c>
    </row>
    <row r="6138" spans="1:4" x14ac:dyDescent="0.3">
      <c r="A6138" s="1" t="str">
        <f>"01012029900"</f>
        <v>01012029900</v>
      </c>
      <c r="B6138" s="1" t="str">
        <f>"IRWIN JUDITH L"</f>
        <v>IRWIN JUDITH L</v>
      </c>
      <c r="C6138" s="1" t="str">
        <f>"BRINKER AVE VALLEYVIEWHEIGHTS LOT 53"</f>
        <v>BRINKER AVE VALLEYVIEWHEIGHTS LOT 53</v>
      </c>
      <c r="D6138" s="1">
        <v>968.12</v>
      </c>
    </row>
    <row r="6139" spans="1:4" x14ac:dyDescent="0.3">
      <c r="A6139" s="1" t="str">
        <f>"01015951400"</f>
        <v>01015951400</v>
      </c>
      <c r="B6139" s="1" t="str">
        <f>"ISA ISSAK"</f>
        <v>ISA ISSAK</v>
      </c>
      <c r="C6139" s="1" t="str">
        <f>"SHARON WOODS SEC 8 ATTERBURY AV LOT 878"</f>
        <v>SHARON WOODS SEC 8 ATTERBURY AV LOT 878</v>
      </c>
      <c r="D6139" s="1">
        <v>4925.13</v>
      </c>
    </row>
    <row r="6140" spans="1:4" x14ac:dyDescent="0.3">
      <c r="A6140" s="1" t="str">
        <f>"04000539400"</f>
        <v>04000539400</v>
      </c>
      <c r="B6140" s="1" t="str">
        <f>"ISAAC RALPH E, ISAAC DONNA M"</f>
        <v>ISAAC RALPH E, ISAAC DONNA M</v>
      </c>
      <c r="C6140" s="1" t="str">
        <f>"2427 CLOVER BLOSSOM MEADOW GROVE SEC 1 LOT 6"</f>
        <v>2427 CLOVER BLOSSOM MEADOW GROVE SEC 1 LOT 6</v>
      </c>
      <c r="D6140" s="1">
        <v>188.35</v>
      </c>
    </row>
    <row r="6141" spans="1:4" x14ac:dyDescent="0.3">
      <c r="A6141" s="1" t="str">
        <f>"09000024300"</f>
        <v>09000024300</v>
      </c>
      <c r="B6141" s="1" t="str">
        <f>"ISABEL CHASE"</f>
        <v>ISABEL CHASE</v>
      </c>
      <c r="C6141" s="1" t="str">
        <f>"LITTLE FLOWER LANE NORTON FIELD PLAT 1 61"</f>
        <v>LITTLE FLOWER LANE NORTON FIELD PLAT 1 61</v>
      </c>
      <c r="D6141" s="1">
        <v>5.47</v>
      </c>
    </row>
    <row r="6142" spans="1:4" x14ac:dyDescent="0.3">
      <c r="A6142" s="1" t="str">
        <f>"01006225800"</f>
        <v>01006225800</v>
      </c>
      <c r="B6142" s="1" t="str">
        <f>"ISALY MATTHEW H, ISALY RICHARD A III"</f>
        <v>ISALY MATTHEW H, ISALY RICHARD A III</v>
      </c>
      <c r="C6142" s="1" t="str">
        <f>"1618TO1624 WESTWOOD SUMMIT PLAIN LOT 176 TO 179"</f>
        <v>1618TO1624 WESTWOOD SUMMIT PLAIN LOT 176 TO 179</v>
      </c>
      <c r="D6142" s="1">
        <v>1476.75</v>
      </c>
    </row>
    <row r="6143" spans="1:4" x14ac:dyDescent="0.3">
      <c r="A6143" s="1" t="str">
        <f>"59020420000"</f>
        <v>59020420000</v>
      </c>
      <c r="B6143" s="1" t="str">
        <f>"ISLAM KAMRUL, TABASSUM TANJIBA"</f>
        <v>ISLAM KAMRUL, TABASSUM TANJIBA</v>
      </c>
      <c r="C6143" s="1" t="str">
        <f>"2034 FRALEY DR MCKITRICK ESTATES SECTION 9 LOT 285"</f>
        <v>2034 FRALEY DR MCKITRICK ESTATES SECTION 9 LOT 285</v>
      </c>
      <c r="D6143" s="1">
        <v>7904.06</v>
      </c>
    </row>
    <row r="6144" spans="1:4" x14ac:dyDescent="0.3">
      <c r="A6144" s="1" t="str">
        <f>"59019244800"</f>
        <v>59019244800</v>
      </c>
      <c r="B6144" s="1" t="str">
        <f>"ISLAM QUAZI"</f>
        <v>ISLAM QUAZI</v>
      </c>
      <c r="C6144" s="1" t="str">
        <f>"MARYHURST DR RIVERSIDE GREEN SO 7 LOT 208"</f>
        <v>MARYHURST DR RIVERSIDE GREEN SO 7 LOT 208</v>
      </c>
      <c r="D6144" s="1">
        <v>743.31</v>
      </c>
    </row>
    <row r="6145" spans="1:4" x14ac:dyDescent="0.3">
      <c r="A6145" s="1" t="str">
        <f>"01012801700"</f>
        <v>01012801700</v>
      </c>
      <c r="B6145" s="1" t="str">
        <f>"ISLAND CITY PROPERTIES LLC"</f>
        <v>ISLAND CITY PROPERTIES LLC</v>
      </c>
      <c r="C6145" s="1" t="str">
        <f>"BERWYN LOT 143 "</f>
        <v xml:space="preserve">BERWYN LOT 143 </v>
      </c>
      <c r="D6145" s="1">
        <v>1666.1</v>
      </c>
    </row>
    <row r="6146" spans="1:4" x14ac:dyDescent="0.3">
      <c r="A6146" s="1" t="str">
        <f>"55029598300"</f>
        <v>55029598300</v>
      </c>
      <c r="B6146" s="1" t="str">
        <f>"ISMAIL AMAL MOHAMMAD, DOYOW SAFIYA ALI"</f>
        <v>ISMAIL AMAL MOHAMMAD, DOYOW SAFIYA ALI</v>
      </c>
      <c r="C6146" s="1" t="str">
        <f>"REYNOLDS CROSSING  SECTION 4 PART 1 LOT 221"</f>
        <v>REYNOLDS CROSSING  SECTION 4 PART 1 LOT 221</v>
      </c>
      <c r="D6146" s="1">
        <v>242.39</v>
      </c>
    </row>
    <row r="6147" spans="1:4" x14ac:dyDescent="0.3">
      <c r="A6147" s="1" t="str">
        <f>"05000734300"</f>
        <v>05000734300</v>
      </c>
      <c r="B6147" s="1" t="str">
        <f>"ISMAIL AYAN"</f>
        <v>ISMAIL AYAN</v>
      </c>
      <c r="C6147" s="1" t="str">
        <f>"SUTTER HOME ROAD SUTTON PLACE SEC 2 LOT 57"</f>
        <v>SUTTER HOME ROAD SUTTON PLACE SEC 2 LOT 57</v>
      </c>
      <c r="D6147" s="1">
        <v>6486.67</v>
      </c>
    </row>
    <row r="6148" spans="1:4" x14ac:dyDescent="0.3">
      <c r="A6148" s="1" t="str">
        <f>"27301101300"</f>
        <v>27301101300</v>
      </c>
      <c r="B6148" s="1" t="str">
        <f>"ISMAIL ELNAGGAR MOHAMMED TR"</f>
        <v>ISMAIL ELNAGGAR MOHAMMED TR</v>
      </c>
      <c r="C6148" s="1" t="str">
        <f>"CLOVER PARK WAY BRYSON COVE LOT 66"</f>
        <v>CLOVER PARK WAY BRYSON COVE LOT 66</v>
      </c>
      <c r="D6148" s="1">
        <v>1026.45</v>
      </c>
    </row>
    <row r="6149" spans="1:4" x14ac:dyDescent="0.3">
      <c r="A6149" s="1" t="str">
        <f>"60020926900"</f>
        <v>60020926900</v>
      </c>
      <c r="B6149" s="1" t="str">
        <f>"ISMEAL SHIMAL HAMA ISMAEL, IBRAHIM TAZHAN JALIL"</f>
        <v>ISMEAL SHIMAL HAMA ISMAEL, IBRAHIM TAZHAN JALIL</v>
      </c>
      <c r="C6149" s="1" t="str">
        <f>"WOODVILLE COURT BLENDON ESTATES LOT 35 &amp; .0352 ACRE"</f>
        <v>WOODVILLE COURT BLENDON ESTATES LOT 35 &amp; .0352 ACRE</v>
      </c>
      <c r="D6149" s="1">
        <v>560.67999999999995</v>
      </c>
    </row>
    <row r="6150" spans="1:4" x14ac:dyDescent="0.3">
      <c r="A6150" s="1" t="str">
        <f>"01005629700"</f>
        <v>01005629700</v>
      </c>
      <c r="B6150" s="1" t="str">
        <f>"ISREAL MICHAEL, ISREAL MARCIA"</f>
        <v>ISREAL MICHAEL, ISREAL MARCIA</v>
      </c>
      <c r="C6150" s="1" t="str">
        <f>"1428 FAIR AVE MADISON PARK LTOS 19 &amp; 20"</f>
        <v>1428 FAIR AVE MADISON PARK LTOS 19 &amp; 20</v>
      </c>
      <c r="D6150" s="1">
        <v>1615.04</v>
      </c>
    </row>
    <row r="6151" spans="1:4" x14ac:dyDescent="0.3">
      <c r="A6151" s="1" t="str">
        <f>"24000590300"</f>
        <v>24000590300</v>
      </c>
      <c r="B6151" s="1" t="str">
        <f>"IT CONSULTANCY SERVICES LTD"</f>
        <v>IT CONSULTANCY SERVICES LTD</v>
      </c>
      <c r="C6151" s="1" t="str">
        <f>"GLENFORD VILL CONDMN UNIT 7-2A "</f>
        <v xml:space="preserve">GLENFORD VILL CONDMN UNIT 7-2A </v>
      </c>
      <c r="D6151" s="1">
        <v>637.71</v>
      </c>
    </row>
    <row r="6152" spans="1:4" x14ac:dyDescent="0.3">
      <c r="A6152" s="1" t="str">
        <f>"61015783200"</f>
        <v>61015783200</v>
      </c>
      <c r="B6152" s="1" t="str">
        <f>"IVANOFF PETER, IVANOFF EMILIA"</f>
        <v>IVANOFF PETER, IVANOFF EMILIA</v>
      </c>
      <c r="C6152" s="1" t="str">
        <f>"6621 BARRETT LANE DEVONSHIRE-NORTH LOT 16"</f>
        <v>6621 BARRETT LANE DEVONSHIRE-NORTH LOT 16</v>
      </c>
      <c r="D6152" s="1">
        <v>665.02</v>
      </c>
    </row>
    <row r="6153" spans="1:4" x14ac:dyDescent="0.3">
      <c r="A6153" s="1" t="str">
        <f>"02501063400"</f>
        <v>02501063400</v>
      </c>
      <c r="B6153" s="1" t="str">
        <f>"IVANOV ANTON"</f>
        <v>IVANOV ANTON</v>
      </c>
      <c r="C6153" s="1" t="str">
        <f>"HARRISON POND - THE VILLAGES AT ROCKY FORK SEC 5 LOT 119"</f>
        <v>HARRISON POND - THE VILLAGES AT ROCKY FORK SEC 5 LOT 119</v>
      </c>
      <c r="D6153" s="1">
        <v>11448.17</v>
      </c>
    </row>
    <row r="6154" spans="1:4" x14ac:dyDescent="0.3">
      <c r="A6154" s="1" t="str">
        <f>"01018851300"</f>
        <v>01018851300</v>
      </c>
      <c r="B6154" s="1" t="str">
        <f>"IVANOV IVAN, IVANOV JOHNATAN, IVANOV EMILIA"</f>
        <v>IVANOV IVAN, IVANOV JOHNATAN, IVANOV EMILIA</v>
      </c>
      <c r="C6154" s="1" t="str">
        <f>"MERRIMAR CIR E HEARTHSTONE CONDO UNIT 4655-F BLDG 17"</f>
        <v>MERRIMAR CIR E HEARTHSTONE CONDO UNIT 4655-F BLDG 17</v>
      </c>
      <c r="D6154" s="1">
        <v>180.96</v>
      </c>
    </row>
    <row r="6155" spans="1:4" x14ac:dyDescent="0.3">
      <c r="A6155" s="1" t="str">
        <f>"01023837500"</f>
        <v>01023837500</v>
      </c>
      <c r="B6155" s="1" t="str">
        <f>"IVANSKI CHERYL E"</f>
        <v>IVANSKI CHERYL E</v>
      </c>
      <c r="C6155" s="1" t="str">
        <f>"PARKSHIRE COMMONS CONDOMINIUM UNIT 5511"</f>
        <v>PARKSHIRE COMMONS CONDOMINIUM UNIT 5511</v>
      </c>
      <c r="D6155" s="1">
        <v>1254.1099999999999</v>
      </c>
    </row>
    <row r="6156" spans="1:4" x14ac:dyDescent="0.3">
      <c r="A6156" s="1" t="str">
        <f>"52016881400"</f>
        <v>52016881400</v>
      </c>
      <c r="B6156" s="1" t="str">
        <f>"IVERY HAROLD E JR, IVERY HEATHER M"</f>
        <v>IVERY HAROLD E JR, IVERY HEATHER M</v>
      </c>
      <c r="C6156" s="1" t="str">
        <f>"HALPERN ST VIRGINIA TERRACE LOT 75"</f>
        <v>HALPERN ST VIRGINIA TERRACE LOT 75</v>
      </c>
      <c r="D6156" s="1">
        <v>209.2</v>
      </c>
    </row>
    <row r="6157" spans="1:4" x14ac:dyDescent="0.3">
      <c r="A6157" s="1" t="str">
        <f>"01006109400"</f>
        <v>01006109400</v>
      </c>
      <c r="B6157" s="1" t="str">
        <f>"IWACU RENTAL LLC"</f>
        <v>IWACU RENTAL LLC</v>
      </c>
      <c r="C6157" s="1" t="str">
        <f>"2379 LINDEN AVE NEW LINDEN LOT 48"</f>
        <v>2379 LINDEN AVE NEW LINDEN LOT 48</v>
      </c>
      <c r="D6157" s="1">
        <v>72.66</v>
      </c>
    </row>
    <row r="6158" spans="1:4" x14ac:dyDescent="0.3">
      <c r="A6158" s="1" t="str">
        <f>"01006746800"</f>
        <v>01006746800</v>
      </c>
      <c r="B6158" s="1" t="str">
        <f>"IWACU RENTAL LLC"</f>
        <v>IWACU RENTAL LLC</v>
      </c>
      <c r="C6158" s="1" t="str">
        <f>"451 HINMAN AVE 28X125.96FTWS1/2 SEC 41"</f>
        <v>451 HINMAN AVE 28X125.96FTWS1/2 SEC 41</v>
      </c>
      <c r="D6158" s="1">
        <v>121.97</v>
      </c>
    </row>
    <row r="6159" spans="1:4" x14ac:dyDescent="0.3">
      <c r="A6159" s="1" t="str">
        <f>"01001983600"</f>
        <v>01001983600</v>
      </c>
      <c r="B6159" s="1" t="str">
        <f>"IZZY MOUND LLC"</f>
        <v>IZZY MOUND LLC</v>
      </c>
      <c r="C6159" s="1" t="str">
        <f>"1220-1231 E MOUND 47FT E E OAKWOOD EAST LOT 406"</f>
        <v>1220-1231 E MOUND 47FT E E OAKWOOD EAST LOT 406</v>
      </c>
      <c r="D6159" s="1">
        <v>779.47</v>
      </c>
    </row>
    <row r="6160" spans="1:4" x14ac:dyDescent="0.3">
      <c r="A6160" s="1" t="str">
        <f>"01003521800"</f>
        <v>01003521800</v>
      </c>
      <c r="B6160" s="1" t="str">
        <f>"J &amp; F AUTO SALES LLC"</f>
        <v>J &amp; F AUTO SALES LLC</v>
      </c>
      <c r="C6160" s="1" t="str">
        <f>"1879 DENUNE AVE 60 FT W MID PT EAST LINDEN LOT 33"</f>
        <v>1879 DENUNE AVE 60 FT W MID PT EAST LINDEN LOT 33</v>
      </c>
      <c r="D6160" s="1">
        <v>1167.77</v>
      </c>
    </row>
    <row r="6161" spans="1:4" x14ac:dyDescent="0.3">
      <c r="A6161" s="1" t="str">
        <f>"01003852100"</f>
        <v>01003852100</v>
      </c>
      <c r="B6161" s="1" t="str">
        <f>"J &amp; G JORDAN LLC"</f>
        <v>J &amp; G JORDAN LLC</v>
      </c>
      <c r="C6161" s="1" t="str">
        <f>"1700 CLIFTON AVE 22.5 FT WS 16 &amp; 40 ES 17 CLIFTON PK"</f>
        <v>1700 CLIFTON AVE 22.5 FT WS 16 &amp; 40 ES 17 CLIFTON PK</v>
      </c>
      <c r="D6161" s="1">
        <v>399.43</v>
      </c>
    </row>
    <row r="6162" spans="1:4" x14ac:dyDescent="0.3">
      <c r="A6162" s="1" t="str">
        <f>"08000212400"</f>
        <v>08000212400</v>
      </c>
      <c r="B6162" s="1" t="str">
        <f>"J &amp; J SCHONE INVESTMENTS LLC"</f>
        <v>J &amp; J SCHONE INVESTMENTS LLC</v>
      </c>
      <c r="C6162" s="1" t="str">
        <f>"S STATE ST R L JOYCE LOT 1 EX WE, RES A EX WE &amp; 0.204 ACRE"</f>
        <v>S STATE ST R L JOYCE LOT 1 EX WE, RES A EX WE &amp; 0.204 ACRE</v>
      </c>
      <c r="D6162" s="1">
        <v>1059.6500000000001</v>
      </c>
    </row>
    <row r="6163" spans="1:4" x14ac:dyDescent="0.3">
      <c r="A6163" s="1" t="str">
        <f>"18000284100"</f>
        <v>18000284100</v>
      </c>
      <c r="B6163" s="1" t="str">
        <f>"J AND J WOODS LLC"</f>
        <v>J AND J WOODS LLC</v>
      </c>
      <c r="C6163" s="1" t="str">
        <f>"HARBOR BLVD BLACKLICK ESTATES 4 31"</f>
        <v>HARBOR BLVD BLACKLICK ESTATES 4 31</v>
      </c>
      <c r="D6163" s="1">
        <v>121.03</v>
      </c>
    </row>
    <row r="6164" spans="1:4" x14ac:dyDescent="0.3">
      <c r="A6164" s="1" t="str">
        <f>"02501089000"</f>
        <v>02501089000</v>
      </c>
      <c r="B6164" s="1" t="str">
        <f>"J QUINN PROPERTIES LLC"</f>
        <v>J QUINN PROPERTIES LLC</v>
      </c>
      <c r="C6164" s="1" t="str">
        <f>"500 DANDY BRUSH LN W POLO CLUB VILLAS CONDO UNIT 3-500"</f>
        <v>500 DANDY BRUSH LN W POLO CLUB VILLAS CONDO UNIT 3-500</v>
      </c>
      <c r="D6164" s="1">
        <v>237.21</v>
      </c>
    </row>
    <row r="6165" spans="1:4" x14ac:dyDescent="0.3">
      <c r="A6165" s="1" t="str">
        <f>"01007542900"</f>
        <v>01007542900</v>
      </c>
      <c r="B6165" s="1" t="str">
        <f>"J&amp;J INVESTMENT PROPERTY LLC"</f>
        <v>J&amp;J INVESTMENT PROPERTY LLC</v>
      </c>
      <c r="C6165" s="1" t="str">
        <f>"HOMESTEAD DR HOMESTEAD HTS LOT 92"</f>
        <v>HOMESTEAD DR HOMESTEAD HTS LOT 92</v>
      </c>
      <c r="D6165" s="1">
        <v>1590.58</v>
      </c>
    </row>
    <row r="6166" spans="1:4" x14ac:dyDescent="0.3">
      <c r="A6166" s="1" t="str">
        <f>"01000498300"</f>
        <v>01000498300</v>
      </c>
      <c r="B6166" s="1" t="str">
        <f>"J&amp;S COFFEE PROPERTIES LLC"</f>
        <v>J&amp;S COFFEE PROPERTIES LLC</v>
      </c>
      <c r="C6166" s="1" t="str">
        <f>"254 HINMAN AVE MORRILL AVE SUB LOT 32"</f>
        <v>254 HINMAN AVE MORRILL AVE SUB LOT 32</v>
      </c>
      <c r="D6166" s="1">
        <v>194.51</v>
      </c>
    </row>
    <row r="6167" spans="1:4" x14ac:dyDescent="0.3">
      <c r="A6167" s="1" t="str">
        <f>"01002617300"</f>
        <v>01002617300</v>
      </c>
      <c r="B6167" s="1" t="str">
        <f>"J4 HOLDINGS ONE LLC"</f>
        <v>J4 HOLDINGS ONE LLC</v>
      </c>
      <c r="C6167" s="1" t="str">
        <f>"1109-13HIGHLAND ST COLLINS ATKINS &amp; GUITNER LOT 70"</f>
        <v>1109-13HIGHLAND ST COLLINS ATKINS &amp; GUITNER LOT 70</v>
      </c>
      <c r="D6167" s="1">
        <v>8788.33</v>
      </c>
    </row>
    <row r="6168" spans="1:4" x14ac:dyDescent="0.3">
      <c r="A6168" s="1" t="str">
        <f>"01008717200"</f>
        <v>01008717200</v>
      </c>
      <c r="B6168" s="1" t="str">
        <f>"J4 HOLDINGS ONE LLC"</f>
        <v>J4 HOLDINGS ONE LLC</v>
      </c>
      <c r="C6168" s="1" t="str">
        <f>"KING AVE LOT 20 "</f>
        <v xml:space="preserve">KING AVE LOT 20 </v>
      </c>
      <c r="D6168" s="1">
        <v>15307.15</v>
      </c>
    </row>
    <row r="6169" spans="1:4" x14ac:dyDescent="0.3">
      <c r="A6169" s="1" t="str">
        <f>"01006214200"</f>
        <v>01006214200</v>
      </c>
      <c r="B6169" s="1" t="str">
        <f>"J4 HOLDINGS ONE LLC"</f>
        <v>J4 HOLDINGS ONE LLC</v>
      </c>
      <c r="C6169" s="1" t="str">
        <f>"1616 TO 22 GLENN AVE SUMMIT PLAIN LOT 241-242-243"</f>
        <v>1616 TO 22 GLENN AVE SUMMIT PLAIN LOT 241-242-243</v>
      </c>
      <c r="D6169" s="1">
        <v>15561.78</v>
      </c>
    </row>
    <row r="6170" spans="1:4" x14ac:dyDescent="0.3">
      <c r="A6170" s="1" t="str">
        <f>"04000551200"</f>
        <v>04000551200</v>
      </c>
      <c r="B6170" s="1" t="str">
        <f>"JACKINS ALLAN WARD, JACKINS ROBYN LEE"</f>
        <v>JACKINS ALLAN WARD, JACKINS ROBYN LEE</v>
      </c>
      <c r="C6170" s="1" t="str">
        <f>"2857 BUXTON LANE MAMIE KROPP SUB SEC1 LOT 12"</f>
        <v>2857 BUXTON LANE MAMIE KROPP SUB SEC1 LOT 12</v>
      </c>
      <c r="D6170" s="1">
        <v>6227.16</v>
      </c>
    </row>
    <row r="6171" spans="1:4" x14ac:dyDescent="0.3">
      <c r="A6171" s="1" t="str">
        <f>"01008054400"</f>
        <v>01008054400</v>
      </c>
      <c r="B6171" s="1" t="str">
        <f>"JACKSON ANGEL, JACKSON KANANAII"</f>
        <v>JACKSON ANGEL, JACKSON KANANAII</v>
      </c>
      <c r="C6171" s="1" t="str">
        <f>"GEERS AVE DRIVING PARK LOT 45"</f>
        <v>GEERS AVE DRIVING PARK LOT 45</v>
      </c>
      <c r="D6171" s="1">
        <v>2002.31</v>
      </c>
    </row>
    <row r="6172" spans="1:4" x14ac:dyDescent="0.3">
      <c r="A6172" s="1" t="str">
        <f>"15300022100"</f>
        <v>15300022100</v>
      </c>
      <c r="B6172" s="1" t="str">
        <f>"JACKSON ANNA M"</f>
        <v>JACKSON ANNA M</v>
      </c>
      <c r="C6172" s="1" t="str">
        <f>"LINDSAY RD ACRES .2185 R22T4S13 PAR87 URP 15"</f>
        <v>LINDSAY RD ACRES .2185 R22T4S13 PAR87 URP 15</v>
      </c>
      <c r="D6172" s="1">
        <v>141.03</v>
      </c>
    </row>
    <row r="6173" spans="1:4" x14ac:dyDescent="0.3">
      <c r="A6173" s="1" t="str">
        <f>"01007663300"</f>
        <v>01007663300</v>
      </c>
      <c r="B6173" s="1" t="str">
        <f>"JACKSON AUDREY N"</f>
        <v>JACKSON AUDREY N</v>
      </c>
      <c r="C6173" s="1" t="str">
        <f>"DUXBERRY AVE HOMESTEAD HEIGHTS 2 LOT 65"</f>
        <v>DUXBERRY AVE HOMESTEAD HEIGHTS 2 LOT 65</v>
      </c>
      <c r="D6173" s="1">
        <v>1562.65</v>
      </c>
    </row>
    <row r="6174" spans="1:4" x14ac:dyDescent="0.3">
      <c r="A6174" s="1" t="str">
        <f>"07000564300"</f>
        <v>07000564300</v>
      </c>
      <c r="B6174" s="1" t="str">
        <f>"JACKSON DAVID C"</f>
        <v>JACKSON DAVID C</v>
      </c>
      <c r="C6174" s="1" t="str">
        <f>"AVALON ST EAST CLEFT 439 "</f>
        <v xml:space="preserve">AVALON ST EAST CLEFT 439 </v>
      </c>
      <c r="D6174" s="1">
        <v>5730.84</v>
      </c>
    </row>
    <row r="6175" spans="1:4" x14ac:dyDescent="0.3">
      <c r="A6175" s="1" t="str">
        <f>"01004955200"</f>
        <v>01004955200</v>
      </c>
      <c r="B6175" s="1" t="str">
        <f>"JACKSON DEMETRIUS J"</f>
        <v>JACKSON DEMETRIUS J</v>
      </c>
      <c r="C6175" s="1" t="str">
        <f>"1157 LIVINGSTONE AVE AUBURNDALE LOTS 23 &amp; 24"</f>
        <v>1157 LIVINGSTONE AVE AUBURNDALE LOTS 23 &amp; 24</v>
      </c>
      <c r="D6175" s="1">
        <v>2325.27</v>
      </c>
    </row>
    <row r="6176" spans="1:4" x14ac:dyDescent="0.3">
      <c r="A6176" s="1" t="str">
        <f>"01016351000"</f>
        <v>01016351000</v>
      </c>
      <c r="B6176" s="1" t="str">
        <f>"JACKSON DREXELL L"</f>
        <v>JACKSON DREXELL L</v>
      </c>
      <c r="C6176" s="1" t="str">
        <f>"ROCKWOOD COURT ROCKWOOD CT CONDO UNIT R-62"</f>
        <v>ROCKWOOD COURT ROCKWOOD CT CONDO UNIT R-62</v>
      </c>
      <c r="D6176" s="1">
        <v>1247.95</v>
      </c>
    </row>
    <row r="6177" spans="1:4" x14ac:dyDescent="0.3">
      <c r="A6177" s="1" t="str">
        <f>"01010407100"</f>
        <v>01010407100</v>
      </c>
      <c r="B6177" s="1" t="str">
        <f>"JACKSON ESTELLA TR"</f>
        <v>JACKSON ESTELLA TR</v>
      </c>
      <c r="C6177" s="1" t="str">
        <f>"FREBIS AVE ACRES .3627 R22 T5 S3 1/2 S33 LOT 2"</f>
        <v>FREBIS AVE ACRES .3627 R22 T5 S3 1/2 S33 LOT 2</v>
      </c>
      <c r="D6177" s="1">
        <v>3204.45</v>
      </c>
    </row>
    <row r="6178" spans="1:4" x14ac:dyDescent="0.3">
      <c r="A6178" s="1" t="str">
        <f>"09000561300"</f>
        <v>09000561300</v>
      </c>
      <c r="B6178" s="1" t="str">
        <f>"JACKSON ESTHER M"</f>
        <v>JACKSON ESTHER M</v>
      </c>
      <c r="C6178" s="1" t="str">
        <f>"4919 ETNA RD R21 T12 S9 1/4S 0.522 ACS"</f>
        <v>4919 ETNA RD R21 T12 S9 1/4S 0.522 ACS</v>
      </c>
      <c r="D6178" s="1">
        <v>255.49</v>
      </c>
    </row>
    <row r="6179" spans="1:4" x14ac:dyDescent="0.3">
      <c r="A6179" s="1" t="str">
        <f>"01007666600"</f>
        <v>01007666600</v>
      </c>
      <c r="B6179" s="1" t="str">
        <f>"JACKSON GLORIA TOD"</f>
        <v>JACKSON GLORIA TOD</v>
      </c>
      <c r="C6179" s="1" t="str">
        <f>"DUXBERRY AVE HOMESTEAD HTS 2 LOT 98"</f>
        <v>DUXBERRY AVE HOMESTEAD HTS 2 LOT 98</v>
      </c>
      <c r="D6179" s="1">
        <v>100</v>
      </c>
    </row>
    <row r="6180" spans="1:4" x14ac:dyDescent="0.3">
      <c r="A6180" s="1" t="str">
        <f>"01008389800"</f>
        <v>01008389800</v>
      </c>
      <c r="B6180" s="1" t="str">
        <f>"JACKSON JACK J, STORBECK ROBERT L"</f>
        <v>JACKSON JACK J, STORBECK ROBERT L</v>
      </c>
      <c r="C6180" s="1" t="str">
        <f>"JEFFREY PLC BEECHWOLD LOT 13"</f>
        <v>JEFFREY PLC BEECHWOLD LOT 13</v>
      </c>
      <c r="D6180" s="1">
        <v>362.56</v>
      </c>
    </row>
    <row r="6181" spans="1:4" x14ac:dyDescent="0.3">
      <c r="A6181" s="1" t="str">
        <f>"01011950000"</f>
        <v>01011950000</v>
      </c>
      <c r="B6181" s="1" t="str">
        <f>"JACKSON JAMES E"</f>
        <v>JACKSON JAMES E</v>
      </c>
      <c r="C6181" s="1" t="str">
        <f>"GIBSON DR SCIOTO VILLAGE LOT 149"</f>
        <v>GIBSON DR SCIOTO VILLAGE LOT 149</v>
      </c>
      <c r="D6181" s="1">
        <v>808.95</v>
      </c>
    </row>
    <row r="6182" spans="1:4" x14ac:dyDescent="0.3">
      <c r="A6182" s="1" t="str">
        <f>"60019231700"</f>
        <v>60019231700</v>
      </c>
      <c r="B6182" s="1" t="str">
        <f>"JACKSON JAMES P, BLACKSTONE CINDY S"</f>
        <v>JACKSON JAMES P, BLACKSTONE CINDY S</v>
      </c>
      <c r="C6182" s="1" t="str">
        <f>"WATT RD ACRES 1 R17 T2 1-4T 3 12-13"</f>
        <v>WATT RD ACRES 1 R17 T2 1-4T 3 12-13</v>
      </c>
      <c r="D6182" s="1">
        <v>6555.97</v>
      </c>
    </row>
    <row r="6183" spans="1:4" x14ac:dyDescent="0.3">
      <c r="A6183" s="1" t="str">
        <f>"01000634700"</f>
        <v>01000634700</v>
      </c>
      <c r="B6183" s="1" t="str">
        <f>"JACKSON JANET T, MCCRORY DARREN, MCCRORY DANIELLE L, GHEE DESHAWN A, JACKSON JEROME D, JACKSON AURELIA J"</f>
        <v>JACKSON JANET T, MCCRORY DARREN, MCCRORY DANIELLE L, GHEE DESHAWN A, JACKSON JEROME D, JACKSON AURELIA J</v>
      </c>
      <c r="C6183" s="1" t="str">
        <f>"632 S CHAMPION AVE OAKWOODS LOT 21"</f>
        <v>632 S CHAMPION AVE OAKWOODS LOT 21</v>
      </c>
      <c r="D6183" s="1">
        <v>659.77</v>
      </c>
    </row>
    <row r="6184" spans="1:4" x14ac:dyDescent="0.3">
      <c r="A6184" s="1" t="str">
        <f>"01012806200"</f>
        <v>01012806200</v>
      </c>
      <c r="B6184" s="1" t="str">
        <f>"JACKSON MARY W TR"</f>
        <v>JACKSON MARY W TR</v>
      </c>
      <c r="C6184" s="1" t="str">
        <f>"BERWYN LOT 188 "</f>
        <v xml:space="preserve">BERWYN LOT 188 </v>
      </c>
      <c r="D6184" s="1">
        <v>4186.63</v>
      </c>
    </row>
    <row r="6185" spans="1:4" x14ac:dyDescent="0.3">
      <c r="A6185" s="1" t="str">
        <f>"01003013500"</f>
        <v>01003013500</v>
      </c>
      <c r="B6185" s="1" t="str">
        <f>"JACKSON OUIDA O"</f>
        <v>JACKSON OUIDA O</v>
      </c>
      <c r="C6185" s="1" t="str">
        <f>"740-42 E MOUND ST W1/2MCALLISTERS SUB 10"</f>
        <v>740-42 E MOUND ST W1/2MCALLISTERS SUB 10</v>
      </c>
      <c r="D6185" s="1">
        <v>506.27</v>
      </c>
    </row>
    <row r="6186" spans="1:4" x14ac:dyDescent="0.3">
      <c r="A6186" s="1" t="str">
        <f>"01010288000"</f>
        <v>01010288000</v>
      </c>
      <c r="B6186" s="1" t="str">
        <f>"JACKSON PATRICIA, JACKSON BRENT"</f>
        <v>JACKSON PATRICIA, JACKSON BRENT</v>
      </c>
      <c r="C6186" s="1" t="str">
        <f>"DRUMMOND COURT THOMAS LANE LOT 22"</f>
        <v>DRUMMOND COURT THOMAS LANE LOT 22</v>
      </c>
      <c r="D6186" s="1">
        <v>216.12</v>
      </c>
    </row>
    <row r="6187" spans="1:4" x14ac:dyDescent="0.3">
      <c r="A6187" s="1" t="str">
        <f>"01013917100"</f>
        <v>01013917100</v>
      </c>
      <c r="B6187" s="1" t="str">
        <f>"JACKSON RICHARD G"</f>
        <v>JACKSON RICHARD G</v>
      </c>
      <c r="C6187" s="1" t="str">
        <f>"MAIZE RD WOODWARD PK 3 LOT 160"</f>
        <v>MAIZE RD WOODWARD PK 3 LOT 160</v>
      </c>
      <c r="D6187" s="1">
        <v>2066.61</v>
      </c>
    </row>
    <row r="6188" spans="1:4" x14ac:dyDescent="0.3">
      <c r="A6188" s="1" t="str">
        <f>"01004429900"</f>
        <v>01004429900</v>
      </c>
      <c r="B6188" s="1" t="str">
        <f>"JACKSON ROBERT A III, JACKSON JUNE R"</f>
        <v>JACKSON ROBERT A III, JACKSON JUNE R</v>
      </c>
      <c r="C6188" s="1" t="str">
        <f>"395 S EUREKA AVE BELLAIRE EXT LOT 186"</f>
        <v>395 S EUREKA AVE BELLAIRE EXT LOT 186</v>
      </c>
      <c r="D6188" s="1">
        <v>726.46</v>
      </c>
    </row>
    <row r="6189" spans="1:4" x14ac:dyDescent="0.3">
      <c r="A6189" s="1" t="str">
        <f>"01011400000"</f>
        <v>01011400000</v>
      </c>
      <c r="B6189" s="1" t="str">
        <f>"JACKSON RUSSELL D, REYNOLDS DAWN"</f>
        <v>JACKSON RUSSELL D, REYNOLDS DAWN</v>
      </c>
      <c r="C6189" s="1" t="str">
        <f>"3287 PARSONS AVE HOME ACRES LOT N 1/2 164"</f>
        <v>3287 PARSONS AVE HOME ACRES LOT N 1/2 164</v>
      </c>
      <c r="D6189" s="1">
        <v>928.4</v>
      </c>
    </row>
    <row r="6190" spans="1:4" x14ac:dyDescent="0.3">
      <c r="A6190" s="1" t="str">
        <f>"02500916700"</f>
        <v>02500916700</v>
      </c>
      <c r="B6190" s="1" t="str">
        <f>"JACKSON SANDRA L, JACKSON DAVID S"</f>
        <v>JACKSON SANDRA L, JACKSON DAVID S</v>
      </c>
      <c r="C6190" s="1" t="str">
        <f>"00000 BERTRAM DRIVE RATHBURN WOODS SEC 5 LOT 232"</f>
        <v>00000 BERTRAM DRIVE RATHBURN WOODS SEC 5 LOT 232</v>
      </c>
      <c r="D6190" s="1">
        <v>1954.75</v>
      </c>
    </row>
    <row r="6191" spans="1:4" x14ac:dyDescent="0.3">
      <c r="A6191" s="1" t="str">
        <f>"01003235300"</f>
        <v>01003235300</v>
      </c>
      <c r="B6191" s="1" t="str">
        <f>"JACKSON SYLVIA J"</f>
        <v>JACKSON SYLVIA J</v>
      </c>
      <c r="C6191" s="1" t="str">
        <f>"1245 S CHAMPION AVE ROSE HILL LOT 103"</f>
        <v>1245 S CHAMPION AVE ROSE HILL LOT 103</v>
      </c>
      <c r="D6191" s="1">
        <v>1446.13</v>
      </c>
    </row>
    <row r="6192" spans="1:4" x14ac:dyDescent="0.3">
      <c r="A6192" s="1" t="str">
        <f>"01002217500"</f>
        <v>01002217500</v>
      </c>
      <c r="B6192" s="1" t="str">
        <f>"JACKSON THEALETA D"</f>
        <v>JACKSON THEALETA D</v>
      </c>
      <c r="C6192" s="1" t="str">
        <f>"ST CLAIR AVENUE FAIRVIEW LT39 &amp; 12.5'SS LT 38"</f>
        <v>ST CLAIR AVENUE FAIRVIEW LT39 &amp; 12.5'SS LT 38</v>
      </c>
      <c r="D6192" s="1">
        <v>7191.15</v>
      </c>
    </row>
    <row r="6193" spans="1:4" x14ac:dyDescent="0.3">
      <c r="A6193" s="1" t="str">
        <f>"01006053000"</f>
        <v>01006053000</v>
      </c>
      <c r="B6193" s="1" t="str">
        <f>"JACKSON WILLIAM J"</f>
        <v>JACKSON WILLIAM J</v>
      </c>
      <c r="C6193" s="1" t="str">
        <f>"21 ST AVE WALDEMERE LOT 290"</f>
        <v>21 ST AVE WALDEMERE LOT 290</v>
      </c>
      <c r="D6193" s="1">
        <v>1576.55</v>
      </c>
    </row>
    <row r="6194" spans="1:4" x14ac:dyDescent="0.3">
      <c r="A6194" s="1" t="str">
        <f>"23000343100"</f>
        <v>23000343100</v>
      </c>
      <c r="B6194" s="1" t="str">
        <f>"JACOB DENNIS"</f>
        <v>JACOB DENNIS</v>
      </c>
      <c r="C6194" s="1" t="str">
        <f>"PETERSON RD ENTRY 6441 22.5833 ACRES"</f>
        <v>PETERSON RD ENTRY 6441 22.5833 ACRES</v>
      </c>
      <c r="D6194" s="1">
        <v>4388.9799999999996</v>
      </c>
    </row>
    <row r="6195" spans="1:4" x14ac:dyDescent="0.3">
      <c r="A6195" s="1" t="str">
        <f>"20000329400"</f>
        <v>20000329400</v>
      </c>
      <c r="B6195" s="1" t="str">
        <f>"JACOBS ANDREW J"</f>
        <v>JACOBS ANDREW J</v>
      </c>
      <c r="C6195" s="1" t="str">
        <f>"HANSEN DR RIDGEWOOD WEST 56"</f>
        <v>HANSEN DR RIDGEWOOD WEST 56</v>
      </c>
      <c r="D6195" s="1">
        <v>357.99</v>
      </c>
    </row>
    <row r="6196" spans="1:4" x14ac:dyDescent="0.3">
      <c r="A6196" s="1" t="str">
        <f>"04000965400"</f>
        <v>04000965400</v>
      </c>
      <c r="B6196" s="1" t="str">
        <f>"JACOBS BRETT E TR, JACOBS MATHEW B TR"</f>
        <v>JACOBS BRETT E TR, JACOBS MATHEW B TR</v>
      </c>
      <c r="C6196" s="1" t="str">
        <f>"CHRISTINA VILLAS CONDOMINIUM 7TH AMD UNIT 2681"</f>
        <v>CHRISTINA VILLAS CONDOMINIUM 7TH AMD UNIT 2681</v>
      </c>
      <c r="D6196" s="1">
        <v>203.35</v>
      </c>
    </row>
    <row r="6197" spans="1:4" x14ac:dyDescent="0.3">
      <c r="A6197" s="1" t="str">
        <f>"01011582800"</f>
        <v>01011582800</v>
      </c>
      <c r="B6197" s="1" t="str">
        <f>"JACOBS INGRID V"</f>
        <v>JACOBS INGRID V</v>
      </c>
      <c r="C6197" s="1" t="str">
        <f>"OAKWOOD AVE SOUTHEAST LOT 8"</f>
        <v>OAKWOOD AVE SOUTHEAST LOT 8</v>
      </c>
      <c r="D6197" s="1">
        <v>1210.02</v>
      </c>
    </row>
    <row r="6198" spans="1:4" x14ac:dyDescent="0.3">
      <c r="A6198" s="1" t="str">
        <f>"02000202900"</f>
        <v>02000202900</v>
      </c>
      <c r="B6198" s="1" t="str">
        <f>"JACOBS JACKIE L, JACOBS CHERYL G"</f>
        <v>JACOBS JACKIE L, JACOBS CHERYL G</v>
      </c>
      <c r="C6198" s="1" t="str">
        <f>"2461 BRYDEN RD BEXLEY PK 274 "</f>
        <v xml:space="preserve">2461 BRYDEN RD BEXLEY PK 274 </v>
      </c>
      <c r="D6198" s="1">
        <v>19.100000000000001</v>
      </c>
    </row>
    <row r="6199" spans="1:4" x14ac:dyDescent="0.3">
      <c r="A6199" s="1" t="str">
        <f>"59016999500"</f>
        <v>59016999500</v>
      </c>
      <c r="B6199" s="1" t="str">
        <f>"JACOBS JENNIFER ANNE"</f>
        <v>JACOBS JENNIFER ANNE</v>
      </c>
      <c r="C6199" s="1" t="str">
        <f>"STRATHCONA AVE RIVERSIDE GREEN LOT 48"</f>
        <v>STRATHCONA AVE RIVERSIDE GREEN LOT 48</v>
      </c>
      <c r="D6199" s="1">
        <v>268.54000000000002</v>
      </c>
    </row>
    <row r="6200" spans="1:4" x14ac:dyDescent="0.3">
      <c r="A6200" s="1" t="str">
        <f>"01003649700"</f>
        <v>01003649700</v>
      </c>
      <c r="B6200" s="1" t="str">
        <f>"JACOBS KALOMO KIBWE YERO"</f>
        <v>JACOBS KALOMO KIBWE YERO</v>
      </c>
      <c r="C6200" s="1" t="str">
        <f>"OAKWOOD AVE ROSE HILL 2 LOT 39"</f>
        <v>OAKWOOD AVE ROSE HILL 2 LOT 39</v>
      </c>
      <c r="D6200" s="1">
        <v>3106.81</v>
      </c>
    </row>
    <row r="6201" spans="1:4" x14ac:dyDescent="0.3">
      <c r="A6201" s="1" t="str">
        <f>"01021083500"</f>
        <v>01021083500</v>
      </c>
      <c r="B6201" s="1" t="str">
        <f>"JACOBS MOSS JR, JACOBS LOUISE M"</f>
        <v>JACOBS MOSS JR, JACOBS LOUISE M</v>
      </c>
      <c r="C6201" s="1" t="str">
        <f>"SMITH FARMS 2 CONDOMINIUM PH 20 BLDG 43 UNIT D"</f>
        <v>SMITH FARMS 2 CONDOMINIUM PH 20 BLDG 43 UNIT D</v>
      </c>
      <c r="D6201" s="1">
        <v>1325.17</v>
      </c>
    </row>
    <row r="6202" spans="1:4" x14ac:dyDescent="0.3">
      <c r="A6202" s="1" t="str">
        <f>"01011475100"</f>
        <v>01011475100</v>
      </c>
      <c r="B6202" s="1" t="str">
        <f>"JACOBS PEGGY A"</f>
        <v>JACOBS PEGGY A</v>
      </c>
      <c r="C6202" s="1" t="str">
        <f>"KOEBEL AVE ACRES .481 R22 T4 S3 LOT 4"</f>
        <v>KOEBEL AVE ACRES .481 R22 T4 S3 LOT 4</v>
      </c>
      <c r="D6202" s="1">
        <v>754.26</v>
      </c>
    </row>
    <row r="6203" spans="1:4" x14ac:dyDescent="0.3">
      <c r="A6203" s="1" t="str">
        <f>"15200153700"</f>
        <v>15200153700</v>
      </c>
      <c r="B6203" s="1" t="str">
        <f>"JACOBS TAMMI G"</f>
        <v>JACOBS TAMMI G</v>
      </c>
      <c r="C6203" s="1" t="str">
        <f>"ORCHARD LANE SOUTHDOWN LT 21 &amp; 16'NE LT 22"</f>
        <v>ORCHARD LANE SOUTHDOWN LT 21 &amp; 16'NE LT 22</v>
      </c>
      <c r="D6203" s="1">
        <v>1186.8</v>
      </c>
    </row>
    <row r="6204" spans="1:4" x14ac:dyDescent="0.3">
      <c r="A6204" s="1" t="str">
        <f>"07001479600"</f>
        <v>07001479600</v>
      </c>
      <c r="B6204" s="1" t="str">
        <f>"JADE PITON, LLC, AN OHIO LIMITED LIABILITY COMPANY"</f>
        <v>JADE PITON, LLC, AN OHIO LIMITED LIABILITY COMPANY</v>
      </c>
      <c r="C6204" s="1" t="str">
        <f>"SCIOTO COMMONS            CONDOMINIUM               UNIT 2453                "</f>
        <v xml:space="preserve">SCIOTO COMMONS            CONDOMINIUM               UNIT 2453                </v>
      </c>
      <c r="D6204" s="1">
        <v>927.78</v>
      </c>
    </row>
    <row r="6205" spans="1:4" x14ac:dyDescent="0.3">
      <c r="A6205" s="1" t="str">
        <f>"01011863800"</f>
        <v>01011863800</v>
      </c>
      <c r="B6205" s="1" t="str">
        <f>"JADO ENT LLC"</f>
        <v>JADO ENT LLC</v>
      </c>
      <c r="C6205" s="1" t="str">
        <f>"3434 BEXVIE RD BEXLEY VIEW ACRES LOT 45"</f>
        <v>3434 BEXVIE RD BEXLEY VIEW ACRES LOT 45</v>
      </c>
      <c r="D6205" s="1">
        <v>1945.74</v>
      </c>
    </row>
    <row r="6206" spans="1:4" x14ac:dyDescent="0.3">
      <c r="A6206" s="1" t="str">
        <f>"02500906200"</f>
        <v>02500906200</v>
      </c>
      <c r="B6206" s="1" t="str">
        <f>"JADWIN JAY E, BELAN LAURIE A"</f>
        <v>JADWIN JAY E, BELAN LAURIE A</v>
      </c>
      <c r="C6206" s="1" t="str">
        <f>"00000 POND HOLLOW LA ROCKY FORK SECTION 1 LOT C15"</f>
        <v>00000 POND HOLLOW LA ROCKY FORK SECTION 1 LOT C15</v>
      </c>
      <c r="D6206" s="1">
        <v>516.95000000000005</v>
      </c>
    </row>
    <row r="6207" spans="1:4" x14ac:dyDescent="0.3">
      <c r="A6207" s="1" t="str">
        <f>"01005077800"</f>
        <v>01005077800</v>
      </c>
      <c r="B6207" s="1" t="str">
        <f>"JAEGER DEBORAH L TR"</f>
        <v>JAEGER DEBORAH L TR</v>
      </c>
      <c r="C6207" s="1" t="str">
        <f>"697 S FIFTH STREET STAGE PT LOTS 5 &amp; 6"</f>
        <v>697 S FIFTH STREET STAGE PT LOTS 5 &amp; 6</v>
      </c>
      <c r="D6207" s="1">
        <v>5054.93</v>
      </c>
    </row>
    <row r="6208" spans="1:4" x14ac:dyDescent="0.3">
      <c r="A6208" s="1" t="str">
        <f>"06000518900"</f>
        <v>06000518900</v>
      </c>
      <c r="B6208" s="1" t="str">
        <f>"JAG REAL ESTATE HOLDINGS LLC"</f>
        <v>JAG REAL ESTATE HOLDINGS LLC</v>
      </c>
      <c r="C6208" s="1" t="str">
        <f>"6724 E MAIN ST .632 ACRE R21 T12 S13 1/4S 19"</f>
        <v>6724 E MAIN ST .632 ACRE R21 T12 S13 1/4S 19</v>
      </c>
      <c r="D6208" s="1">
        <v>9948.34</v>
      </c>
    </row>
    <row r="6209" spans="1:4" x14ac:dyDescent="0.3">
      <c r="A6209" s="1" t="str">
        <f>"01008539300"</f>
        <v>01008539300</v>
      </c>
      <c r="B6209" s="1" t="str">
        <f>"JAGODNIK WARREN L TR, JAGODNIK MARY F TR"</f>
        <v>JAGODNIK WARREN L TR, JAGODNIK MARY F TR</v>
      </c>
      <c r="C6209" s="1" t="str">
        <f>"W HENDERSON RD ROSEMARY 4 LOT 478-479"</f>
        <v>W HENDERSON RD ROSEMARY 4 LOT 478-479</v>
      </c>
      <c r="D6209" s="1">
        <v>3228.19</v>
      </c>
    </row>
    <row r="6210" spans="1:4" x14ac:dyDescent="0.3">
      <c r="A6210" s="1" t="str">
        <f>"23000230500"</f>
        <v>23000230500</v>
      </c>
      <c r="B6210" s="1" t="str">
        <f>"JAHN PATRICIA A"</f>
        <v>JAHN PATRICIA A</v>
      </c>
      <c r="C6210" s="1" t="str">
        <f>"A STREET COVERED BRIDGE 155 "</f>
        <v xml:space="preserve">A STREET COVERED BRIDGE 155 </v>
      </c>
      <c r="D6210" s="1">
        <v>82.85</v>
      </c>
    </row>
    <row r="6211" spans="1:4" x14ac:dyDescent="0.3">
      <c r="A6211" s="1" t="str">
        <f>"57023080900"</f>
        <v>57023080900</v>
      </c>
      <c r="B6211" s="1" t="str">
        <f>"JAHN RICHARD B TR, JAHN NANCY D TR"</f>
        <v>JAHN RICHARD B TR, JAHN NANCY D TR</v>
      </c>
      <c r="C6211" s="1" t="str">
        <f>"THE RAVINES AT PARKWICK DRIVE CONDO BLDG 10 UNIT 4469"</f>
        <v>THE RAVINES AT PARKWICK DRIVE CONDO BLDG 10 UNIT 4469</v>
      </c>
      <c r="D6211" s="1">
        <v>82.43</v>
      </c>
    </row>
    <row r="6212" spans="1:4" x14ac:dyDescent="0.3">
      <c r="A6212" s="1" t="str">
        <f>"27400156000"</f>
        <v>27400156000</v>
      </c>
      <c r="B6212" s="1" t="str">
        <f>"JAHSHAN NEDAL M"</f>
        <v>JAHSHAN NEDAL M</v>
      </c>
      <c r="C6212" s="1" t="str">
        <f>"BALLANTRAE SECTION 9 PART 1 FINAL PLAT LOT 648"</f>
        <v>BALLANTRAE SECTION 9 PART 1 FINAL PLAT LOT 648</v>
      </c>
      <c r="D6212" s="1">
        <v>13456.42</v>
      </c>
    </row>
    <row r="6213" spans="1:4" x14ac:dyDescent="0.3">
      <c r="A6213" s="1" t="str">
        <f>"24000600700"</f>
        <v>24000600700</v>
      </c>
      <c r="B6213" s="1" t="str">
        <f>"JAI SRI KRUSHNA LLC"</f>
        <v>JAI SRI KRUSHNA LLC</v>
      </c>
      <c r="C6213" s="1" t="str">
        <f>"GLENFORD VILL CONDNM UNIT 20-1A "</f>
        <v xml:space="preserve">GLENFORD VILL CONDNM UNIT 20-1A </v>
      </c>
      <c r="D6213" s="1">
        <v>126.65</v>
      </c>
    </row>
    <row r="6214" spans="1:4" x14ac:dyDescent="0.3">
      <c r="A6214" s="1" t="str">
        <f>"01013082400"</f>
        <v>01013082400</v>
      </c>
      <c r="B6214" s="1" t="str">
        <f>"JAITE MAURA O"</f>
        <v>JAITE MAURA O</v>
      </c>
      <c r="C6214" s="1" t="str">
        <f>"NORCROSS RD SALEM VILLAGE 2 LOT 141"</f>
        <v>NORCROSS RD SALEM VILLAGE 2 LOT 141</v>
      </c>
      <c r="D6214" s="1">
        <v>2068.7199999999998</v>
      </c>
    </row>
    <row r="6215" spans="1:4" x14ac:dyDescent="0.3">
      <c r="A6215" s="1" t="str">
        <f>"55015592000"</f>
        <v>55015592000</v>
      </c>
      <c r="B6215" s="1" t="str">
        <f>"JAJA PROPERTIES LLC"</f>
        <v>JAJA PROPERTIES LLC</v>
      </c>
      <c r="C6215" s="1" t="str">
        <f>"IDLEWILD DR IDLEWILD MANOR LOT 18"</f>
        <v>IDLEWILD DR IDLEWILD MANOR LOT 18</v>
      </c>
      <c r="D6215" s="1">
        <v>861.77</v>
      </c>
    </row>
    <row r="6216" spans="1:4" x14ac:dyDescent="0.3">
      <c r="A6216" s="1" t="str">
        <f>"10000658600"</f>
        <v>10000658600</v>
      </c>
      <c r="B6216" s="1" t="str">
        <f>"JAK CAPITAL HOLDINGS LLC"</f>
        <v>JAK CAPITAL HOLDINGS LLC</v>
      </c>
      <c r="C6216" s="1" t="str">
        <f>"LINWORTH ROAD WOODLIN SUBDIVISION LOT 2"</f>
        <v>LINWORTH ROAD WOODLIN SUBDIVISION LOT 2</v>
      </c>
      <c r="D6216" s="1">
        <v>2756.03</v>
      </c>
    </row>
    <row r="6217" spans="1:4" x14ac:dyDescent="0.3">
      <c r="A6217" s="1" t="str">
        <f>"27301235200"</f>
        <v>27301235200</v>
      </c>
      <c r="B6217" s="1" t="str">
        <f>"JAKE GROUP LLC"</f>
        <v>JAKE GROUP LLC</v>
      </c>
      <c r="C6217" s="1" t="str">
        <f>"THE PERIMETER WEST        PROFESSIONAL VILLAGE      CONDO 5TH AMD UNIT 6870-B"</f>
        <v>THE PERIMETER WEST        PROFESSIONAL VILLAGE      CONDO 5TH AMD UNIT 6870-B</v>
      </c>
      <c r="D6217" s="1">
        <v>26369.3</v>
      </c>
    </row>
    <row r="6218" spans="1:4" x14ac:dyDescent="0.3">
      <c r="A6218" s="1" t="str">
        <f>"01015047500"</f>
        <v>01015047500</v>
      </c>
      <c r="B6218" s="1" t="str">
        <f>"JAKES RUN LLC"</f>
        <v>JAKES RUN LLC</v>
      </c>
      <c r="C6218" s="1" t="str">
        <f>"KENNY RD 2.168 ACRES KRANER ASSOCIATES LOT 1"</f>
        <v>KENNY RD 2.168 ACRES KRANER ASSOCIATES LOT 1</v>
      </c>
      <c r="D6218" s="1">
        <v>63016.51</v>
      </c>
    </row>
    <row r="6219" spans="1:4" x14ac:dyDescent="0.3">
      <c r="A6219" s="1" t="str">
        <f>"11300007200"</f>
        <v>11300007200</v>
      </c>
      <c r="B6219" s="1" t="str">
        <f>"JAKUPI LEON"</f>
        <v>JAKUPI LEON</v>
      </c>
      <c r="C6219" s="1" t="str">
        <f>"ALDER VISTA DR MINERVA PARK LOT 118"</f>
        <v>ALDER VISTA DR MINERVA PARK LOT 118</v>
      </c>
      <c r="D6219" s="1">
        <v>5557.84</v>
      </c>
    </row>
    <row r="6220" spans="1:4" x14ac:dyDescent="0.3">
      <c r="A6220" s="1" t="str">
        <f>"01002673400"</f>
        <v>01002673400</v>
      </c>
      <c r="B6220" s="1" t="str">
        <f>"JALLAQ ISMAIL I"</f>
        <v>JALLAQ ISMAIL I</v>
      </c>
      <c r="C6220" s="1" t="str">
        <f>"OAKWOOD AVENUE OAKWOOD'S ADDN PT LOTS 138-140"</f>
        <v>OAKWOOD AVENUE OAKWOOD'S ADDN PT LOTS 138-140</v>
      </c>
      <c r="D6220" s="1">
        <v>315.45</v>
      </c>
    </row>
    <row r="6221" spans="1:4" x14ac:dyDescent="0.3">
      <c r="A6221" s="1" t="str">
        <f>"01003209300"</f>
        <v>01003209300</v>
      </c>
      <c r="B6221" s="1" t="str">
        <f>"JALLAQ ISMAIL I"</f>
        <v>JALLAQ ISMAIL I</v>
      </c>
      <c r="C6221" s="1" t="str">
        <f>"W BROAD W OF SCHULTZ BLMONT LOT 1-2-3-4"</f>
        <v>W BROAD W OF SCHULTZ BLMONT LOT 1-2-3-4</v>
      </c>
      <c r="D6221" s="1">
        <v>2767.18</v>
      </c>
    </row>
    <row r="6222" spans="1:4" x14ac:dyDescent="0.3">
      <c r="A6222" s="1" t="str">
        <f>"01001782600"</f>
        <v>01001782600</v>
      </c>
      <c r="B6222" s="1" t="str">
        <f>"JALLAQ ISMAIL I"</f>
        <v>JALLAQ ISMAIL I</v>
      </c>
      <c r="C6222" s="1" t="str">
        <f>"1094 LIVINGSTON 1094 -6-8-1100-10 PTS OF LOTS 138-9-40"</f>
        <v>1094 LIVINGSTON 1094 -6-8-1100-10 PTS OF LOTS 138-9-40</v>
      </c>
      <c r="D6222" s="1">
        <v>588.46</v>
      </c>
    </row>
    <row r="6223" spans="1:4" x14ac:dyDescent="0.3">
      <c r="A6223" s="1" t="str">
        <f>"04001365700"</f>
        <v>04001365700</v>
      </c>
      <c r="B6223" s="1" t="str">
        <f>"JALLAQ ISMAIL I"</f>
        <v>JALLAQ ISMAIL I</v>
      </c>
      <c r="C6223" s="1" t="str">
        <f>"DEMOREST RD ANGLEBROOK 1 "</f>
        <v xml:space="preserve">DEMOREST RD ANGLEBROOK 1 </v>
      </c>
      <c r="D6223" s="1">
        <v>3252.7</v>
      </c>
    </row>
    <row r="6224" spans="1:4" x14ac:dyDescent="0.3">
      <c r="A6224" s="1" t="str">
        <f>"16000137000"</f>
        <v>16000137000</v>
      </c>
      <c r="B6224" s="1" t="str">
        <f>"JALLAQ MAJDI"</f>
        <v>JALLAQ MAJDI</v>
      </c>
      <c r="C6224" s="1" t="str">
        <f>"5206 HOOVER RD ENTRY 6840 0.858 ACRE"</f>
        <v>5206 HOOVER RD ENTRY 6840 0.858 ACRE</v>
      </c>
      <c r="D6224" s="1">
        <v>4261.26</v>
      </c>
    </row>
    <row r="6225" spans="1:4" x14ac:dyDescent="0.3">
      <c r="A6225" s="1" t="str">
        <f>"16000131400"</f>
        <v>16000131400</v>
      </c>
      <c r="B6225" s="1" t="str">
        <f>"JALLAQ MAJDI"</f>
        <v>JALLAQ MAJDI</v>
      </c>
      <c r="C6225" s="1" t="str">
        <f>"HOOVER RD OQ 1892 ENTRY 6840 0.858 ACRE"</f>
        <v>HOOVER RD OQ 1892 ENTRY 6840 0.858 ACRE</v>
      </c>
      <c r="D6225" s="1">
        <v>1065.46</v>
      </c>
    </row>
    <row r="6226" spans="1:4" x14ac:dyDescent="0.3">
      <c r="A6226" s="1" t="str">
        <f>"23000300600"</f>
        <v>23000300600</v>
      </c>
      <c r="B6226" s="1" t="str">
        <f>"JALLAQ MAJDI"</f>
        <v>JALLAQ MAJDI</v>
      </c>
      <c r="C6226" s="1" t="str">
        <f>"GEORGESVILLE PIKE OQ1000 ENTRY 1448 5.021 ACRES"</f>
        <v>GEORGESVILLE PIKE OQ1000 ENTRY 1448 5.021 ACRES</v>
      </c>
      <c r="D6226" s="1">
        <v>11238.66</v>
      </c>
    </row>
    <row r="6227" spans="1:4" x14ac:dyDescent="0.3">
      <c r="A6227" s="1" t="str">
        <f>"16100040400"</f>
        <v>16100040400</v>
      </c>
      <c r="B6227" s="1" t="str">
        <f>"JALLAQ MALEHA"</f>
        <v>JALLAQ MALEHA</v>
      </c>
      <c r="C6227" s="1" t="str">
        <f>"2895 HARRISBURG PIKE URBANCREST 31 BLK 20 "</f>
        <v xml:space="preserve">2895 HARRISBURG PIKE URBANCREST 31 BLK 20 </v>
      </c>
      <c r="D6227" s="1">
        <v>2184.5700000000002</v>
      </c>
    </row>
    <row r="6228" spans="1:4" x14ac:dyDescent="0.3">
      <c r="A6228" s="1" t="str">
        <f>"16100040500"</f>
        <v>16100040500</v>
      </c>
      <c r="B6228" s="1" t="str">
        <f>"JALLAQ MALEHA"</f>
        <v>JALLAQ MALEHA</v>
      </c>
      <c r="C6228" s="1" t="str">
        <f>"HARRISBURG PIKE URBANCREST 30 BLK 20 "</f>
        <v xml:space="preserve">HARRISBURG PIKE URBANCREST 30 BLK 20 </v>
      </c>
      <c r="D6228" s="1">
        <v>602.34</v>
      </c>
    </row>
    <row r="6229" spans="1:4" x14ac:dyDescent="0.3">
      <c r="A6229" s="1" t="str">
        <f>"16100053900"</f>
        <v>16100053900</v>
      </c>
      <c r="B6229" s="1" t="str">
        <f>"JALLAQ MALEHA"</f>
        <v>JALLAQ MALEHA</v>
      </c>
      <c r="C6229" s="1" t="str">
        <f>"2891 HARRISBURG PIKE URBANCREST PT LT 32-3 BLK 20"</f>
        <v>2891 HARRISBURG PIKE URBANCREST PT LT 32-3 BLK 20</v>
      </c>
      <c r="D6229" s="1">
        <v>2017.27</v>
      </c>
    </row>
    <row r="6230" spans="1:4" x14ac:dyDescent="0.3">
      <c r="A6230" s="1" t="str">
        <f>"16100017600"</f>
        <v>16100017600</v>
      </c>
      <c r="B6230" s="1" t="str">
        <f>"JALLAQ MALEHA"</f>
        <v>JALLAQ MALEHA</v>
      </c>
      <c r="C6230" s="1" t="str">
        <f>"HARRISBURG PK SEE DUP FOR DESC 27-28-29 BLK 20"</f>
        <v>HARRISBURG PK SEE DUP FOR DESC 27-28-29 BLK 20</v>
      </c>
      <c r="D6230" s="1">
        <v>1278.17</v>
      </c>
    </row>
    <row r="6231" spans="1:4" x14ac:dyDescent="0.3">
      <c r="A6231" s="1" t="str">
        <f>"04000269600"</f>
        <v>04000269600</v>
      </c>
      <c r="B6231" s="1" t="str">
        <f>"JALLAQ MALEHA"</f>
        <v>JALLAQ MALEHA</v>
      </c>
      <c r="C6231" s="1" t="str">
        <f>"3055 WENDY LANE JACKSON HOMES SEC 3 LOT 23 &amp; .066 ACRE"</f>
        <v>3055 WENDY LANE JACKSON HOMES SEC 3 LOT 23 &amp; .066 ACRE</v>
      </c>
      <c r="D6231" s="1">
        <v>3507.88</v>
      </c>
    </row>
    <row r="6232" spans="1:4" x14ac:dyDescent="0.3">
      <c r="A6232" s="1" t="str">
        <f>"04000021400"</f>
        <v>04000021400</v>
      </c>
      <c r="B6232" s="1" t="str">
        <f>"JALLAQ MALEHA"</f>
        <v>JALLAQ MALEHA</v>
      </c>
      <c r="C6232" s="1" t="str">
        <f>"BEULAH SUB LOT 118"</f>
        <v>BEULAH SUB LOT 118</v>
      </c>
      <c r="D6232" s="1">
        <v>4012.98</v>
      </c>
    </row>
    <row r="6233" spans="1:4" x14ac:dyDescent="0.3">
      <c r="A6233" s="1" t="str">
        <f>"01002943200"</f>
        <v>01002943200</v>
      </c>
      <c r="B6233" s="1" t="str">
        <f>"JALLAQ OTTA"</f>
        <v>JALLAQ OTTA</v>
      </c>
      <c r="C6233" s="1" t="str">
        <f>"776-78 SULLIVANT AVE MARTINS WESTERN PT LOT 193"</f>
        <v>776-78 SULLIVANT AVE MARTINS WESTERN PT LOT 193</v>
      </c>
      <c r="D6233" s="1">
        <v>1097.21</v>
      </c>
    </row>
    <row r="6234" spans="1:4" x14ac:dyDescent="0.3">
      <c r="A6234" s="1" t="str">
        <f>"01007108000"</f>
        <v>01007108000</v>
      </c>
      <c r="B6234" s="1" t="str">
        <f>"JALLAQ OTTA"</f>
        <v>JALLAQ OTTA</v>
      </c>
      <c r="C6234" s="1" t="str">
        <f>"2362 JOYCE AVE 9FT NS 267&amp;36FT SS 268 LOT 267-268"</f>
        <v>2362 JOYCE AVE 9FT NS 267&amp;36FT SS 268 LOT 267-268</v>
      </c>
      <c r="D6234" s="1">
        <v>258.17</v>
      </c>
    </row>
    <row r="6235" spans="1:4" x14ac:dyDescent="0.3">
      <c r="A6235" s="1" t="str">
        <f>"04000682700"</f>
        <v>04000682700</v>
      </c>
      <c r="B6235" s="1" t="str">
        <f>"JALLAQ OTTA"</f>
        <v>JALLAQ OTTA</v>
      </c>
      <c r="C6235" s="1" t="str">
        <f>"2800 DEMOREST ROAD 2.937 ACRE ENT 1388 "</f>
        <v xml:space="preserve">2800 DEMOREST ROAD 2.937 ACRE ENT 1388 </v>
      </c>
      <c r="D6235" s="1">
        <v>2355.42</v>
      </c>
    </row>
    <row r="6236" spans="1:4" x14ac:dyDescent="0.3">
      <c r="A6236" s="1" t="str">
        <f>"01010040400"</f>
        <v>01010040400</v>
      </c>
      <c r="B6236" s="1" t="str">
        <f>"JALLAQ OTTA I"</f>
        <v>JALLAQ OTTA I</v>
      </c>
      <c r="C6236" s="1" t="str">
        <f>"AMESBURY RD SHADY LANE PK LOT 352"</f>
        <v>AMESBURY RD SHADY LANE PK LOT 352</v>
      </c>
      <c r="D6236" s="1">
        <v>1598.69</v>
      </c>
    </row>
    <row r="6237" spans="1:4" x14ac:dyDescent="0.3">
      <c r="A6237" s="1" t="str">
        <f>"01018635900"</f>
        <v>01018635900</v>
      </c>
      <c r="B6237" s="1" t="str">
        <f>"JAMA MOHAMED ALI"</f>
        <v>JAMA MOHAMED ALI</v>
      </c>
      <c r="C6237" s="1" t="str">
        <f>"PERKINS CT MEADW LAURELWD CONDO UNIT 2339-P BLDG 6"</f>
        <v>PERKINS CT MEADW LAURELWD CONDO UNIT 2339-P BLDG 6</v>
      </c>
      <c r="D6237" s="1">
        <v>80.31</v>
      </c>
    </row>
    <row r="6238" spans="1:4" x14ac:dyDescent="0.3">
      <c r="A6238" s="1" t="str">
        <f>"01026069400"</f>
        <v>01026069400</v>
      </c>
      <c r="B6238" s="1" t="str">
        <f>"JAMA RIDWAN, OMAR ABDIHAKIM MOHAMED"</f>
        <v>JAMA RIDWAN, OMAR ABDIHAKIM MOHAMED</v>
      </c>
      <c r="C6238" s="1" t="str">
        <f>"JAKE PLACE MCCUTCHEON CROSSING SECTION 1 LOT 45"</f>
        <v>JAKE PLACE MCCUTCHEON CROSSING SECTION 1 LOT 45</v>
      </c>
      <c r="D6238" s="1">
        <v>2799.15</v>
      </c>
    </row>
    <row r="6239" spans="1:4" x14ac:dyDescent="0.3">
      <c r="A6239" s="1" t="str">
        <f>"52027745900"</f>
        <v>52027745900</v>
      </c>
      <c r="B6239" s="1" t="str">
        <f>"JAMAD S ALI"</f>
        <v>JAMAD S ALI</v>
      </c>
      <c r="C6239" s="1" t="str">
        <f>"4133 CLAVER DRIVE TOWNE PARK SECTION 1 LOT 43"</f>
        <v>4133 CLAVER DRIVE TOWNE PARK SECTION 1 LOT 43</v>
      </c>
      <c r="D6239" s="1">
        <v>498.63</v>
      </c>
    </row>
    <row r="6240" spans="1:4" x14ac:dyDescent="0.3">
      <c r="A6240" s="1" t="str">
        <f>"01017337400"</f>
        <v>01017337400</v>
      </c>
      <c r="B6240" s="1" t="str">
        <f>"JAMALE NAFISO MOHAMED, ALI KHADIJA"</f>
        <v>JAMALE NAFISO MOHAMED, ALI KHADIJA</v>
      </c>
      <c r="C6240" s="1" t="str">
        <f>"STONEHENGE CONDOMINIUM BLDG 11 UNIT 838"</f>
        <v>STONEHENGE CONDOMINIUM BLDG 11 UNIT 838</v>
      </c>
      <c r="D6240" s="1">
        <v>1940.63</v>
      </c>
    </row>
    <row r="6241" spans="1:4" x14ac:dyDescent="0.3">
      <c r="A6241" s="1" t="str">
        <f>"01014422300"</f>
        <v>01014422300</v>
      </c>
      <c r="B6241" s="1" t="str">
        <f>"JAMALEDDINE ILHAM"</f>
        <v>JAMALEDDINE ILHAM</v>
      </c>
      <c r="C6241" s="1" t="str">
        <f>"HARDESTY DR N HARDESTY VILLAGE CONDO B UNIT B-8"</f>
        <v>HARDESTY DR N HARDESTY VILLAGE CONDO B UNIT B-8</v>
      </c>
      <c r="D6241" s="1">
        <v>2695.5</v>
      </c>
    </row>
    <row r="6242" spans="1:4" x14ac:dyDescent="0.3">
      <c r="A6242" s="1" t="str">
        <f>"01017896800"</f>
        <v>01017896800</v>
      </c>
      <c r="B6242" s="1" t="str">
        <f>"JAMAR-BROWN MICHAEL A"</f>
        <v>JAMAR-BROWN MICHAEL A</v>
      </c>
      <c r="C6242" s="1" t="str">
        <f>"GENTRY LANDING COND UNIT 71 "</f>
        <v xml:space="preserve">GENTRY LANDING COND UNIT 71 </v>
      </c>
      <c r="D6242" s="1">
        <v>1980.02</v>
      </c>
    </row>
    <row r="6243" spans="1:4" x14ac:dyDescent="0.3">
      <c r="A6243" s="1" t="str">
        <f>"01009440100"</f>
        <v>01009440100</v>
      </c>
      <c r="B6243" s="1" t="str">
        <f>"JAMES ANDRE, JAMES AARON"</f>
        <v>JAMES ANDRE, JAMES AARON</v>
      </c>
      <c r="C6243" s="1" t="str">
        <f>"1418 E WEBER RD LINDEN GARDENS PT LOT 2"</f>
        <v>1418 E WEBER RD LINDEN GARDENS PT LOT 2</v>
      </c>
      <c r="D6243" s="1">
        <v>1100.8399999999999</v>
      </c>
    </row>
    <row r="6244" spans="1:4" x14ac:dyDescent="0.3">
      <c r="A6244" s="1" t="str">
        <f>"03000016000"</f>
        <v>03000016000</v>
      </c>
      <c r="B6244" s="1" t="str">
        <f>"JAMES ARTHUR L TTEE"</f>
        <v>JAMES ARTHUR L TTEE</v>
      </c>
      <c r="C6244" s="1" t="str">
        <f>"1183 WYANDOTTE RD 272-3 &amp; N1/2 274 GLADDINGTON HTS"</f>
        <v>1183 WYANDOTTE RD 272-3 &amp; N1/2 274 GLADDINGTON HTS</v>
      </c>
      <c r="D6244" s="1">
        <v>7761.83</v>
      </c>
    </row>
    <row r="6245" spans="1:4" x14ac:dyDescent="0.3">
      <c r="A6245" s="1" t="str">
        <f>"01010139200"</f>
        <v>01010139200</v>
      </c>
      <c r="B6245" s="1" t="str">
        <f>"JAMES BARBARA A"</f>
        <v>JAMES BARBARA A</v>
      </c>
      <c r="C6245" s="1" t="str">
        <f>"COURTRIGHT RD. BERWICK MANOR LOT446"</f>
        <v>COURTRIGHT RD. BERWICK MANOR LOT446</v>
      </c>
      <c r="D6245" s="1">
        <v>67.56</v>
      </c>
    </row>
    <row r="6246" spans="1:4" x14ac:dyDescent="0.3">
      <c r="A6246" s="1" t="str">
        <f>"01008178200"</f>
        <v>01008178200</v>
      </c>
      <c r="B6246" s="1" t="str">
        <f>"JAMES CAROL"</f>
        <v>JAMES CAROL</v>
      </c>
      <c r="C6246" s="1" t="str">
        <f>"BRENTNELL AVE SHEPARD HTS LOT 27"</f>
        <v>BRENTNELL AVE SHEPARD HTS LOT 27</v>
      </c>
      <c r="D6246" s="1">
        <v>134.08000000000001</v>
      </c>
    </row>
    <row r="6247" spans="1:4" x14ac:dyDescent="0.3">
      <c r="A6247" s="1" t="str">
        <f>"27300148300"</f>
        <v>27300148300</v>
      </c>
      <c r="B6247" s="1" t="str">
        <f>"JAMES JENNIFER L"</f>
        <v>JAMES JENNIFER L</v>
      </c>
      <c r="C6247" s="1" t="str">
        <f>"5535 OLD POND DR HEMINGWAY VIL SEC 2 LOT 139"</f>
        <v>5535 OLD POND DR HEMINGWAY VIL SEC 2 LOT 139</v>
      </c>
      <c r="D6247" s="1">
        <v>517.96</v>
      </c>
    </row>
    <row r="6248" spans="1:4" x14ac:dyDescent="0.3">
      <c r="A6248" s="1" t="str">
        <f>"02500346600"</f>
        <v>02500346600</v>
      </c>
      <c r="B6248" s="1" t="str">
        <f>"JAMES MOLLY"</f>
        <v>JAMES MOLLY</v>
      </c>
      <c r="C6248" s="1" t="str">
        <f>"249 DUNCHURCH ROAD IMPERIAL RISE 1 41 "</f>
        <v xml:space="preserve">249 DUNCHURCH ROAD IMPERIAL RISE 1 41 </v>
      </c>
      <c r="D6248" s="1">
        <v>5694.73</v>
      </c>
    </row>
    <row r="6249" spans="1:4" x14ac:dyDescent="0.3">
      <c r="A6249" s="1" t="str">
        <f>"02500735100"</f>
        <v>02500735100</v>
      </c>
      <c r="B6249" s="1" t="str">
        <f>"JAMES REGINA F, JAMES LARRY"</f>
        <v>JAMES REGINA F, JAMES LARRY</v>
      </c>
      <c r="C6249" s="1" t="str">
        <f>"722 HUNTERS RUN HUNTERS RIDGE SEC 9 LOT 570"</f>
        <v>722 HUNTERS RUN HUNTERS RIDGE SEC 9 LOT 570</v>
      </c>
      <c r="D6249" s="1">
        <v>1180.53</v>
      </c>
    </row>
    <row r="6250" spans="1:4" x14ac:dyDescent="0.3">
      <c r="A6250" s="1" t="str">
        <f>"01008085300"</f>
        <v>01008085300</v>
      </c>
      <c r="B6250" s="1" t="str">
        <f>"JAMES SAMUEL, JAMES MARVA"</f>
        <v>JAMES SAMUEL, JAMES MARVA</v>
      </c>
      <c r="C6250" s="1" t="str">
        <f>"1026 GEERS AVENUE DRIVING PARK LOT 354"</f>
        <v>1026 GEERS AVENUE DRIVING PARK LOT 354</v>
      </c>
      <c r="D6250" s="1">
        <v>1311.3</v>
      </c>
    </row>
    <row r="6251" spans="1:4" x14ac:dyDescent="0.3">
      <c r="A6251" s="1" t="str">
        <f>"01012367800"</f>
        <v>01012367800</v>
      </c>
      <c r="B6251" s="1" t="str">
        <f>"JAMES TAMARA L"</f>
        <v>JAMES TAMARA L</v>
      </c>
      <c r="C6251" s="1" t="str">
        <f>"HAVENDALE DR BRENTWOOD PK LOT 32"</f>
        <v>HAVENDALE DR BRENTWOOD PK LOT 32</v>
      </c>
      <c r="D6251" s="1">
        <v>2711.74</v>
      </c>
    </row>
    <row r="6252" spans="1:4" x14ac:dyDescent="0.3">
      <c r="A6252" s="1" t="str">
        <f>"01016597100"</f>
        <v>01016597100</v>
      </c>
      <c r="B6252" s="1" t="str">
        <f>"JAMES THERESA"</f>
        <v>JAMES THERESA</v>
      </c>
      <c r="C6252" s="1" t="str">
        <f>"WINDING HILLS CONDO II BROADLEAF LANE UNIT 3553 BLDG 15"</f>
        <v>WINDING HILLS CONDO II BROADLEAF LANE UNIT 3553 BLDG 15</v>
      </c>
      <c r="D6252" s="1">
        <v>1862</v>
      </c>
    </row>
    <row r="6253" spans="1:4" x14ac:dyDescent="0.3">
      <c r="A6253" s="1" t="str">
        <f>"56022769200"</f>
        <v>56022769200</v>
      </c>
      <c r="B6253" s="1" t="str">
        <f>"JAMES THERESE V"</f>
        <v>JAMES THERESE V</v>
      </c>
      <c r="C6253" s="1" t="str">
        <f>"HILLIARD VILLAGE CONDOMINIUM 14TH AMD UNIT 56E"</f>
        <v>HILLIARD VILLAGE CONDOMINIUM 14TH AMD UNIT 56E</v>
      </c>
      <c r="D6253" s="1">
        <v>2185.12</v>
      </c>
    </row>
    <row r="6254" spans="1:4" x14ac:dyDescent="0.3">
      <c r="A6254" s="1" t="str">
        <f>"01012449700"</f>
        <v>01012449700</v>
      </c>
      <c r="B6254" s="1" t="str">
        <f>"JAMES YOULANDA L"</f>
        <v>JAMES YOULANDA L</v>
      </c>
      <c r="C6254" s="1" t="str">
        <f>"WALNUT VILLAGE 2 LOT 134 "</f>
        <v xml:space="preserve">WALNUT VILLAGE 2 LOT 134 </v>
      </c>
      <c r="D6254" s="1">
        <v>512.48</v>
      </c>
    </row>
    <row r="6255" spans="1:4" x14ac:dyDescent="0.3">
      <c r="A6255" s="1" t="str">
        <f>"01026973200"</f>
        <v>01026973200</v>
      </c>
      <c r="B6255" s="1" t="str">
        <f>"JAMESON KRISTINA L"</f>
        <v>JAMESON KRISTINA L</v>
      </c>
      <c r="C6255" s="1" t="str">
        <f>"3960 SUMMERSTONE DRIVE THE WILLOWS AT PRESERVE CROSSING  LOT 255"</f>
        <v>3960 SUMMERSTONE DRIVE THE WILLOWS AT PRESERVE CROSSING  LOT 255</v>
      </c>
      <c r="D6255" s="1">
        <v>216.22</v>
      </c>
    </row>
    <row r="6256" spans="1:4" x14ac:dyDescent="0.3">
      <c r="A6256" s="1" t="str">
        <f>"01003151700"</f>
        <v>01003151700</v>
      </c>
      <c r="B6256" s="1" t="str">
        <f>"JAMESON NORMA E TOD"</f>
        <v>JAMESON NORMA E TOD</v>
      </c>
      <c r="C6256" s="1" t="str">
        <f>"1522-1524 E LONG ST CORNFIELD LOT 33"</f>
        <v>1522-1524 E LONG ST CORNFIELD LOT 33</v>
      </c>
      <c r="D6256" s="1">
        <v>1500</v>
      </c>
    </row>
    <row r="6257" spans="1:4" x14ac:dyDescent="0.3">
      <c r="A6257" s="1" t="str">
        <f>"04000547800"</f>
        <v>04000547800</v>
      </c>
      <c r="B6257" s="1" t="str">
        <f>"JAMESON RICHARD C TR"</f>
        <v>JAMESON RICHARD C TR</v>
      </c>
      <c r="C6257" s="1" t="str">
        <f>"6151 SENECA COURT INDIAN TRAILS SEC 3 LOT 148"</f>
        <v>6151 SENECA COURT INDIAN TRAILS SEC 3 LOT 148</v>
      </c>
      <c r="D6257" s="1">
        <v>269.42</v>
      </c>
    </row>
    <row r="6258" spans="1:4" x14ac:dyDescent="0.3">
      <c r="A6258" s="1" t="str">
        <f>"01005439800"</f>
        <v>01005439800</v>
      </c>
      <c r="B6258" s="1" t="str">
        <f>"JAMESON SHARLENE G"</f>
        <v>JAMESON SHARLENE G</v>
      </c>
      <c r="C6258" s="1" t="str">
        <f>"210 SHERBORNE RD E GATE LOT 30 BLK 5"</f>
        <v>210 SHERBORNE RD E GATE LOT 30 BLK 5</v>
      </c>
      <c r="D6258" s="1">
        <v>207.77</v>
      </c>
    </row>
    <row r="6259" spans="1:4" x14ac:dyDescent="0.3">
      <c r="A6259" s="1" t="str">
        <f>"61020660400"</f>
        <v>61020660400</v>
      </c>
      <c r="B6259" s="1" t="str">
        <f>"JAMIESON LORETTA J"</f>
        <v>JAMIESON LORETTA J</v>
      </c>
      <c r="C6259" s="1" t="str">
        <f>"GARDENSTONE DRIVE WORTHINGTON GREEN SEC 2 LOT 66"</f>
        <v>GARDENSTONE DRIVE WORTHINGTON GREEN SEC 2 LOT 66</v>
      </c>
      <c r="D6259" s="1">
        <v>272.36</v>
      </c>
    </row>
    <row r="6260" spans="1:4" x14ac:dyDescent="0.3">
      <c r="A6260" s="1" t="str">
        <f>"61026398500"</f>
        <v>61026398500</v>
      </c>
      <c r="B6260" s="1" t="str">
        <f>"JAMIL ANAM A, JAMIL ATOARA"</f>
        <v>JAMIL ANAM A, JAMIL ATOARA</v>
      </c>
      <c r="C6260" s="1" t="str">
        <f>"BLACKSMITH DRIVE LAZELLE WOODS SECTION 1 LOT 60"</f>
        <v>BLACKSMITH DRIVE LAZELLE WOODS SECTION 1 LOT 60</v>
      </c>
      <c r="D6260" s="1">
        <v>10881.28</v>
      </c>
    </row>
    <row r="6261" spans="1:4" x14ac:dyDescent="0.3">
      <c r="A6261" s="1" t="str">
        <f>"24000289300"</f>
        <v>24000289300</v>
      </c>
      <c r="B6261" s="1" t="str">
        <f>"JAMISON CHRISTINA M AFDT"</f>
        <v>JAMISON CHRISTINA M AFDT</v>
      </c>
      <c r="C6261" s="1" t="str">
        <f>"GREENER AVE GARDEN HTS 45 "</f>
        <v xml:space="preserve">GREENER AVE GARDEN HTS 45 </v>
      </c>
      <c r="D6261" s="1">
        <v>184.9</v>
      </c>
    </row>
    <row r="6262" spans="1:4" x14ac:dyDescent="0.3">
      <c r="A6262" s="1" t="str">
        <f>"24000289400"</f>
        <v>24000289400</v>
      </c>
      <c r="B6262" s="1" t="str">
        <f>"JAMISON CHRISTINA M AFDT"</f>
        <v>JAMISON CHRISTINA M AFDT</v>
      </c>
      <c r="C6262" s="1" t="str">
        <f>"GREENER AVE GARDEN HTS 46 "</f>
        <v xml:space="preserve">GREENER AVE GARDEN HTS 46 </v>
      </c>
      <c r="D6262" s="1">
        <v>38.32</v>
      </c>
    </row>
    <row r="6263" spans="1:4" x14ac:dyDescent="0.3">
      <c r="A6263" s="1" t="str">
        <f>"02500953200"</f>
        <v>02500953200</v>
      </c>
      <c r="B6263" s="1" t="str">
        <f>"JAMISON DARRELL L, JAMISON KATHLEEN E"</f>
        <v>JAMISON DARRELL L, JAMISON KATHLEEN E</v>
      </c>
      <c r="C6263" s="1" t="str">
        <f>"WOODSIDE GREEN SOUTH SECTION 4 LOT 247"</f>
        <v>WOODSIDE GREEN SOUTH SECTION 4 LOT 247</v>
      </c>
      <c r="D6263" s="1">
        <v>1298.1600000000001</v>
      </c>
    </row>
    <row r="6264" spans="1:4" x14ac:dyDescent="0.3">
      <c r="A6264" s="1" t="str">
        <f>"08000980400"</f>
        <v>08000980400</v>
      </c>
      <c r="B6264" s="1" t="str">
        <f>"JAMISON JEANNE F"</f>
        <v>JAMISON JEANNE F</v>
      </c>
      <c r="C6264" s="1" t="str">
        <f>"FOXTRAIL CONDOMINIUM BLDG 10 UNIT 206 "</f>
        <v xml:space="preserve">FOXTRAIL CONDOMINIUM BLDG 10 UNIT 206 </v>
      </c>
      <c r="D6264" s="1">
        <v>1465.94</v>
      </c>
    </row>
    <row r="6265" spans="1:4" x14ac:dyDescent="0.3">
      <c r="A6265" s="1" t="str">
        <f>"02501002100"</f>
        <v>02501002100</v>
      </c>
      <c r="B6265" s="1" t="str">
        <f>"JAMISON REID L TTEE"</f>
        <v>JAMISON REID L TTEE</v>
      </c>
      <c r="C6265" s="1" t="str">
        <f>"0000 MISTY OAK PL ACADEMY PLACE LOT 17"</f>
        <v>0000 MISTY OAK PL ACADEMY PLACE LOT 17</v>
      </c>
      <c r="D6265" s="1">
        <v>635.07000000000005</v>
      </c>
    </row>
    <row r="6266" spans="1:4" x14ac:dyDescent="0.3">
      <c r="A6266" s="1" t="str">
        <f>"01003246700"</f>
        <v>01003246700</v>
      </c>
      <c r="B6266" s="1" t="str">
        <f>"JAMUISON DONTAE, JAMUISON VASH'TIA, JAMUIOSON ELI, JAMUISON SAMUEL JR"</f>
        <v>JAMUISON DONTAE, JAMUISON VASH'TIA, JAMUIOSON ELI, JAMUISON SAMUEL JR</v>
      </c>
      <c r="C6266" s="1" t="str">
        <f>"LOCKBOURNE PL AMD LOT 48 "</f>
        <v xml:space="preserve">LOCKBOURNE PL AMD LOT 48 </v>
      </c>
      <c r="D6266" s="1">
        <v>4040.56</v>
      </c>
    </row>
    <row r="6267" spans="1:4" x14ac:dyDescent="0.3">
      <c r="A6267" s="1" t="str">
        <f>"24100056400"</f>
        <v>24100056400</v>
      </c>
      <c r="B6267" s="1" t="str">
        <f>"JANCI NATASHA A"</f>
        <v>JANCI NATASHA A</v>
      </c>
      <c r="C6267" s="1" t="str">
        <f>"RUSH CREEK ROAD LAKE DARBY ESTATES 2 LOT 630"</f>
        <v>RUSH CREEK ROAD LAKE DARBY ESTATES 2 LOT 630</v>
      </c>
      <c r="D6267" s="1">
        <v>402.64</v>
      </c>
    </row>
    <row r="6268" spans="1:4" x14ac:dyDescent="0.3">
      <c r="A6268" s="1" t="str">
        <f>"01012849400"</f>
        <v>01012849400</v>
      </c>
      <c r="B6268" s="1" t="str">
        <f>"JANDRE 24 LIMITED LIABILITY CORPORATION"</f>
        <v>JANDRE 24 LIMITED LIABILITY CORPORATION</v>
      </c>
      <c r="C6268" s="1" t="str">
        <f>"BERKELEY PLACE LOT 7 "</f>
        <v xml:space="preserve">BERKELEY PLACE LOT 7 </v>
      </c>
      <c r="D6268" s="1">
        <v>4222.45</v>
      </c>
    </row>
    <row r="6269" spans="1:4" x14ac:dyDescent="0.3">
      <c r="A6269" s="1" t="str">
        <f>"01010752300"</f>
        <v>01010752300</v>
      </c>
      <c r="B6269" s="1" t="str">
        <f>"JANUARY FRED III"</f>
        <v>JANUARY FRED III</v>
      </c>
      <c r="C6269" s="1" t="str">
        <f>"ROSWELL DR BERWICK MANOR 2 LOT 6"</f>
        <v>ROSWELL DR BERWICK MANOR 2 LOT 6</v>
      </c>
      <c r="D6269" s="1">
        <v>2928.74</v>
      </c>
    </row>
    <row r="6270" spans="1:4" x14ac:dyDescent="0.3">
      <c r="A6270" s="1" t="str">
        <f>"52024921600"</f>
        <v>52024921600</v>
      </c>
      <c r="B6270" s="1" t="str">
        <f>"JANZ CORPORATION"</f>
        <v>JANZ CORPORATION</v>
      </c>
      <c r="C6270" s="1" t="str">
        <f>"OUTERBELT ST OUTERBELT E COM PARK PT LOT 10=1.370 ACRES"</f>
        <v>OUTERBELT ST OUTERBELT E COM PARK PT LOT 10=1.370 ACRES</v>
      </c>
      <c r="D6270" s="1">
        <v>17502.21</v>
      </c>
    </row>
    <row r="6271" spans="1:4" x14ac:dyDescent="0.3">
      <c r="A6271" s="1" t="str">
        <f>"18000219600"</f>
        <v>18000219600</v>
      </c>
      <c r="B6271" s="1" t="str">
        <f>"JARDINEZ DAVID FRANCO"</f>
        <v>JARDINEZ DAVID FRANCO</v>
      </c>
      <c r="C6271" s="1" t="str">
        <f>"BREWSTER DR BLACKLICK ESTATES 1 LOT 338"</f>
        <v>BREWSTER DR BLACKLICK ESTATES 1 LOT 338</v>
      </c>
      <c r="D6271" s="1">
        <v>4352.71</v>
      </c>
    </row>
    <row r="6272" spans="1:4" x14ac:dyDescent="0.3">
      <c r="A6272" s="1" t="str">
        <f>"18000217900"</f>
        <v>18000217900</v>
      </c>
      <c r="B6272" s="1" t="str">
        <f>"JARDINEZ DAVID FRANCO"</f>
        <v>JARDINEZ DAVID FRANCO</v>
      </c>
      <c r="C6272" s="1" t="str">
        <f>"NOE-BIXBY RD BLACKLICK ESTATES 1 321"</f>
        <v>NOE-BIXBY RD BLACKLICK ESTATES 1 321</v>
      </c>
      <c r="D6272" s="1">
        <v>3333.26</v>
      </c>
    </row>
    <row r="6273" spans="1:4" x14ac:dyDescent="0.3">
      <c r="A6273" s="1" t="str">
        <f>"16000255600"</f>
        <v>16000255600</v>
      </c>
      <c r="B6273" s="1" t="str">
        <f>"JARDINEZ DAVID FRANCO, ROSALES MARIO REYES"</f>
        <v>JARDINEZ DAVID FRANCO, ROSALES MARIO REYES</v>
      </c>
      <c r="C6273" s="1" t="str">
        <f>"LONDON GROVEPORT RD ENTRY 6115 1.136 ACRES"</f>
        <v>LONDON GROVEPORT RD ENTRY 6115 1.136 ACRES</v>
      </c>
      <c r="D6273" s="1">
        <v>594.29999999999995</v>
      </c>
    </row>
    <row r="6274" spans="1:4" x14ac:dyDescent="0.3">
      <c r="A6274" s="1" t="str">
        <f>"16000259300"</f>
        <v>16000259300</v>
      </c>
      <c r="B6274" s="1" t="str">
        <f>"JARDINEZ DAVID FRANCO, ROSALES MARIO REYES"</f>
        <v>JARDINEZ DAVID FRANCO, ROSALES MARIO REYES</v>
      </c>
      <c r="C6274" s="1" t="str">
        <f>"LONDON GROVEPORT RD ENTRY 6115 5.983 ACS"</f>
        <v>LONDON GROVEPORT RD ENTRY 6115 5.983 ACS</v>
      </c>
      <c r="D6274" s="1">
        <v>6149.41</v>
      </c>
    </row>
    <row r="6275" spans="1:4" x14ac:dyDescent="0.3">
      <c r="A6275" s="1" t="str">
        <f>"01028225300"</f>
        <v>01028225300</v>
      </c>
      <c r="B6275" s="1" t="str">
        <f>"JARDINEZ DAVID FRANCO, ROSALES MARIO REYES"</f>
        <v>JARDINEZ DAVID FRANCO, ROSALES MARIO REYES</v>
      </c>
      <c r="C6275" s="1" t="str">
        <f>"WHITE OAK PARK CONDOMINIUM 7TH AMD BLDG 46 UNIT 46-6410"</f>
        <v>WHITE OAK PARK CONDOMINIUM 7TH AMD BLDG 46 UNIT 46-6410</v>
      </c>
      <c r="D6275" s="1">
        <v>2573.3000000000002</v>
      </c>
    </row>
    <row r="6276" spans="1:4" x14ac:dyDescent="0.3">
      <c r="A6276" s="1" t="str">
        <f>"11300002300"</f>
        <v>11300002300</v>
      </c>
      <c r="B6276" s="1" t="str">
        <f>"JARJAR LLC"</f>
        <v>JARJAR LLC</v>
      </c>
      <c r="C6276" s="1" t="str">
        <f>"CLEVELAND AVE MINERVA PARK 150'ES LOT 1"</f>
        <v>CLEVELAND AVE MINERVA PARK 150'ES LOT 1</v>
      </c>
      <c r="D6276" s="1">
        <v>230.88</v>
      </c>
    </row>
    <row r="6277" spans="1:4" x14ac:dyDescent="0.3">
      <c r="A6277" s="1" t="str">
        <f>"01008171200"</f>
        <v>01008171200</v>
      </c>
      <c r="B6277" s="1" t="str">
        <f>"JARRELL SHANNON"</f>
        <v>JARRELL SHANNON</v>
      </c>
      <c r="C6277" s="1" t="str">
        <f>"598 S RICHARDSON AVE HEFFNER HTS ANNEX LOT 144"</f>
        <v>598 S RICHARDSON AVE HEFFNER HTS ANNEX LOT 144</v>
      </c>
      <c r="D6277" s="1">
        <v>1177.32</v>
      </c>
    </row>
    <row r="6278" spans="1:4" x14ac:dyDescent="0.3">
      <c r="A6278" s="1" t="str">
        <f>"05000514500"</f>
        <v>05000514500</v>
      </c>
      <c r="B6278" s="1" t="str">
        <f>"JARRETT GREGORY K"</f>
        <v>JARRETT GREGORY K</v>
      </c>
      <c r="C6278" s="1" t="str">
        <f>"BAYBERRY CREEK CONDOMINIUM 1ST AMD BLDG 8 UNIT 4881"</f>
        <v>BAYBERRY CREEK CONDOMINIUM 1ST AMD BLDG 8 UNIT 4881</v>
      </c>
      <c r="D6278" s="1">
        <v>2489.29</v>
      </c>
    </row>
    <row r="6279" spans="1:4" x14ac:dyDescent="0.3">
      <c r="A6279" s="1" t="str">
        <f>"01009293000"</f>
        <v>01009293000</v>
      </c>
      <c r="B6279" s="1" t="str">
        <f>"JARVIS JANICE"</f>
        <v>JARVIS JANICE</v>
      </c>
      <c r="C6279" s="1" t="str">
        <f>"2621 AVALON PLACE BEXLEY HTS AMD LOT 118"</f>
        <v>2621 AVALON PLACE BEXLEY HTS AMD LOT 118</v>
      </c>
      <c r="D6279" s="1">
        <v>390.54</v>
      </c>
    </row>
    <row r="6280" spans="1:4" x14ac:dyDescent="0.3">
      <c r="A6280" s="1" t="str">
        <f>"01001361400"</f>
        <v>01001361400</v>
      </c>
      <c r="B6280" s="1" t="str">
        <f>"JASANI SAGAR"</f>
        <v>JASANI SAGAR</v>
      </c>
      <c r="C6280" s="1" t="str">
        <f>"223 JACKSON ST PARSONS LOT 54"</f>
        <v>223 JACKSON ST PARSONS LOT 54</v>
      </c>
      <c r="D6280" s="1">
        <v>480.35</v>
      </c>
    </row>
    <row r="6281" spans="1:4" x14ac:dyDescent="0.3">
      <c r="A6281" s="1" t="str">
        <f>"27300350100"</f>
        <v>27300350100</v>
      </c>
      <c r="B6281" s="1" t="str">
        <f>"JAUNG LICHING, JAUNG THERESA"</f>
        <v>JAUNG LICHING, JAUNG THERESA</v>
      </c>
      <c r="C6281" s="1" t="str">
        <f>"5587 SELLS MILL DR EARLINGTON VILLAGE SEC #3 LOT 162"</f>
        <v>5587 SELLS MILL DR EARLINGTON VILLAGE SEC #3 LOT 162</v>
      </c>
      <c r="D6281" s="1">
        <v>524.83000000000004</v>
      </c>
    </row>
    <row r="6282" spans="1:4" x14ac:dyDescent="0.3">
      <c r="A6282" s="1" t="str">
        <f>"01025876200"</f>
        <v>01025876200</v>
      </c>
      <c r="B6282" s="1" t="str">
        <f>"JAYNES JAN, JAYNES DARSIE"</f>
        <v>JAYNES JAN, JAYNES DARSIE</v>
      </c>
      <c r="C6282" s="1" t="str">
        <f>"VILLAGE AT GALLOWAY RIDGE S-F HOMES CONDO (1ST AMD) HOME DESIGNATION 55"</f>
        <v>VILLAGE AT GALLOWAY RIDGE S-F HOMES CONDO (1ST AMD) HOME DESIGNATION 55</v>
      </c>
      <c r="D6282" s="1">
        <v>1399.7</v>
      </c>
    </row>
    <row r="6283" spans="1:4" x14ac:dyDescent="0.3">
      <c r="A6283" s="1" t="str">
        <f>"01027510000"</f>
        <v>01027510000</v>
      </c>
      <c r="B6283" s="1" t="str">
        <f>"JAYNES JENNIFER"</f>
        <v>JAYNES JENNIFER</v>
      </c>
      <c r="C6283" s="1" t="str">
        <f>"NEW ALBANY PARK           CONDOMINIUM 14TH AMD      BLDG 52 52-7095          "</f>
        <v xml:space="preserve">NEW ALBANY PARK           CONDOMINIUM 14TH AMD      BLDG 52 52-7095          </v>
      </c>
      <c r="D6283" s="1">
        <v>2401.4699999999998</v>
      </c>
    </row>
    <row r="6284" spans="1:4" x14ac:dyDescent="0.3">
      <c r="A6284" s="1" t="str">
        <f>"11000553500"</f>
        <v>11000553500</v>
      </c>
      <c r="B6284" s="1" t="str">
        <f>"JB DAVCO LLC"</f>
        <v>JB DAVCO LLC</v>
      </c>
      <c r="C6284" s="1" t="str">
        <f>"BITTERROOT DRIVE SUNBURY WOODS LOT 293"</f>
        <v>BITTERROOT DRIVE SUNBURY WOODS LOT 293</v>
      </c>
      <c r="D6284" s="1">
        <v>758.08</v>
      </c>
    </row>
    <row r="6285" spans="1:4" x14ac:dyDescent="0.3">
      <c r="A6285" s="1" t="str">
        <f>"01005271400"</f>
        <v>01005271400</v>
      </c>
      <c r="B6285" s="1" t="str">
        <f>"JB DAVCO LLC"</f>
        <v>JB DAVCO LLC</v>
      </c>
      <c r="C6285" s="1" t="str">
        <f>"BULEN AVE LIV WHITTIER GDNS LOT 196"</f>
        <v>BULEN AVE LIV WHITTIER GDNS LOT 196</v>
      </c>
      <c r="D6285" s="1">
        <v>100</v>
      </c>
    </row>
    <row r="6286" spans="1:4" x14ac:dyDescent="0.3">
      <c r="A6286" s="1" t="str">
        <f>"01001128200"</f>
        <v>01001128200</v>
      </c>
      <c r="B6286" s="1" t="str">
        <f>"JCC BUILDERS INC"</f>
        <v>JCC BUILDERS INC</v>
      </c>
      <c r="C6286" s="1" t="str">
        <f>"551 LILLEY AVE COITS KELTON AVE LOT 43"</f>
        <v>551 LILLEY AVE COITS KELTON AVE LOT 43</v>
      </c>
      <c r="D6286" s="1">
        <v>932.9</v>
      </c>
    </row>
    <row r="6287" spans="1:4" x14ac:dyDescent="0.3">
      <c r="A6287" s="1" t="str">
        <f>"09000592000"</f>
        <v>09000592000</v>
      </c>
      <c r="B6287" s="1" t="str">
        <f>"JDA RENTALS LLC"</f>
        <v>JDA RENTALS LLC</v>
      </c>
      <c r="C6287" s="1" t="str">
        <f>"4415 KUMLER DR WHITEHALL PARK LOT 20"</f>
        <v>4415 KUMLER DR WHITEHALL PARK LOT 20</v>
      </c>
      <c r="D6287" s="1">
        <v>3179.32</v>
      </c>
    </row>
    <row r="6288" spans="1:4" x14ac:dyDescent="0.3">
      <c r="A6288" s="1" t="str">
        <f>"01004028900"</f>
        <v>01004028900</v>
      </c>
      <c r="B6288" s="1" t="str">
        <f>"JDV HOME LLC"</f>
        <v>JDV HOME LLC</v>
      </c>
      <c r="C6288" s="1" t="str">
        <f>"CAMBPELL AVE AVONDALE LOT 119-120"</f>
        <v>CAMBPELL AVE AVONDALE LOT 119-120</v>
      </c>
      <c r="D6288" s="1">
        <v>2310.3200000000002</v>
      </c>
    </row>
    <row r="6289" spans="1:4" x14ac:dyDescent="0.3">
      <c r="A6289" s="1" t="str">
        <f>"11000227900"</f>
        <v>11000227900</v>
      </c>
      <c r="B6289" s="1" t="str">
        <f>"JEAN-LOUIS WILLIAM, JEAN-LOUIS CLAUCIA DOSSOUS"</f>
        <v>JEAN-LOUIS WILLIAM, JEAN-LOUIS CLAUCIA DOSSOUS</v>
      </c>
      <c r="C6289" s="1" t="str">
        <f>"ADDA AVE BROOKLYN HTS 14"</f>
        <v>ADDA AVE BROOKLYN HTS 14</v>
      </c>
      <c r="D6289" s="1">
        <v>389.69</v>
      </c>
    </row>
    <row r="6290" spans="1:4" x14ac:dyDescent="0.3">
      <c r="A6290" s="1" t="str">
        <f>"11000228100"</f>
        <v>11000228100</v>
      </c>
      <c r="B6290" s="1" t="str">
        <f>"JEAN-LOUIS WILLIAM, JEAN-LOUIS CLAUCIA DOSSOUS"</f>
        <v>JEAN-LOUIS WILLIAM, JEAN-LOUIS CLAUCIA DOSSOUS</v>
      </c>
      <c r="C6290" s="1" t="str">
        <f>"ADDA AVE BROOKLYN HEIGHTS 16"</f>
        <v>ADDA AVE BROOKLYN HEIGHTS 16</v>
      </c>
      <c r="D6290" s="1">
        <v>389.69</v>
      </c>
    </row>
    <row r="6291" spans="1:4" x14ac:dyDescent="0.3">
      <c r="A6291" s="1" t="str">
        <f>"24000657900"</f>
        <v>24000657900</v>
      </c>
      <c r="B6291" s="1" t="str">
        <f>"JEDI ORDER LLC"</f>
        <v>JEDI ORDER LLC</v>
      </c>
      <c r="C6291" s="1" t="str">
        <f>"WEST BROAD OFFICE CONDOMINIUM UNIT B"</f>
        <v>WEST BROAD OFFICE CONDOMINIUM UNIT B</v>
      </c>
      <c r="D6291" s="1">
        <v>11677.39</v>
      </c>
    </row>
    <row r="6292" spans="1:4" x14ac:dyDescent="0.3">
      <c r="A6292" s="1" t="str">
        <f>"01003575900"</f>
        <v>01003575900</v>
      </c>
      <c r="B6292" s="1" t="str">
        <f>"JEFF TERRY ANDREW"</f>
        <v>JEFF TERRY ANDREW</v>
      </c>
      <c r="C6292" s="1" t="str">
        <f>"143 HIGHLAND AVE ONGS LOT 15"</f>
        <v>143 HIGHLAND AVE ONGS LOT 15</v>
      </c>
      <c r="D6292" s="1">
        <v>2175.0100000000002</v>
      </c>
    </row>
    <row r="6293" spans="1:4" x14ac:dyDescent="0.3">
      <c r="A6293" s="1" t="str">
        <f>"13000269700"</f>
        <v>13000269700</v>
      </c>
      <c r="B6293" s="1" t="str">
        <f>"JEFFERS DEBORAH E"</f>
        <v>JEFFERS DEBORAH E</v>
      </c>
      <c r="C6293" s="1" t="str">
        <f>"3554 BRANDON ST ELMORE PT LOTS 36 &amp; 37"</f>
        <v>3554 BRANDON ST ELMORE PT LOTS 36 &amp; 37</v>
      </c>
      <c r="D6293" s="1">
        <v>3499.19</v>
      </c>
    </row>
    <row r="6294" spans="1:4" x14ac:dyDescent="0.3">
      <c r="A6294" s="1" t="str">
        <f>"02500459900"</f>
        <v>02500459900</v>
      </c>
      <c r="B6294" s="1" t="str">
        <f>"JEFFERS DUANE KENTON"</f>
        <v>JEFFERS DUANE KENTON</v>
      </c>
      <c r="C6294" s="1" t="str">
        <f>"556 WICKHAM WAY FOXBORO NO 3 LOT 105"</f>
        <v>556 WICKHAM WAY FOXBORO NO 3 LOT 105</v>
      </c>
      <c r="D6294" s="1">
        <v>789.44</v>
      </c>
    </row>
    <row r="6295" spans="1:4" x14ac:dyDescent="0.3">
      <c r="A6295" s="1" t="str">
        <f>"14000028500"</f>
        <v>14000028500</v>
      </c>
      <c r="B6295" s="1" t="str">
        <f>"JEFFERSON GERALD L"</f>
        <v>JEFFERSON GERALD L</v>
      </c>
      <c r="C6295" s="1" t="str">
        <f>"2055 FRANK RD ENTRY 1454-971 .285 AC JONES PAR LOT 14"</f>
        <v>2055 FRANK RD ENTRY 1454-971 .285 AC JONES PAR LOT 14</v>
      </c>
      <c r="D6295" s="1">
        <v>1170.4100000000001</v>
      </c>
    </row>
    <row r="6296" spans="1:4" x14ac:dyDescent="0.3">
      <c r="A6296" s="1" t="str">
        <f>"11000232600"</f>
        <v>11000232600</v>
      </c>
      <c r="B6296" s="1" t="str">
        <f>"JEFFREY LAYMAN HOMES LLC"</f>
        <v>JEFFREY LAYMAN HOMES LLC</v>
      </c>
      <c r="C6296" s="1" t="str">
        <f>"BROOKLYN ROAD BROOKLYN HTS 61 "</f>
        <v xml:space="preserve">BROOKLYN ROAD BROOKLYN HTS 61 </v>
      </c>
      <c r="D6296" s="1">
        <v>432</v>
      </c>
    </row>
    <row r="6297" spans="1:4" x14ac:dyDescent="0.3">
      <c r="A6297" s="1" t="str">
        <f>"11000232700"</f>
        <v>11000232700</v>
      </c>
      <c r="B6297" s="1" t="str">
        <f>"JEFFREY LAYMAN HOMES LLC"</f>
        <v>JEFFREY LAYMAN HOMES LLC</v>
      </c>
      <c r="C6297" s="1" t="str">
        <f>"BROOKLYN ROAD BROOKLYN HTS 62 "</f>
        <v xml:space="preserve">BROOKLYN ROAD BROOKLYN HTS 62 </v>
      </c>
      <c r="D6297" s="1">
        <v>432</v>
      </c>
    </row>
    <row r="6298" spans="1:4" x14ac:dyDescent="0.3">
      <c r="A6298" s="1" t="str">
        <f>"11000232800"</f>
        <v>11000232800</v>
      </c>
      <c r="B6298" s="1" t="str">
        <f>"JEFFREY LAYMAN HOMES LLC"</f>
        <v>JEFFREY LAYMAN HOMES LLC</v>
      </c>
      <c r="C6298" s="1" t="str">
        <f>"BROOKLYN ROAD BROOKLYN HTS 63 "</f>
        <v xml:space="preserve">BROOKLYN ROAD BROOKLYN HTS 63 </v>
      </c>
      <c r="D6298" s="1">
        <v>432</v>
      </c>
    </row>
    <row r="6299" spans="1:4" x14ac:dyDescent="0.3">
      <c r="A6299" s="1" t="str">
        <f>"11000232900"</f>
        <v>11000232900</v>
      </c>
      <c r="B6299" s="1" t="str">
        <f>"JEFFREY LAYMAN HOMES LLC"</f>
        <v>JEFFREY LAYMAN HOMES LLC</v>
      </c>
      <c r="C6299" s="1" t="str">
        <f>"BROOKLYN RD BROOKLYN HTS LT 64 (40' X 134.81)"</f>
        <v>BROOKLYN RD BROOKLYN HTS LT 64 (40' X 134.81)</v>
      </c>
      <c r="D6299" s="1">
        <v>432</v>
      </c>
    </row>
    <row r="6300" spans="1:4" x14ac:dyDescent="0.3">
      <c r="A6300" s="1" t="str">
        <f>"11000233000"</f>
        <v>11000233000</v>
      </c>
      <c r="B6300" s="1" t="str">
        <f>"JEFFREY LAYMAN HOMES LLC"</f>
        <v>JEFFREY LAYMAN HOMES LLC</v>
      </c>
      <c r="C6300" s="1" t="str">
        <f>"BROOKLYN HGTS BROOKLYN HGTS 65 "</f>
        <v xml:space="preserve">BROOKLYN HGTS BROOKLYN HGTS 65 </v>
      </c>
      <c r="D6300" s="1">
        <v>432</v>
      </c>
    </row>
    <row r="6301" spans="1:4" x14ac:dyDescent="0.3">
      <c r="A6301" s="1" t="str">
        <f>"11000236600"</f>
        <v>11000236600</v>
      </c>
      <c r="B6301" s="1" t="str">
        <f>"JEFFREY LAYMAN HOMES LLC"</f>
        <v>JEFFREY LAYMAN HOMES LLC</v>
      </c>
      <c r="C6301" s="1" t="str">
        <f>"ABINGTON RD CLEVELAND HEIGHTS LOT 30"</f>
        <v>ABINGTON RD CLEVELAND HEIGHTS LOT 30</v>
      </c>
      <c r="D6301" s="1">
        <v>438.31</v>
      </c>
    </row>
    <row r="6302" spans="1:4" x14ac:dyDescent="0.3">
      <c r="A6302" s="1" t="str">
        <f>"01007734700"</f>
        <v>01007734700</v>
      </c>
      <c r="B6302" s="1" t="str">
        <f>"JEFFREY MAGGIE, MARTIN AMANDA, MARTIN MATTHEW"</f>
        <v>JEFFREY MAGGIE, MARTIN AMANDA, MARTIN MATTHEW</v>
      </c>
      <c r="C6302" s="1" t="str">
        <f>"OAKLAND PK AVE ACRES .319 R18 T1 1-4 T1 LOT 1"</f>
        <v>OAKLAND PK AVE ACRES .319 R18 T1 1-4 T1 LOT 1</v>
      </c>
      <c r="D6302" s="1">
        <v>2896.2</v>
      </c>
    </row>
    <row r="6303" spans="1:4" x14ac:dyDescent="0.3">
      <c r="A6303" s="1" t="str">
        <f>"07000243000"</f>
        <v>07000243000</v>
      </c>
      <c r="B6303" s="1" t="str">
        <f>"JEHL KEVIN M, JEHL KAREN R"</f>
        <v>JEHL KEVIN M, JEHL KAREN R</v>
      </c>
      <c r="C6303" s="1" t="str">
        <f>"2376 ANDOVER RD UPPER ARLINGTON LOT 18 BLK 142"</f>
        <v>2376 ANDOVER RD UPPER ARLINGTON LOT 18 BLK 142</v>
      </c>
      <c r="D6303" s="1">
        <v>950.26</v>
      </c>
    </row>
    <row r="6304" spans="1:4" x14ac:dyDescent="0.3">
      <c r="A6304" s="1" t="str">
        <f>"01005474400"</f>
        <v>01005474400</v>
      </c>
      <c r="B6304" s="1" t="str">
        <f>"JENKINS CAROLYN"</f>
        <v>JENKINS CAROLYN</v>
      </c>
      <c r="C6304" s="1" t="str">
        <f>"JOYCE AVE RESUB L74- 79 L 86-89 &amp; 123-126 DUXBERRY PK ADD L246"</f>
        <v>JOYCE AVE RESUB L74- 79 L 86-89 &amp; 123-126 DUXBERRY PK ADD L246</v>
      </c>
      <c r="D6304" s="1">
        <v>1339.4</v>
      </c>
    </row>
    <row r="6305" spans="1:4" x14ac:dyDescent="0.3">
      <c r="A6305" s="1" t="str">
        <f>"01015847200"</f>
        <v>01015847200</v>
      </c>
      <c r="B6305" s="1" t="str">
        <f>"JENKINS CHESTER E, JENKINS PEGGY"</f>
        <v>JENKINS CHESTER E, JENKINS PEGGY</v>
      </c>
      <c r="C6305" s="1" t="str">
        <f>"WALNUT CREEK DR WALNUT CREEK SEC 1 LOT 3"</f>
        <v>WALNUT CREEK DR WALNUT CREEK SEC 1 LOT 3</v>
      </c>
      <c r="D6305" s="1">
        <v>152.58000000000001</v>
      </c>
    </row>
    <row r="6306" spans="1:4" x14ac:dyDescent="0.3">
      <c r="A6306" s="1" t="str">
        <f>"01004508500"</f>
        <v>01004508500</v>
      </c>
      <c r="B6306" s="1" t="str">
        <f>"JENKINS DONALD R"</f>
        <v>JENKINS DONALD R</v>
      </c>
      <c r="C6306" s="1" t="str">
        <f>"39 N YALE AVE FRANKLIN 2 LOT 70"</f>
        <v>39 N YALE AVE FRANKLIN 2 LOT 70</v>
      </c>
      <c r="D6306" s="1">
        <v>649.04</v>
      </c>
    </row>
    <row r="6307" spans="1:4" x14ac:dyDescent="0.3">
      <c r="A6307" s="1" t="str">
        <f>"57019886600"</f>
        <v>57019886600</v>
      </c>
      <c r="B6307" s="1" t="str">
        <f>"JENKINS ERNEST, JENKINS NIEDA"</f>
        <v>JENKINS ERNEST, JENKINS NIEDA</v>
      </c>
      <c r="C6307" s="1" t="str">
        <f>"2133 DYER RD ENTRY 4641-6839 ACRES 3.584"</f>
        <v>2133 DYER RD ENTRY 4641-6839 ACRES 3.584</v>
      </c>
      <c r="D6307" s="1">
        <v>136.93</v>
      </c>
    </row>
    <row r="6308" spans="1:4" x14ac:dyDescent="0.3">
      <c r="A6308" s="1" t="str">
        <f>"05000631500"</f>
        <v>05000631500</v>
      </c>
      <c r="B6308" s="1" t="str">
        <f>"JENKINS JILL ANN"</f>
        <v>JENKINS JILL ANN</v>
      </c>
      <c r="C6308" s="1" t="str">
        <f>"STONESTHROW CT RIVER RUN PART 2 LOT 136"</f>
        <v>STONESTHROW CT RIVER RUN PART 2 LOT 136</v>
      </c>
      <c r="D6308" s="1">
        <v>450.73</v>
      </c>
    </row>
    <row r="6309" spans="1:4" x14ac:dyDescent="0.3">
      <c r="A6309" s="1" t="str">
        <f>"01013433000"</f>
        <v>01013433000</v>
      </c>
      <c r="B6309" s="1" t="str">
        <f>"JENKINS LOUIS"</f>
        <v>JENKINS LOUIS</v>
      </c>
      <c r="C6309" s="1" t="str">
        <f>"RADNOR AVE DRESDEN MANOR LOT 23"</f>
        <v>RADNOR AVE DRESDEN MANOR LOT 23</v>
      </c>
      <c r="D6309" s="1">
        <v>173.94</v>
      </c>
    </row>
    <row r="6310" spans="1:4" x14ac:dyDescent="0.3">
      <c r="A6310" s="1" t="str">
        <f>"01004707600"</f>
        <v>01004707600</v>
      </c>
      <c r="B6310" s="1" t="str">
        <f>"JENKINS PATRICIA A"</f>
        <v>JENKINS PATRICIA A</v>
      </c>
      <c r="C6310" s="1" t="str">
        <f>"366 OAKLAND PK AVE OAKLAND PK LOT 65"</f>
        <v>366 OAKLAND PK AVE OAKLAND PK LOT 65</v>
      </c>
      <c r="D6310" s="1">
        <v>306.32</v>
      </c>
    </row>
    <row r="6311" spans="1:4" x14ac:dyDescent="0.3">
      <c r="A6311" s="1" t="str">
        <f>"24000368100"</f>
        <v>24000368100</v>
      </c>
      <c r="B6311" s="1" t="str">
        <f>"JENKINS ROY H JR, JENKINS GERALDINE E"</f>
        <v>JENKINS ROY H JR, JENKINS GERALDINE E</v>
      </c>
      <c r="C6311" s="1" t="str">
        <f>"DANHURST RD LINCOLN VILLAGE 541 "</f>
        <v xml:space="preserve">DANHURST RD LINCOLN VILLAGE 541 </v>
      </c>
      <c r="D6311" s="1">
        <v>1715.31</v>
      </c>
    </row>
    <row r="6312" spans="1:4" x14ac:dyDescent="0.3">
      <c r="A6312" s="1" t="str">
        <f>"01002687600"</f>
        <v>01002687600</v>
      </c>
      <c r="B6312" s="1" t="str">
        <f>"JENKINS TAMIKA"</f>
        <v>JENKINS TAMIKA</v>
      </c>
      <c r="C6312" s="1" t="str">
        <f>"789 E 4TH AVE BIDLEMAN LOT 81"</f>
        <v>789 E 4TH AVE BIDLEMAN LOT 81</v>
      </c>
      <c r="D6312" s="1">
        <v>39.33</v>
      </c>
    </row>
    <row r="6313" spans="1:4" x14ac:dyDescent="0.3">
      <c r="A6313" s="1" t="str">
        <f>"01002950700"</f>
        <v>01002950700</v>
      </c>
      <c r="B6313" s="1" t="str">
        <f>"JENKINS TONY"</f>
        <v>JENKINS TONY</v>
      </c>
      <c r="C6313" s="1" t="str">
        <f>"1108 LIVINGSTON AVE OAKWOOD PT LOT 137"</f>
        <v>1108 LIVINGSTON AVE OAKWOOD PT LOT 137</v>
      </c>
      <c r="D6313" s="1">
        <v>1311.26</v>
      </c>
    </row>
    <row r="6314" spans="1:4" x14ac:dyDescent="0.3">
      <c r="A6314" s="1" t="str">
        <f>"11000532600"</f>
        <v>11000532600</v>
      </c>
      <c r="B6314" s="1" t="str">
        <f>"JENKINSON CLARENCE R, JENKINSON SIDNEY L"</f>
        <v>JENKINSON CLARENCE R, JENKINSON SIDNEY L</v>
      </c>
      <c r="C6314" s="1" t="str">
        <f>"CHEROKEE ROSE DR SUNBURY WOODS LOT 84"</f>
        <v>CHEROKEE ROSE DR SUNBURY WOODS LOT 84</v>
      </c>
      <c r="D6314" s="1">
        <v>531.85</v>
      </c>
    </row>
    <row r="6315" spans="1:4" x14ac:dyDescent="0.3">
      <c r="A6315" s="1" t="str">
        <f>"01008942200"</f>
        <v>01008942200</v>
      </c>
      <c r="B6315" s="1" t="str">
        <f>"JENNINGS BARBARA A"</f>
        <v>JENNINGS BARBARA A</v>
      </c>
      <c r="C6315" s="1" t="str">
        <f>"WEYANT AVE LINCOLN PARK2 LOT 262"</f>
        <v>WEYANT AVE LINCOLN PARK2 LOT 262</v>
      </c>
      <c r="D6315" s="1">
        <v>1093.01</v>
      </c>
    </row>
    <row r="6316" spans="1:4" x14ac:dyDescent="0.3">
      <c r="A6316" s="1" t="str">
        <f>"01001169100"</f>
        <v>01001169100</v>
      </c>
      <c r="B6316" s="1" t="str">
        <f>"JENNINGS ELLIS L SR"</f>
        <v>JENNINGS ELLIS L SR</v>
      </c>
      <c r="C6316" s="1" t="str">
        <f>"866 STUDER AVE STUDER AMD LOT 59"</f>
        <v>866 STUDER AVE STUDER AMD LOT 59</v>
      </c>
      <c r="D6316" s="1">
        <v>1148.79</v>
      </c>
    </row>
    <row r="6317" spans="1:4" x14ac:dyDescent="0.3">
      <c r="A6317" s="1" t="str">
        <f>"01001602000"</f>
        <v>01001602000</v>
      </c>
      <c r="B6317" s="1" t="str">
        <f>"JENNINGS ELLIS L SR"</f>
        <v>JENNINGS ELLIS L SR</v>
      </c>
      <c r="C6317" s="1" t="str">
        <f>"862 STUDER STUDER AMD LOT 58"</f>
        <v>862 STUDER STUDER AMD LOT 58</v>
      </c>
      <c r="D6317" s="1">
        <v>487.5</v>
      </c>
    </row>
    <row r="6318" spans="1:4" x14ac:dyDescent="0.3">
      <c r="A6318" s="1" t="str">
        <f>"01015227500"</f>
        <v>01015227500</v>
      </c>
      <c r="B6318" s="1" t="str">
        <f>"JENNINGS JOHN L, JENNINGS JACQUELINE D"</f>
        <v>JENNINGS JOHN L, JENNINGS JACQUELINE D</v>
      </c>
      <c r="C6318" s="1" t="str">
        <f>"PRIORY COURT HYDE PARK PLAT 2 LOT 107"</f>
        <v>PRIORY COURT HYDE PARK PLAT 2 LOT 107</v>
      </c>
      <c r="D6318" s="1">
        <v>922.7</v>
      </c>
    </row>
    <row r="6319" spans="1:4" x14ac:dyDescent="0.3">
      <c r="A6319" s="1" t="str">
        <f>"01011913700"</f>
        <v>01011913700</v>
      </c>
      <c r="B6319" s="1" t="str">
        <f>"JENNINGS ROBERT JR"</f>
        <v>JENNINGS ROBERT JR</v>
      </c>
      <c r="C6319" s="1" t="str">
        <f>"WATKINS RD SOUTHFIELD LOT 161"</f>
        <v>WATKINS RD SOUTHFIELD LOT 161</v>
      </c>
      <c r="D6319" s="1">
        <v>443.12</v>
      </c>
    </row>
    <row r="6320" spans="1:4" x14ac:dyDescent="0.3">
      <c r="A6320" s="1" t="str">
        <f>"18000131400"</f>
        <v>18000131400</v>
      </c>
      <c r="B6320" s="1" t="str">
        <f>"JENNINGS STEVEN D, JENNINGS JONATHAN K"</f>
        <v>JENNINGS STEVEN D, JENNINGS JONATHAN K</v>
      </c>
      <c r="C6320" s="1" t="str">
        <f>"RICHARDSON ROAD HOMESTEAD SPRINGS LOT 3"</f>
        <v>RICHARDSON ROAD HOMESTEAD SPRINGS LOT 3</v>
      </c>
      <c r="D6320" s="1">
        <v>3136.4</v>
      </c>
    </row>
    <row r="6321" spans="1:4" x14ac:dyDescent="0.3">
      <c r="A6321" s="1" t="str">
        <f>"27300450500"</f>
        <v>27300450500</v>
      </c>
      <c r="B6321" s="1" t="str">
        <f>"JEPSCO LLC"</f>
        <v>JEPSCO LLC</v>
      </c>
      <c r="C6321" s="1" t="str">
        <f>"5150 PARKWAY PRO CONDOMINIUM 2ND AMD BLDG 8 UNIT 5150"</f>
        <v>5150 PARKWAY PRO CONDOMINIUM 2ND AMD BLDG 8 UNIT 5150</v>
      </c>
      <c r="D6321" s="1">
        <v>2880.96</v>
      </c>
    </row>
    <row r="6322" spans="1:4" x14ac:dyDescent="0.3">
      <c r="A6322" s="1" t="str">
        <f>"27300450600"</f>
        <v>27300450600</v>
      </c>
      <c r="B6322" s="1" t="str">
        <f>"JEPSCO LLC"</f>
        <v>JEPSCO LLC</v>
      </c>
      <c r="C6322" s="1" t="str">
        <f>"5154 BLAZER PKWY CONDOMINIUM 2ND AMD BLDG 8 UNIT 5154"</f>
        <v>5154 BLAZER PKWY CONDOMINIUM 2ND AMD BLDG 8 UNIT 5154</v>
      </c>
      <c r="D6322" s="1">
        <v>2880.96</v>
      </c>
    </row>
    <row r="6323" spans="1:4" x14ac:dyDescent="0.3">
      <c r="A6323" s="1" t="str">
        <f>"22200106400"</f>
        <v>22200106400</v>
      </c>
      <c r="B6323" s="1" t="str">
        <f>"JEREMIAS REINE J TR"</f>
        <v>JEREMIAS REINE J TR</v>
      </c>
      <c r="C6323" s="1" t="str">
        <f>"THE NEW ALBANY COUNTRY CLUB SEC 4 LOT 10"</f>
        <v>THE NEW ALBANY COUNTRY CLUB SEC 4 LOT 10</v>
      </c>
      <c r="D6323" s="1">
        <v>16791.97</v>
      </c>
    </row>
    <row r="6324" spans="1:4" x14ac:dyDescent="0.3">
      <c r="A6324" s="1" t="str">
        <f>"07001176900"</f>
        <v>07001176900</v>
      </c>
      <c r="B6324" s="1" t="str">
        <f>"JERMAN MARK S, ENSIGN TRACY"</f>
        <v>JERMAN MARK S, ENSIGN TRACY</v>
      </c>
      <c r="C6324" s="1" t="str">
        <f>"1362 WINDHAM ROAD KNOLLS ARLINGTON SEC 7 LOT 103"</f>
        <v>1362 WINDHAM ROAD KNOLLS ARLINGTON SEC 7 LOT 103</v>
      </c>
      <c r="D6324" s="1">
        <v>751</v>
      </c>
    </row>
    <row r="6325" spans="1:4" x14ac:dyDescent="0.3">
      <c r="A6325" s="1" t="str">
        <f>"07001176100"</f>
        <v>07001176100</v>
      </c>
      <c r="B6325" s="1" t="str">
        <f>"JERMAN MARK S, JERMAN DEBORA L"</f>
        <v>JERMAN MARK S, JERMAN DEBORA L</v>
      </c>
      <c r="C6325" s="1" t="str">
        <f>"4630 BURBANK DR BURBANK ESTATES LOT 34"</f>
        <v>4630 BURBANK DR BURBANK ESTATES LOT 34</v>
      </c>
      <c r="D6325" s="1">
        <v>1332.78</v>
      </c>
    </row>
    <row r="6326" spans="1:4" x14ac:dyDescent="0.3">
      <c r="A6326" s="1" t="str">
        <f>"01012091700"</f>
        <v>01012091700</v>
      </c>
      <c r="B6326" s="1" t="str">
        <f>"JESSON JAMES"</f>
        <v>JESSON JAMES</v>
      </c>
      <c r="C6326" s="1" t="str">
        <f>"HILLGATE NO 2 LOT 17 "</f>
        <v xml:space="preserve">HILLGATE NO 2 LOT 17 </v>
      </c>
      <c r="D6326" s="1">
        <v>1519.45</v>
      </c>
    </row>
    <row r="6327" spans="1:4" x14ac:dyDescent="0.3">
      <c r="A6327" s="1" t="str">
        <f>"01013854400"</f>
        <v>01013854400</v>
      </c>
      <c r="B6327" s="1" t="str">
        <f>"JETER LARRY, JETER YVONNE"</f>
        <v>JETER LARRY, JETER YVONNE</v>
      </c>
      <c r="C6327" s="1" t="str">
        <f>"KIRKBRIDGE CT HAVILAND 2 LOT 105"</f>
        <v>KIRKBRIDGE CT HAVILAND 2 LOT 105</v>
      </c>
      <c r="D6327" s="1">
        <v>1035.8599999999999</v>
      </c>
    </row>
    <row r="6328" spans="1:4" x14ac:dyDescent="0.3">
      <c r="A6328" s="1" t="str">
        <f>"01018301700"</f>
        <v>01018301700</v>
      </c>
      <c r="B6328" s="1" t="str">
        <f>"JEVREM PATRICIA A"</f>
        <v>JEVREM PATRICIA A</v>
      </c>
      <c r="C6328" s="1" t="str">
        <f>"SCOTLAND YARD CONDO UNIT 1589   BLDG 9 "</f>
        <v xml:space="preserve">SCOTLAND YARD CONDO UNIT 1589   BLDG 9 </v>
      </c>
      <c r="D6328" s="1">
        <v>247.68</v>
      </c>
    </row>
    <row r="6329" spans="1:4" x14ac:dyDescent="0.3">
      <c r="A6329" s="1" t="str">
        <f>"01006842400"</f>
        <v>01006842400</v>
      </c>
      <c r="B6329" s="1" t="str">
        <f>"JEWELL ZACHARY"</f>
        <v>JEWELL ZACHARY</v>
      </c>
      <c r="C6329" s="1" t="str">
        <f>"WILSHIRE HTS LOT 8  "</f>
        <v xml:space="preserve">WILSHIRE HTS LOT 8  </v>
      </c>
      <c r="D6329" s="1">
        <v>797.17</v>
      </c>
    </row>
    <row r="6330" spans="1:4" x14ac:dyDescent="0.3">
      <c r="A6330" s="1" t="str">
        <f>"01004243700"</f>
        <v>01004243700</v>
      </c>
      <c r="B6330" s="1" t="str">
        <f>"JEWELL ZACHARY"</f>
        <v>JEWELL ZACHARY</v>
      </c>
      <c r="C6330" s="1" t="str">
        <f>"139-41 N CENTRAL AVE GUILFORD PARK LOT 83"</f>
        <v>139-41 N CENTRAL AVE GUILFORD PARK LOT 83</v>
      </c>
      <c r="D6330" s="1">
        <v>2168.31</v>
      </c>
    </row>
    <row r="6331" spans="1:4" x14ac:dyDescent="0.3">
      <c r="A6331" s="1" t="str">
        <f>"01007484000"</f>
        <v>01007484000</v>
      </c>
      <c r="B6331" s="1" t="str">
        <f>"JEWETT BARBARA J"</f>
        <v>JEWETT BARBARA J</v>
      </c>
      <c r="C6331" s="1" t="str">
        <f>"2224 HAMILTON AVE GRASMERE GARDENS LOT 74"</f>
        <v>2224 HAMILTON AVE GRASMERE GARDENS LOT 74</v>
      </c>
      <c r="D6331" s="1">
        <v>1136.1500000000001</v>
      </c>
    </row>
    <row r="6332" spans="1:4" x14ac:dyDescent="0.3">
      <c r="A6332" s="1" t="str">
        <f>"24000403500"</f>
        <v>24000403500</v>
      </c>
      <c r="B6332" s="1" t="str">
        <f>"JGH INVESTMENT PROPERTIES LLC"</f>
        <v>JGH INVESTMENT PROPERTIES LLC</v>
      </c>
      <c r="C6332" s="1" t="str">
        <f>"BEACON HILL RD LINCOLN VILLAGE LOT 879  RES A&amp;B"</f>
        <v>BEACON HILL RD LINCOLN VILLAGE LOT 879  RES A&amp;B</v>
      </c>
      <c r="D6332" s="1">
        <v>4598.0600000000004</v>
      </c>
    </row>
    <row r="6333" spans="1:4" x14ac:dyDescent="0.3">
      <c r="A6333" s="1" t="str">
        <f>"53012585800"</f>
        <v>53012585800</v>
      </c>
      <c r="B6333" s="1" t="str">
        <f>"JH &amp; CW REAL ESTATE LLP"</f>
        <v>JH &amp; CW REAL ESTATE LLP</v>
      </c>
      <c r="C6333" s="1" t="str">
        <f>"ALUM CREEK DR R22 T4 S12 1. ACRE"</f>
        <v>ALUM CREEK DR R22 T4 S12 1. ACRE</v>
      </c>
      <c r="D6333" s="1">
        <v>1480.19</v>
      </c>
    </row>
    <row r="6334" spans="1:4" x14ac:dyDescent="0.3">
      <c r="A6334" s="1" t="str">
        <f>"53013770000"</f>
        <v>53013770000</v>
      </c>
      <c r="B6334" s="1" t="str">
        <f>"JH &amp; CW REAL ESTATE LLP"</f>
        <v>JH &amp; CW REAL ESTATE LLP</v>
      </c>
      <c r="C6334" s="1" t="str">
        <f>"ALUM CREEK DR R22 T4 S12 .646 ACRE"</f>
        <v>ALUM CREEK DR R22 T4 S12 .646 ACRE</v>
      </c>
      <c r="D6334" s="1">
        <v>962.13</v>
      </c>
    </row>
    <row r="6335" spans="1:4" x14ac:dyDescent="0.3">
      <c r="A6335" s="1" t="str">
        <f>"53011239600"</f>
        <v>53011239600</v>
      </c>
      <c r="B6335" s="1" t="str">
        <f>"JH &amp; CW REAL ESTATE LLP"</f>
        <v>JH &amp; CW REAL ESTATE LLP</v>
      </c>
      <c r="C6335" s="1" t="str">
        <f>"ALUM CREEK DR R22 T4 S12 1.344 ACRES"</f>
        <v>ALUM CREEK DR R22 T4 S12 1.344 ACRES</v>
      </c>
      <c r="D6335" s="1">
        <v>21514.92</v>
      </c>
    </row>
    <row r="6336" spans="1:4" x14ac:dyDescent="0.3">
      <c r="A6336" s="1" t="str">
        <f>"01009941600"</f>
        <v>01009941600</v>
      </c>
      <c r="B6336" s="1" t="str">
        <f>"JH ELITE PROPERTIES LLC"</f>
        <v>JH ELITE PROPERTIES LLC</v>
      </c>
      <c r="C6336" s="1" t="str">
        <f>"1358-1360 TWENTY FIFTH AV HOMESTEAD HTS 3 LOT 3"</f>
        <v>1358-1360 TWENTY FIFTH AV HOMESTEAD HTS 3 LOT 3</v>
      </c>
      <c r="D6336" s="1">
        <v>2323.44</v>
      </c>
    </row>
    <row r="6337" spans="1:4" x14ac:dyDescent="0.3">
      <c r="A6337" s="1" t="str">
        <f>"01008849200"</f>
        <v>01008849200</v>
      </c>
      <c r="B6337" s="1" t="str">
        <f>"JH ELITE PROPERTIES LLC"</f>
        <v>JH ELITE PROPERTIES LLC</v>
      </c>
      <c r="C6337" s="1" t="str">
        <f>"BARNETT RD LINCOLN PARK LOT 591"</f>
        <v>BARNETT RD LINCOLN PARK LOT 591</v>
      </c>
      <c r="D6337" s="1">
        <v>64.23</v>
      </c>
    </row>
    <row r="6338" spans="1:4" x14ac:dyDescent="0.3">
      <c r="A6338" s="1" t="str">
        <f>"01008849300"</f>
        <v>01008849300</v>
      </c>
      <c r="B6338" s="1" t="str">
        <f>"JH ELITE PROPERTIES LLC"</f>
        <v>JH ELITE PROPERTIES LLC</v>
      </c>
      <c r="C6338" s="1" t="str">
        <f>"BARNETT RD LINCOLN PARK LOT 592"</f>
        <v>BARNETT RD LINCOLN PARK LOT 592</v>
      </c>
      <c r="D6338" s="1">
        <v>356.02</v>
      </c>
    </row>
    <row r="6339" spans="1:4" x14ac:dyDescent="0.3">
      <c r="A6339" s="1" t="str">
        <f>"01005934000"</f>
        <v>01005934000</v>
      </c>
      <c r="B6339" s="1" t="str">
        <f>"JH ELITE PROPERTIES LLC"</f>
        <v>JH ELITE PROPERTIES LLC</v>
      </c>
      <c r="C6339" s="1" t="str">
        <f>"1657-59-61 MYRTLE AV E WALDON LOT 216"</f>
        <v>1657-59-61 MYRTLE AV E WALDON LOT 216</v>
      </c>
      <c r="D6339" s="1">
        <v>235.69</v>
      </c>
    </row>
    <row r="6340" spans="1:4" x14ac:dyDescent="0.3">
      <c r="A6340" s="1" t="str">
        <f>"01006093600"</f>
        <v>01006093600</v>
      </c>
      <c r="B6340" s="1" t="str">
        <f>"JH ELITE PROPERTIES LLC"</f>
        <v>JH ELITE PROPERTIES LLC</v>
      </c>
      <c r="C6340" s="1" t="str">
        <f>"1619-1621 E HUDSON ST INNIS CREST LOT 377"</f>
        <v>1619-1621 E HUDSON ST INNIS CREST LOT 377</v>
      </c>
      <c r="D6340" s="1">
        <v>231.45</v>
      </c>
    </row>
    <row r="6341" spans="1:4" x14ac:dyDescent="0.3">
      <c r="A6341" s="1" t="str">
        <f>"01006100500"</f>
        <v>01006100500</v>
      </c>
      <c r="B6341" s="1" t="str">
        <f>"JH ELITE PROPERTIES LLC"</f>
        <v>JH ELITE PROPERTIES LLC</v>
      </c>
      <c r="C6341" s="1" t="str">
        <f>"2092-94CLEVELAND AVE INNIS CREST LOT 42"</f>
        <v>2092-94CLEVELAND AVE INNIS CREST LOT 42</v>
      </c>
      <c r="D6341" s="1">
        <v>244.96</v>
      </c>
    </row>
    <row r="6342" spans="1:4" x14ac:dyDescent="0.3">
      <c r="A6342" s="1" t="str">
        <f>"01006108200"</f>
        <v>01006108200</v>
      </c>
      <c r="B6342" s="1" t="str">
        <f>"JH ELITE PROPERTIES LLC"</f>
        <v>JH ELITE PROPERTIES LLC</v>
      </c>
      <c r="C6342" s="1" t="str">
        <f>"2090 CLEVELAND AVE INNIS CREST LOT 43"</f>
        <v>2090 CLEVELAND AVE INNIS CREST LOT 43</v>
      </c>
      <c r="D6342" s="1">
        <v>228.07</v>
      </c>
    </row>
    <row r="6343" spans="1:4" x14ac:dyDescent="0.3">
      <c r="A6343" s="1" t="str">
        <f>"01000091900"</f>
        <v>01000091900</v>
      </c>
      <c r="B6343" s="1" t="str">
        <f>"JH ELITE PROPERTIES LLC"</f>
        <v>JH ELITE PROPERTIES LLC</v>
      </c>
      <c r="C6343" s="1" t="str">
        <f>"2347 PARKWOOD AVE MUL-BUR HTS AMD LOT 447 EX 26 FT"</f>
        <v>2347 PARKWOOD AVE MUL-BUR HTS AMD LOT 447 EX 26 FT</v>
      </c>
      <c r="D6343" s="1">
        <v>35.01</v>
      </c>
    </row>
    <row r="6344" spans="1:4" x14ac:dyDescent="0.3">
      <c r="A6344" s="1" t="str">
        <f>"01001990100"</f>
        <v>01001990100</v>
      </c>
      <c r="B6344" s="1" t="str">
        <f>"JH ELITE PROPERTIES LLC"</f>
        <v>JH ELITE PROPERTIES LLC</v>
      </c>
      <c r="C6344" s="1" t="str">
        <f>"1256 E. FIFTEENTH AVE LOUIS HEIGHTS ADD LOT 236        35' X 125'"</f>
        <v>1256 E. FIFTEENTH AVE LOUIS HEIGHTS ADD LOT 236        35' X 125'</v>
      </c>
      <c r="D6344" s="1">
        <v>471.65</v>
      </c>
    </row>
    <row r="6345" spans="1:4" x14ac:dyDescent="0.3">
      <c r="A6345" s="1" t="str">
        <f>"01007742600"</f>
        <v>01007742600</v>
      </c>
      <c r="B6345" s="1" t="str">
        <f>"JH ELITE PROPERTIES LLC"</f>
        <v>JH ELITE PROPERTIES LLC</v>
      </c>
      <c r="C6345" s="1" t="str">
        <f>"18TH AVE H J THOMPSONS LOT 14"</f>
        <v>18TH AVE H J THOMPSONS LOT 14</v>
      </c>
      <c r="D6345" s="1">
        <v>188.05</v>
      </c>
    </row>
    <row r="6346" spans="1:4" x14ac:dyDescent="0.3">
      <c r="A6346" s="1" t="str">
        <f>"01000874500"</f>
        <v>01000874500</v>
      </c>
      <c r="B6346" s="1" t="str">
        <f>"JH ELITE PROPERTIES LLC"</f>
        <v>JH ELITE PROPERTIES LLC</v>
      </c>
      <c r="C6346" s="1" t="str">
        <f>"2212 AVALON ROAD HAYDENS PARK PLACE LOT 45"</f>
        <v>2212 AVALON ROAD HAYDENS PARK PLACE LOT 45</v>
      </c>
      <c r="D6346" s="1">
        <v>177.22</v>
      </c>
    </row>
    <row r="6347" spans="1:4" x14ac:dyDescent="0.3">
      <c r="A6347" s="1" t="str">
        <f>"01006740900"</f>
        <v>01006740900</v>
      </c>
      <c r="B6347" s="1" t="str">
        <f>"JH ELITE PROPERTIES LLC"</f>
        <v>JH ELITE PROPERTIES LLC</v>
      </c>
      <c r="C6347" s="1" t="str">
        <f>"DAWSON AVE NORTH BEXLEY VIEW 2 LOT 33"</f>
        <v>DAWSON AVE NORTH BEXLEY VIEW 2 LOT 33</v>
      </c>
      <c r="D6347" s="1">
        <v>1126.56</v>
      </c>
    </row>
    <row r="6348" spans="1:4" x14ac:dyDescent="0.3">
      <c r="A6348" s="1" t="str">
        <f>"01006745700"</f>
        <v>01006745700</v>
      </c>
      <c r="B6348" s="1" t="str">
        <f>"JH ELITE PROPERTIES LLC"</f>
        <v>JH ELITE PROPERTIES LLC</v>
      </c>
      <c r="C6348" s="1" t="str">
        <f>"3010-3012 E SIXTH AV CASSADYS 5TH AVE LOT 132"</f>
        <v>3010-3012 E SIXTH AV CASSADYS 5TH AVE LOT 132</v>
      </c>
      <c r="D6348" s="1">
        <v>252.11</v>
      </c>
    </row>
    <row r="6349" spans="1:4" x14ac:dyDescent="0.3">
      <c r="A6349" s="1" t="str">
        <f>"19000141700"</f>
        <v>19000141700</v>
      </c>
      <c r="B6349" s="1" t="str">
        <f>"JH ELITE PROPERTIES LLC"</f>
        <v>JH ELITE PROPERTIES LLC</v>
      </c>
      <c r="C6349" s="1" t="str">
        <f>"BRIARWOOD AVE GREENDALE PLACE 63 "</f>
        <v xml:space="preserve">BRIARWOOD AVE GREENDALE PLACE 63 </v>
      </c>
      <c r="D6349" s="1">
        <v>481.61</v>
      </c>
    </row>
    <row r="6350" spans="1:4" x14ac:dyDescent="0.3">
      <c r="A6350" s="1" t="str">
        <f>"19000141800"</f>
        <v>19000141800</v>
      </c>
      <c r="B6350" s="1" t="str">
        <f>"JH ELITE PROPERTIES LLC"</f>
        <v>JH ELITE PROPERTIES LLC</v>
      </c>
      <c r="C6350" s="1" t="str">
        <f>"BRIARWOOD AVE GREENDALE PLACE 64 "</f>
        <v xml:space="preserve">BRIARWOOD AVE GREENDALE PLACE 64 </v>
      </c>
      <c r="D6350" s="1">
        <v>2180.71</v>
      </c>
    </row>
    <row r="6351" spans="1:4" x14ac:dyDescent="0.3">
      <c r="A6351" s="1" t="str">
        <f>"19000269500"</f>
        <v>19000269500</v>
      </c>
      <c r="B6351" s="1" t="str">
        <f>"JH ELITE PROPERTIES LLC"</f>
        <v>JH ELITE PROPERTIES LLC</v>
      </c>
      <c r="C6351" s="1" t="str">
        <f>"PERDUE AVE BUR-LEA ADD LOT 171"</f>
        <v>PERDUE AVE BUR-LEA ADD LOT 171</v>
      </c>
      <c r="D6351" s="1">
        <v>2546.36</v>
      </c>
    </row>
    <row r="6352" spans="1:4" x14ac:dyDescent="0.3">
      <c r="A6352" s="1" t="str">
        <f>"01018743500"</f>
        <v>01018743500</v>
      </c>
      <c r="B6352" s="1" t="str">
        <f>"JIJI EL HASSAN, ERRAFYQY SARA"</f>
        <v>JIJI EL HASSAN, ERRAFYQY SARA</v>
      </c>
      <c r="C6352" s="1" t="str">
        <f>"PINE TREE W TAMARACK CONDOMINIUM UNIT 5724-F BLDG 13"</f>
        <v>PINE TREE W TAMARACK CONDOMINIUM UNIT 5724-F BLDG 13</v>
      </c>
      <c r="D6352" s="1">
        <v>952.52</v>
      </c>
    </row>
    <row r="6353" spans="1:4" x14ac:dyDescent="0.3">
      <c r="A6353" s="1" t="str">
        <f>"01009853100"</f>
        <v>01009853100</v>
      </c>
      <c r="B6353" s="1" t="str">
        <f>"JIMENEZ BUSINESS SERVICES LLC"</f>
        <v>JIMENEZ BUSINESS SERVICES LLC</v>
      </c>
      <c r="C6353" s="1" t="str">
        <f>"NORLEA PARK 5' N SIDE LOT 262 &amp; LOT 263"</f>
        <v>NORLEA PARK 5' N SIDE LOT 262 &amp; LOT 263</v>
      </c>
      <c r="D6353" s="1">
        <v>890.56</v>
      </c>
    </row>
    <row r="6354" spans="1:4" x14ac:dyDescent="0.3">
      <c r="A6354" s="1" t="str">
        <f>"09000346700"</f>
        <v>09000346700</v>
      </c>
      <c r="B6354" s="1" t="str">
        <f>"JIMENEZ ELIAS, JIMENEZ DOMINGUEZ ESTHER"</f>
        <v>JIMENEZ ELIAS, JIMENEZ DOMINGUEZ ESTHER</v>
      </c>
      <c r="C6354" s="1" t="str">
        <f>"950 ANTWERP RD TRURO ESTATES 237"</f>
        <v>950 ANTWERP RD TRURO ESTATES 237</v>
      </c>
      <c r="D6354" s="1">
        <v>3678.4</v>
      </c>
    </row>
    <row r="6355" spans="1:4" x14ac:dyDescent="0.3">
      <c r="A6355" s="1" t="str">
        <f>"18400204600"</f>
        <v>18400204600</v>
      </c>
      <c r="B6355" s="1" t="str">
        <f>"JIMENEZ JAMES CLAYTON"</f>
        <v>JIMENEZ JAMES CLAYTON</v>
      </c>
      <c r="C6355" s="1" t="str">
        <f>"CANAL VILLAS CONDOMINIUM BLDG 4  UNIT 4-A"</f>
        <v>CANAL VILLAS CONDOMINIUM BLDG 4  UNIT 4-A</v>
      </c>
      <c r="D6355" s="1">
        <v>1941.03</v>
      </c>
    </row>
    <row r="6356" spans="1:4" x14ac:dyDescent="0.3">
      <c r="A6356" s="1" t="str">
        <f>"19100129000"</f>
        <v>19100129000</v>
      </c>
      <c r="B6356" s="1" t="str">
        <f>"JIMENEZ JOSE RAMIREZ"</f>
        <v>JIMENEZ JOSE RAMIREZ</v>
      </c>
      <c r="C6356" s="1" t="str">
        <f>"MIFFLIN AVE LEONARD PARK EXT 2 BLK W &amp; PT VAC AL"</f>
        <v>MIFFLIN AVE LEONARD PARK EXT 2 BLK W &amp; PT VAC AL</v>
      </c>
      <c r="D6356" s="1">
        <v>1159.55</v>
      </c>
    </row>
    <row r="6357" spans="1:4" x14ac:dyDescent="0.3">
      <c r="A6357" s="1" t="str">
        <f>"01008035900"</f>
        <v>01008035900</v>
      </c>
      <c r="B6357" s="1" t="str">
        <f>"JIMERSON VITTORIO H"</f>
        <v>JIMERSON VITTORIO H</v>
      </c>
      <c r="C6357" s="1" t="str">
        <f>"SEYMOUR AVE LENOX LOT 197"</f>
        <v>SEYMOUR AVE LENOX LOT 197</v>
      </c>
      <c r="D6357" s="1">
        <v>60.65</v>
      </c>
    </row>
    <row r="6358" spans="1:4" x14ac:dyDescent="0.3">
      <c r="A6358" s="1" t="str">
        <f>"07001300500"</f>
        <v>07001300500</v>
      </c>
      <c r="B6358" s="1" t="str">
        <f>"JIN FENG, TONG XIN"</f>
        <v>JIN FENG, TONG XIN</v>
      </c>
      <c r="C6358" s="1" t="str">
        <f>"CARRIAGE HILL COND UNIT 1512-B TYPE V "</f>
        <v xml:space="preserve">CARRIAGE HILL COND UNIT 1512-B TYPE V </v>
      </c>
      <c r="D6358" s="1">
        <v>2136.08</v>
      </c>
    </row>
    <row r="6359" spans="1:4" x14ac:dyDescent="0.3">
      <c r="A6359" s="1" t="str">
        <f>"59020501700"</f>
        <v>59020501700</v>
      </c>
      <c r="B6359" s="1" t="str">
        <f>"JIN QIN"</f>
        <v>JIN QIN</v>
      </c>
      <c r="C6359" s="1" t="str">
        <f>"MEADOWSHIRE COURT MISTY MEADOWS WEST SEC 2 LOT 67"</f>
        <v>MEADOWSHIRE COURT MISTY MEADOWS WEST SEC 2 LOT 67</v>
      </c>
      <c r="D6359" s="1">
        <v>3130.86</v>
      </c>
    </row>
    <row r="6360" spans="1:4" x14ac:dyDescent="0.3">
      <c r="A6360" s="1" t="str">
        <f>"01011514200"</f>
        <v>01011514200</v>
      </c>
      <c r="B6360" s="1" t="str">
        <f>"JIVIDEN CHRISTINE"</f>
        <v>JIVIDEN CHRISTINE</v>
      </c>
      <c r="C6360" s="1" t="str">
        <f>"OAKWOOD AVE LAWRENCE OAKLAND2AMD LOT 6"</f>
        <v>OAKWOOD AVE LAWRENCE OAKLAND2AMD LOT 6</v>
      </c>
      <c r="D6360" s="1">
        <v>1122.06</v>
      </c>
    </row>
    <row r="6361" spans="1:4" x14ac:dyDescent="0.3">
      <c r="A6361" s="1" t="str">
        <f>"01010939600"</f>
        <v>01010939600</v>
      </c>
      <c r="B6361" s="1" t="str">
        <f>"JK HATFIELD PROPERTIES LLC"</f>
        <v>JK HATFIELD PROPERTIES LLC</v>
      </c>
      <c r="C6361" s="1" t="str">
        <f>"700 MCNAUGHTEN RD ACRES .864 "</f>
        <v xml:space="preserve">700 MCNAUGHTEN RD ACRES .864 </v>
      </c>
      <c r="D6361" s="1">
        <v>159.61000000000001</v>
      </c>
    </row>
    <row r="6362" spans="1:4" x14ac:dyDescent="0.3">
      <c r="A6362" s="1" t="str">
        <f>"01007287200"</f>
        <v>01007287200</v>
      </c>
      <c r="B6362" s="1" t="str">
        <f>"JKB GROUP LLC"</f>
        <v>JKB GROUP LLC</v>
      </c>
      <c r="C6362" s="1" t="str">
        <f>"CLEVELAND AVE CLINTON HTS LOT 7"</f>
        <v>CLEVELAND AVE CLINTON HTS LOT 7</v>
      </c>
      <c r="D6362" s="1">
        <v>5065.43</v>
      </c>
    </row>
    <row r="6363" spans="1:4" x14ac:dyDescent="0.3">
      <c r="A6363" s="1" t="str">
        <f>"01001967300"</f>
        <v>01001967300</v>
      </c>
      <c r="B6363" s="1" t="str">
        <f>"JMZ INVESTMENT GROUP LLC"</f>
        <v>JMZ INVESTMENT GROUP LLC</v>
      </c>
      <c r="C6363" s="1" t="str">
        <f>"255 MIAMI AVE 30FT NS KNAPP DEWITT&amp; HOFFMAN LOT 60"</f>
        <v>255 MIAMI AVE 30FT NS KNAPP DEWITT&amp; HOFFMAN LOT 60</v>
      </c>
      <c r="D6363" s="1">
        <v>2347.12</v>
      </c>
    </row>
    <row r="6364" spans="1:4" x14ac:dyDescent="0.3">
      <c r="A6364" s="1" t="str">
        <f>"01006119600"</f>
        <v>01006119600</v>
      </c>
      <c r="B6364" s="1" t="str">
        <f>"JMZ INVESTMENT GROUP LLC"</f>
        <v>JMZ INVESTMENT GROUP LLC</v>
      </c>
      <c r="C6364" s="1" t="str">
        <f>"1433 CORDELL AVE WEYANTS CLEVE AVE PLC LOT 81"</f>
        <v>1433 CORDELL AVE WEYANTS CLEVE AVE PLC LOT 81</v>
      </c>
      <c r="D6364" s="1">
        <v>1635.49</v>
      </c>
    </row>
    <row r="6365" spans="1:4" x14ac:dyDescent="0.3">
      <c r="A6365" s="1" t="str">
        <f>"01004526000"</f>
        <v>01004526000</v>
      </c>
      <c r="B6365" s="1" t="str">
        <f>"JMZ INVESTMENT GROUP LLC"</f>
        <v>JMZ INVESTMENT GROUP LLC</v>
      </c>
      <c r="C6365" s="1" t="str">
        <f>"1500 KENMORE RD 45FT WS MAPLEVIEW LOT 63"</f>
        <v>1500 KENMORE RD 45FT WS MAPLEVIEW LOT 63</v>
      </c>
      <c r="D6365" s="1">
        <v>1698.68</v>
      </c>
    </row>
    <row r="6366" spans="1:4" x14ac:dyDescent="0.3">
      <c r="A6366" s="1" t="str">
        <f>"01006052600"</f>
        <v>01006052600</v>
      </c>
      <c r="B6366" s="1" t="str">
        <f>"JMZ INVESTMENT GROUP LLC"</f>
        <v>JMZ INVESTMENT GROUP LLC</v>
      </c>
      <c r="C6366" s="1" t="str">
        <f>"21ST AVE WLADEMERE LOT 286"</f>
        <v>21ST AVE WLADEMERE LOT 286</v>
      </c>
      <c r="D6366" s="1">
        <v>1303.42</v>
      </c>
    </row>
    <row r="6367" spans="1:4" x14ac:dyDescent="0.3">
      <c r="A6367" s="1" t="str">
        <f>"19000061400"</f>
        <v>19000061400</v>
      </c>
      <c r="B6367" s="1" t="str">
        <f>"JMZ INVESTMENT GROUP LLC"</f>
        <v>JMZ INVESTMENT GROUP LLC</v>
      </c>
      <c r="C6367" s="1" t="str">
        <f>"2546 PARKWOOD AVE DENUNE E LINDEN 5TH 133"</f>
        <v>2546 PARKWOOD AVE DENUNE E LINDEN 5TH 133</v>
      </c>
      <c r="D6367" s="1">
        <v>2491.75</v>
      </c>
    </row>
    <row r="6368" spans="1:4" x14ac:dyDescent="0.3">
      <c r="A6368" s="1" t="str">
        <f>"01006222900"</f>
        <v>01006222900</v>
      </c>
      <c r="B6368" s="1" t="str">
        <f>"JNPM PROPERTY MANAGEMENT LTD"</f>
        <v>JNPM PROPERTY MANAGEMENT LTD</v>
      </c>
      <c r="C6368" s="1" t="str">
        <f>"GROVEPORT PIKE .387 ACRE SUB LOT 4"</f>
        <v>GROVEPORT PIKE .387 ACRE SUB LOT 4</v>
      </c>
      <c r="D6368" s="1">
        <v>3607.97</v>
      </c>
    </row>
    <row r="6369" spans="1:4" x14ac:dyDescent="0.3">
      <c r="A6369" s="1" t="str">
        <f>"01011546700"</f>
        <v>01011546700</v>
      </c>
      <c r="B6369" s="1" t="str">
        <f>"JNPM PROPERTY MANAGEMENT LTD"</f>
        <v>JNPM PROPERTY MANAGEMENT LTD</v>
      </c>
      <c r="C6369" s="1" t="str">
        <f>"LOCKHAVEN INNIS AVE LOT 18"</f>
        <v>LOCKHAVEN INNIS AVE LOT 18</v>
      </c>
      <c r="D6369" s="1">
        <v>2628.36</v>
      </c>
    </row>
    <row r="6370" spans="1:4" x14ac:dyDescent="0.3">
      <c r="A6370" s="1" t="str">
        <f>"01011545300"</f>
        <v>01011545300</v>
      </c>
      <c r="B6370" s="1" t="str">
        <f>"JNPM PROPERTY MANAGEMENT LTD"</f>
        <v>JNPM PROPERTY MANAGEMENT LTD</v>
      </c>
      <c r="C6370" s="1" t="str">
        <f>"INNIS AVE LOCKHAVEN LOT 4"</f>
        <v>INNIS AVE LOCKHAVEN LOT 4</v>
      </c>
      <c r="D6370" s="1">
        <v>2338.48</v>
      </c>
    </row>
    <row r="6371" spans="1:4" x14ac:dyDescent="0.3">
      <c r="A6371" s="1" t="str">
        <f>"01011458100"</f>
        <v>01011458100</v>
      </c>
      <c r="B6371" s="1" t="str">
        <f>"JNV MEADOWS LLC"</f>
        <v>JNV MEADOWS LLC</v>
      </c>
      <c r="C6371" s="1" t="str">
        <f>"STAMBAUGH AVE SOUTHGATE LOT 79"</f>
        <v>STAMBAUGH AVE SOUTHGATE LOT 79</v>
      </c>
      <c r="D6371" s="1">
        <v>30</v>
      </c>
    </row>
    <row r="6372" spans="1:4" x14ac:dyDescent="0.3">
      <c r="A6372" s="1" t="str">
        <f>"01011458000"</f>
        <v>01011458000</v>
      </c>
      <c r="B6372" s="1" t="str">
        <f>"JNV MEADOWS LLC"</f>
        <v>JNV MEADOWS LLC</v>
      </c>
      <c r="C6372" s="1" t="str">
        <f>"STAMBAUGH AVE SOUTHGATE LOT 78"</f>
        <v>STAMBAUGH AVE SOUTHGATE LOT 78</v>
      </c>
      <c r="D6372" s="1">
        <v>30</v>
      </c>
    </row>
    <row r="6373" spans="1:4" x14ac:dyDescent="0.3">
      <c r="A6373" s="1" t="str">
        <f>"01008361900"</f>
        <v>01008361900</v>
      </c>
      <c r="B6373" s="1" t="str">
        <f>"JOBE ELISHA"</f>
        <v>JOBE ELISHA</v>
      </c>
      <c r="C6373" s="1" t="str">
        <f>"GRASMERE AVE SUNNYSIDE LOT501"</f>
        <v>GRASMERE AVE SUNNYSIDE LOT501</v>
      </c>
      <c r="D6373" s="1">
        <v>1078.8499999999999</v>
      </c>
    </row>
    <row r="6374" spans="1:4" x14ac:dyDescent="0.3">
      <c r="A6374" s="1" t="str">
        <f>"49026749300"</f>
        <v>49026749300</v>
      </c>
      <c r="B6374" s="1" t="str">
        <f>"JOHNLEY TIMOTHY P TR, JOHNLEY KEIRA C TR"</f>
        <v>JOHNLEY TIMOTHY P TR, JOHNLEY KEIRA C TR</v>
      </c>
      <c r="C6374" s="1" t="str">
        <f>"CANAL HIGHLANDS BLVD CANAL CROSSING SECTION 2 LOT 94"</f>
        <v>CANAL HIGHLANDS BLVD CANAL CROSSING SECTION 2 LOT 94</v>
      </c>
      <c r="D6374" s="1">
        <v>3273.96</v>
      </c>
    </row>
    <row r="6375" spans="1:4" x14ac:dyDescent="0.3">
      <c r="A6375" s="1" t="str">
        <f>"27000030400"</f>
        <v>27000030400</v>
      </c>
      <c r="B6375" s="1" t="str">
        <f>"JOHNSON ADAM P"</f>
        <v>JOHNSON ADAM P</v>
      </c>
      <c r="C6375" s="1" t="str">
        <f>"DUBLIN RD PAR13 URP ENTRY 2419"</f>
        <v>DUBLIN RD PAR13 URP ENTRY 2419</v>
      </c>
      <c r="D6375" s="1">
        <v>364.51</v>
      </c>
    </row>
    <row r="6376" spans="1:4" x14ac:dyDescent="0.3">
      <c r="A6376" s="1" t="str">
        <f>"01007661600"</f>
        <v>01007661600</v>
      </c>
      <c r="B6376" s="1" t="str">
        <f>"JOHNSON ANITA S"</f>
        <v>JOHNSON ANITA S</v>
      </c>
      <c r="C6376" s="1" t="str">
        <f>"DUXBERRY AVE HOMESTEAD HTS 2 LOT 48"</f>
        <v>DUXBERRY AVE HOMESTEAD HTS 2 LOT 48</v>
      </c>
      <c r="D6376" s="1">
        <v>961.2</v>
      </c>
    </row>
    <row r="6377" spans="1:4" x14ac:dyDescent="0.3">
      <c r="A6377" s="1" t="str">
        <f>"01010882600"</f>
        <v>01010882600</v>
      </c>
      <c r="B6377" s="1" t="str">
        <f>"JOHNSON AUDRIANNA D"</f>
        <v>JOHNSON AUDRIANNA D</v>
      </c>
      <c r="C6377" s="1" t="str">
        <f>"DAWNLIGHT AVE ARLINGTON PK TRACT 1 LOT 21"</f>
        <v>DAWNLIGHT AVE ARLINGTON PK TRACT 1 LOT 21</v>
      </c>
      <c r="D6377" s="1">
        <v>205.38</v>
      </c>
    </row>
    <row r="6378" spans="1:4" x14ac:dyDescent="0.3">
      <c r="A6378" s="1" t="str">
        <f>"01010873700"</f>
        <v>01010873700</v>
      </c>
      <c r="B6378" s="1" t="str">
        <f>"JOHNSON BARBARA J"</f>
        <v>JOHNSON BARBARA J</v>
      </c>
      <c r="C6378" s="1" t="str">
        <f>"MOCK RD GREENDALE PL ANNEX LOT 12"</f>
        <v>MOCK RD GREENDALE PL ANNEX LOT 12</v>
      </c>
      <c r="D6378" s="1">
        <v>821.63</v>
      </c>
    </row>
    <row r="6379" spans="1:4" x14ac:dyDescent="0.3">
      <c r="A6379" s="1" t="str">
        <f>"01003962900"</f>
        <v>01003962900</v>
      </c>
      <c r="B6379" s="1" t="str">
        <f>"JOHNSON BLANCA ESTELA"</f>
        <v>JOHNSON BLANCA ESTELA</v>
      </c>
      <c r="C6379" s="1" t="str">
        <f>"HAGUE AVE WICKLOW EX LOT 805"</f>
        <v>HAGUE AVE WICKLOW EX LOT 805</v>
      </c>
      <c r="D6379" s="1">
        <v>37.68</v>
      </c>
    </row>
    <row r="6380" spans="1:4" x14ac:dyDescent="0.3">
      <c r="A6380" s="1" t="str">
        <f>"01014447800"</f>
        <v>01014447800</v>
      </c>
      <c r="B6380" s="1" t="str">
        <f>"JOHNSON BRUCE, JOHNSON JANET"</f>
        <v>JOHNSON BRUCE, JOHNSON JANET</v>
      </c>
      <c r="C6380" s="1" t="str">
        <f>"BERNARD PL BERNARD LOT 16"</f>
        <v>BERNARD PL BERNARD LOT 16</v>
      </c>
      <c r="D6380" s="1">
        <v>1523.5</v>
      </c>
    </row>
    <row r="6381" spans="1:4" x14ac:dyDescent="0.3">
      <c r="A6381" s="1" t="str">
        <f>"60015358500"</f>
        <v>60015358500</v>
      </c>
      <c r="B6381" s="1" t="str">
        <f>"JOHNSON CHARLES W, JOHNSON CRYSTAL"</f>
        <v>JOHNSON CHARLES W, JOHNSON CRYSTAL</v>
      </c>
      <c r="C6381" s="1" t="str">
        <f>"VALLEY PARK AVE PARKRIDGE VILLAGE LOT 95-94"</f>
        <v>VALLEY PARK AVE PARKRIDGE VILLAGE LOT 95-94</v>
      </c>
      <c r="D6381" s="1">
        <v>2138.23</v>
      </c>
    </row>
    <row r="6382" spans="1:4" x14ac:dyDescent="0.3">
      <c r="A6382" s="1" t="str">
        <f>"01007541700"</f>
        <v>01007541700</v>
      </c>
      <c r="B6382" s="1" t="str">
        <f>"JOHNSON CYNTHIA GAIL, ALHASSAN REGINA"</f>
        <v>JOHNSON CYNTHIA GAIL, ALHASSAN REGINA</v>
      </c>
      <c r="C6382" s="1" t="str">
        <f>"0255 MEDINA STREET HOMESTEAD HTS 43'SS LOT 80"</f>
        <v>0255 MEDINA STREET HOMESTEAD HTS 43'SS LOT 80</v>
      </c>
      <c r="D6382" s="1">
        <v>1072.52</v>
      </c>
    </row>
    <row r="6383" spans="1:4" x14ac:dyDescent="0.3">
      <c r="A6383" s="1" t="str">
        <f>"61015933900"</f>
        <v>61015933900</v>
      </c>
      <c r="B6383" s="1" t="str">
        <f>"JOHNSON DAVID K, JOHNSON KELLY L"</f>
        <v>JOHNSON DAVID K, JOHNSON KELLY L</v>
      </c>
      <c r="C6383" s="1" t="str">
        <f>"7650 INNBROOK PLACE WORTHINGTON HILLS 6 LOT 81"</f>
        <v>7650 INNBROOK PLACE WORTHINGTON HILLS 6 LOT 81</v>
      </c>
      <c r="D6383" s="1">
        <v>8344.68</v>
      </c>
    </row>
    <row r="6384" spans="1:4" x14ac:dyDescent="0.3">
      <c r="A6384" s="1" t="str">
        <f>"01025163100"</f>
        <v>01025163100</v>
      </c>
      <c r="B6384" s="1" t="str">
        <f>"JOHNSON DENNIS A, JOHNSON BARBARA A"</f>
        <v>JOHNSON DENNIS A, JOHNSON BARBARA A</v>
      </c>
      <c r="C6384" s="1" t="str">
        <f>"MCNAUGHTEN GROVE LANE RESUB OF MCNAUGHTEN GROVE LOT 85B"</f>
        <v>MCNAUGHTEN GROVE LANE RESUB OF MCNAUGHTEN GROVE LOT 85B</v>
      </c>
      <c r="D6384" s="1">
        <v>188.76</v>
      </c>
    </row>
    <row r="6385" spans="1:4" x14ac:dyDescent="0.3">
      <c r="A6385" s="1" t="str">
        <f>"01028030500"</f>
        <v>01028030500</v>
      </c>
      <c r="B6385" s="1" t="str">
        <f>"JOHNSON DIANE"</f>
        <v>JOHNSON DIANE</v>
      </c>
      <c r="C6385" s="1" t="str">
        <f>"FAIRWOOD AVE OPPORTUNITY FARMS 84.68'E&amp;WL NE LOT 123"</f>
        <v>FAIRWOOD AVE OPPORTUNITY FARMS 84.68'E&amp;WL NE LOT 123</v>
      </c>
      <c r="D6385" s="1">
        <v>382.28</v>
      </c>
    </row>
    <row r="6386" spans="1:4" x14ac:dyDescent="0.3">
      <c r="A6386" s="1" t="str">
        <f>"01010038800"</f>
        <v>01010038800</v>
      </c>
      <c r="B6386" s="1" t="str">
        <f>"JOHNSON DOROTHY C, JOHNSON BURCE"</f>
        <v>JOHNSON DOROTHY C, JOHNSON BURCE</v>
      </c>
      <c r="C6386" s="1" t="str">
        <f>"THURSTON DR SHADY LANE PARK LOT 336"</f>
        <v>THURSTON DR SHADY LANE PARK LOT 336</v>
      </c>
      <c r="D6386" s="1">
        <v>760.09</v>
      </c>
    </row>
    <row r="6387" spans="1:4" x14ac:dyDescent="0.3">
      <c r="A6387" s="1" t="str">
        <f>"04000680400"</f>
        <v>04000680400</v>
      </c>
      <c r="B6387" s="1" t="str">
        <f>"JOHNSON DOUGLAS S, JOHNSON NANCY M"</f>
        <v>JOHNSON DOUGLAS S, JOHNSON NANCY M</v>
      </c>
      <c r="C6387" s="1" t="str">
        <f>"2385 STARGRASS AVE MEADOW GROVE SEC 5 LOT 212"</f>
        <v>2385 STARGRASS AVE MEADOW GROVE SEC 5 LOT 212</v>
      </c>
      <c r="D6387" s="1">
        <v>1794.63</v>
      </c>
    </row>
    <row r="6388" spans="1:4" x14ac:dyDescent="0.3">
      <c r="A6388" s="1" t="str">
        <f>"14000435100"</f>
        <v>14000435100</v>
      </c>
      <c r="B6388" s="1" t="str">
        <f>"JOHNSON ELBERT, JOHNSON JOYCE C"</f>
        <v>JOHNSON ELBERT, JOHNSON JOYCE C</v>
      </c>
      <c r="C6388" s="1" t="str">
        <f>"N HAGUE AVE ACRES 2.1686 ENTRY 530- 1279-875"</f>
        <v>N HAGUE AVE ACRES 2.1686 ENTRY 530- 1279-875</v>
      </c>
      <c r="D6388" s="1">
        <v>1876.61</v>
      </c>
    </row>
    <row r="6389" spans="1:4" x14ac:dyDescent="0.3">
      <c r="A6389" s="1" t="str">
        <f>"01001576500"</f>
        <v>01001576500</v>
      </c>
      <c r="B6389" s="1" t="str">
        <f>"JOHNSON EMIL A"</f>
        <v>JOHNSON EMIL A</v>
      </c>
      <c r="C6389" s="1" t="str">
        <f>"864 E 5TH AVE L 25-6 WINGERTS 5TH AVE"</f>
        <v>864 E 5TH AVE L 25-6 WINGERTS 5TH AVE</v>
      </c>
      <c r="D6389" s="1">
        <v>1436.15</v>
      </c>
    </row>
    <row r="6390" spans="1:4" x14ac:dyDescent="0.3">
      <c r="A6390" s="1" t="str">
        <f>"06000244400"</f>
        <v>06000244400</v>
      </c>
      <c r="B6390" s="1" t="str">
        <f>"JOHNSON FAMILY EQUITIES LLC"</f>
        <v>JOHNSON FAMILY EQUITIES LLC</v>
      </c>
      <c r="C6390" s="1" t="str">
        <f>"PICKERING DR H C HUBER PL 38 SEC 1 867"</f>
        <v>PICKERING DR H C HUBER PL 38 SEC 1 867</v>
      </c>
      <c r="D6390" s="1">
        <v>144.63999999999999</v>
      </c>
    </row>
    <row r="6391" spans="1:4" x14ac:dyDescent="0.3">
      <c r="A6391" s="1" t="str">
        <f>"09000449700"</f>
        <v>09000449700</v>
      </c>
      <c r="B6391" s="1" t="str">
        <f>"JOHNSON FARRA B"</f>
        <v>JOHNSON FARRA B</v>
      </c>
      <c r="C6391" s="1" t="str">
        <f>"988 WESTPHAL AVE BERNHARDS 2ND LOT 259"</f>
        <v>988 WESTPHAL AVE BERNHARDS 2ND LOT 259</v>
      </c>
      <c r="D6391" s="1">
        <v>999.32</v>
      </c>
    </row>
    <row r="6392" spans="1:4" x14ac:dyDescent="0.3">
      <c r="A6392" s="1" t="str">
        <f>"01010507900"</f>
        <v>01010507900</v>
      </c>
      <c r="B6392" s="1" t="str">
        <f>"JOHNSON GERALD T"</f>
        <v>JOHNSON GERALD T</v>
      </c>
      <c r="C6392" s="1" t="str">
        <f>"EISENHOWER RD CHASELAND MANOR LOT 302"</f>
        <v>EISENHOWER RD CHASELAND MANOR LOT 302</v>
      </c>
      <c r="D6392" s="1">
        <v>131.75</v>
      </c>
    </row>
    <row r="6393" spans="1:4" x14ac:dyDescent="0.3">
      <c r="A6393" s="1" t="str">
        <f>"01003891800"</f>
        <v>01003891800</v>
      </c>
      <c r="B6393" s="1" t="str">
        <f>"JOHNSON GILDA"</f>
        <v>JOHNSON GILDA</v>
      </c>
      <c r="C6393" s="1" t="str">
        <f>"W STARR AVE BIDLEMAN LOT 299"</f>
        <v>W STARR AVE BIDLEMAN LOT 299</v>
      </c>
      <c r="D6393" s="1">
        <v>723.86</v>
      </c>
    </row>
    <row r="6394" spans="1:4" x14ac:dyDescent="0.3">
      <c r="A6394" s="1" t="str">
        <f>"01008155300"</f>
        <v>01008155300</v>
      </c>
      <c r="B6394" s="1" t="str">
        <f>"JOHNSON GLORY J, JOHNSON JAMES"</f>
        <v>JOHNSON GLORY J, JOHNSON JAMES</v>
      </c>
      <c r="C6394" s="1" t="str">
        <f>"BUTLER AVE HIGH RIDGE EXT LOT 7 BLK 9"</f>
        <v>BUTLER AVE HIGH RIDGE EXT LOT 7 BLK 9</v>
      </c>
      <c r="D6394" s="1">
        <v>47.6</v>
      </c>
    </row>
    <row r="6395" spans="1:4" x14ac:dyDescent="0.3">
      <c r="A6395" s="1" t="str">
        <f>"01011594000"</f>
        <v>01011594000</v>
      </c>
      <c r="B6395" s="1" t="str">
        <f>"JOHNSON GREG, JOHNSON JULIE"</f>
        <v>JOHNSON GREG, JOHNSON JULIE</v>
      </c>
      <c r="C6395" s="1" t="str">
        <f>"LEWIS RD PARSONS AVE WILLIAMS RD LOT 25"</f>
        <v>LEWIS RD PARSONS AVE WILLIAMS RD LOT 25</v>
      </c>
      <c r="D6395" s="1">
        <v>2777.15</v>
      </c>
    </row>
    <row r="6396" spans="1:4" x14ac:dyDescent="0.3">
      <c r="A6396" s="1" t="str">
        <f>"49018114400"</f>
        <v>49018114400</v>
      </c>
      <c r="B6396" s="1" t="str">
        <f>"JOHNSON J INVESTMENTS LLC"</f>
        <v>JOHNSON J INVESTMENTS LLC</v>
      </c>
      <c r="C6396" s="1" t="str">
        <f>"5275 GENDER RD            R21 T11 S13               12.2107 ACRES            "</f>
        <v xml:space="preserve">5275 GENDER RD            R21 T11 S13               12.2107 ACRES            </v>
      </c>
      <c r="D6396" s="1">
        <v>1171.46</v>
      </c>
    </row>
    <row r="6397" spans="1:4" x14ac:dyDescent="0.3">
      <c r="A6397" s="1" t="str">
        <f>"01002953400"</f>
        <v>01002953400</v>
      </c>
      <c r="B6397" s="1" t="str">
        <f>"JOHNSON JAMES AFDT"</f>
        <v>JOHNSON JAMES AFDT</v>
      </c>
      <c r="C6397" s="1" t="str">
        <f>"109 AVONDALE AVE WEST PARK LOT 140"</f>
        <v>109 AVONDALE AVE WEST PARK LOT 140</v>
      </c>
      <c r="D6397" s="1">
        <v>2407.7399999999998</v>
      </c>
    </row>
    <row r="6398" spans="1:4" x14ac:dyDescent="0.3">
      <c r="A6398" s="1" t="str">
        <f>"27200027200"</f>
        <v>27200027200</v>
      </c>
      <c r="B6398" s="1" t="str">
        <f>"JOHNSON JAMES E"</f>
        <v>JOHNSON JAMES E</v>
      </c>
      <c r="C6398" s="1" t="str">
        <f>"4902 COSGRAY RD ENTRY 6366 0.700 ACRE"</f>
        <v>4902 COSGRAY RD ENTRY 6366 0.700 ACRE</v>
      </c>
      <c r="D6398" s="1">
        <v>281.82</v>
      </c>
    </row>
    <row r="6399" spans="1:4" x14ac:dyDescent="0.3">
      <c r="A6399" s="1" t="str">
        <f>"01026051200"</f>
        <v>01026051200</v>
      </c>
      <c r="B6399" s="1" t="str">
        <f>"JOHNSON JAMES J, JOHNSON JANET C"</f>
        <v>JOHNSON JAMES J, JOHNSON JANET C</v>
      </c>
      <c r="C6399" s="1" t="str">
        <f>"GENDER RD 2.396 ACRES R21 T11 S13"</f>
        <v>GENDER RD 2.396 ACRES R21 T11 S13</v>
      </c>
      <c r="D6399" s="1">
        <v>448.5</v>
      </c>
    </row>
    <row r="6400" spans="1:4" x14ac:dyDescent="0.3">
      <c r="A6400" s="1" t="str">
        <f>"13000193600"</f>
        <v>13000193600</v>
      </c>
      <c r="B6400" s="1" t="str">
        <f>"JOHNSON JAMES M"</f>
        <v>JOHNSON JAMES M</v>
      </c>
      <c r="C6400" s="1" t="str">
        <f>"CASE ROAD 25FT WS NORTH LINDEN 1 303 "</f>
        <v xml:space="preserve">CASE ROAD 25FT WS NORTH LINDEN 1 303 </v>
      </c>
      <c r="D6400" s="1">
        <v>349.04</v>
      </c>
    </row>
    <row r="6401" spans="1:4" x14ac:dyDescent="0.3">
      <c r="A6401" s="1" t="str">
        <f>"05000452900"</f>
        <v>05000452900</v>
      </c>
      <c r="B6401" s="1" t="str">
        <f>"JOHNSON JEFF L, MURRAY-JOHNSON ELIZABETH"</f>
        <v>JOHNSON JEFF L, MURRAY-JOHNSON ELIZABETH</v>
      </c>
      <c r="C6401" s="1" t="str">
        <f>"WHISPERING OAK BLVD BROOKFIELD VILLAGE SECTION 3 LOT 193"</f>
        <v>WHISPERING OAK BLVD BROOKFIELD VILLAGE SECTION 3 LOT 193</v>
      </c>
      <c r="D6401" s="1">
        <v>384.84</v>
      </c>
    </row>
    <row r="6402" spans="1:4" x14ac:dyDescent="0.3">
      <c r="A6402" s="1" t="str">
        <f>"01016562600"</f>
        <v>01016562600</v>
      </c>
      <c r="B6402" s="1" t="str">
        <f>"JOHNSON JESSIE M"</f>
        <v>JOHNSON JESSIE M</v>
      </c>
      <c r="C6402" s="1" t="str">
        <f>"PLANTATION LAKES CONDOMINIUM BLDG 35 UNIT B"</f>
        <v>PLANTATION LAKES CONDOMINIUM BLDG 35 UNIT B</v>
      </c>
      <c r="D6402" s="1">
        <v>41.21</v>
      </c>
    </row>
    <row r="6403" spans="1:4" x14ac:dyDescent="0.3">
      <c r="A6403" s="1" t="str">
        <f>"01012697900"</f>
        <v>01012697900</v>
      </c>
      <c r="B6403" s="1" t="str">
        <f>"JOHNSON JOHN H"</f>
        <v>JOHNSON JOHN H</v>
      </c>
      <c r="C6403" s="1" t="str">
        <f>"DOROTHY DR NORTHRIDGE MANOR AMD LOT 42"</f>
        <v>DOROTHY DR NORTHRIDGE MANOR AMD LOT 42</v>
      </c>
      <c r="D6403" s="1">
        <v>3416.17</v>
      </c>
    </row>
    <row r="6404" spans="1:4" x14ac:dyDescent="0.3">
      <c r="A6404" s="1" t="str">
        <f>"01005124400"</f>
        <v>01005124400</v>
      </c>
      <c r="B6404" s="1" t="str">
        <f>"JOHNSON JOHN L SR"</f>
        <v>JOHNSON JOHN L SR</v>
      </c>
      <c r="C6404" s="1" t="str">
        <f>"310 S TERRACE AVE BRONX LOT 254"</f>
        <v>310 S TERRACE AVE BRONX LOT 254</v>
      </c>
      <c r="D6404" s="1">
        <v>395.7</v>
      </c>
    </row>
    <row r="6405" spans="1:4" x14ac:dyDescent="0.3">
      <c r="A6405" s="1" t="str">
        <f>"08000006800"</f>
        <v>08000006800</v>
      </c>
      <c r="B6405" s="1" t="str">
        <f>"JOHNSON JONATHAN DAVID, HOLT ELIZABETH GLUEK, HOLT CLYDE III, JOHNSON ERIN HOLT"</f>
        <v>JOHNSON JONATHAN DAVID, HOLT ELIZABETH GLUEK, HOLT CLYDE III, JOHNSON ERIN HOLT</v>
      </c>
      <c r="C6405" s="1" t="str">
        <f>"98 W PLUM ST BRIGHT &amp; SOUDERS OLD 13 NEW 92"</f>
        <v>98 W PLUM ST BRIGHT &amp; SOUDERS OLD 13 NEW 92</v>
      </c>
      <c r="D6405" s="1">
        <v>5083.42</v>
      </c>
    </row>
    <row r="6406" spans="1:4" x14ac:dyDescent="0.3">
      <c r="A6406" s="1" t="str">
        <f>"57022064800"</f>
        <v>57022064800</v>
      </c>
      <c r="B6406" s="1" t="str">
        <f>"JOHNSON KAREN E, JOHNSON JERAL R"</f>
        <v>JOHNSON KAREN E, JOHNSON JERAL R</v>
      </c>
      <c r="C6406" s="1" t="str">
        <f>"DEMOREST HIGHLANDS LOT 18"</f>
        <v>DEMOREST HIGHLANDS LOT 18</v>
      </c>
      <c r="D6406" s="1">
        <v>2171.37</v>
      </c>
    </row>
    <row r="6407" spans="1:4" x14ac:dyDescent="0.3">
      <c r="A6407" s="1" t="str">
        <f>"01021552500"</f>
        <v>01021552500</v>
      </c>
      <c r="B6407" s="1" t="str">
        <f>"JOHNSON KRISJONET J"</f>
        <v>JOHNSON KRISJONET J</v>
      </c>
      <c r="C6407" s="1" t="str">
        <f>"COSMO ALLEY GENESIS SUBDIVISION LOT 6  .138 ACRES"</f>
        <v>COSMO ALLEY GENESIS SUBDIVISION LOT 6  .138 ACRES</v>
      </c>
      <c r="D6407" s="1">
        <v>201.77</v>
      </c>
    </row>
    <row r="6408" spans="1:4" x14ac:dyDescent="0.3">
      <c r="A6408" s="1" t="str">
        <f>"01010931500"</f>
        <v>01010931500</v>
      </c>
      <c r="B6408" s="1" t="str">
        <f>"JOHNSON LARRY L JR"</f>
        <v>JOHNSON LARRY L JR</v>
      </c>
      <c r="C6408" s="1" t="str">
        <f>"CAPOCCIO 2 LOT 14 "</f>
        <v xml:space="preserve">CAPOCCIO 2 LOT 14 </v>
      </c>
      <c r="D6408" s="1">
        <v>500.74</v>
      </c>
    </row>
    <row r="6409" spans="1:4" x14ac:dyDescent="0.3">
      <c r="A6409" s="1" t="str">
        <f>"19000053100"</f>
        <v>19000053100</v>
      </c>
      <c r="B6409" s="1" t="str">
        <f>"JOHNSON LEANNE"</f>
        <v>JOHNSON LEANNE</v>
      </c>
      <c r="C6409" s="1" t="str">
        <f>"DRAKE RD 0.958 ACRE LOT 26"</f>
        <v>DRAKE RD 0.958 ACRE LOT 26</v>
      </c>
      <c r="D6409" s="1">
        <v>1288.1400000000001</v>
      </c>
    </row>
    <row r="6410" spans="1:4" x14ac:dyDescent="0.3">
      <c r="A6410" s="1" t="str">
        <f>"19000053200"</f>
        <v>19000053200</v>
      </c>
      <c r="B6410" s="1" t="str">
        <f>"JOHNSON LEANNE"</f>
        <v>JOHNSON LEANNE</v>
      </c>
      <c r="C6410" s="1" t="str">
        <f>"DRAKE RD 0.923 ACRE LOT 27"</f>
        <v>DRAKE RD 0.923 ACRE LOT 27</v>
      </c>
      <c r="D6410" s="1">
        <v>1288.1400000000001</v>
      </c>
    </row>
    <row r="6411" spans="1:4" x14ac:dyDescent="0.3">
      <c r="A6411" s="1" t="str">
        <f>"19000053300"</f>
        <v>19000053300</v>
      </c>
      <c r="B6411" s="1" t="str">
        <f>"JOHNSON LEANNE"</f>
        <v>JOHNSON LEANNE</v>
      </c>
      <c r="C6411" s="1" t="str">
        <f>"DRAKE RD 0.928 ACRE LOT 28"</f>
        <v>DRAKE RD 0.928 ACRE LOT 28</v>
      </c>
      <c r="D6411" s="1">
        <v>3011.15</v>
      </c>
    </row>
    <row r="6412" spans="1:4" x14ac:dyDescent="0.3">
      <c r="A6412" s="1" t="str">
        <f>"06000191300"</f>
        <v>06000191300</v>
      </c>
      <c r="B6412" s="1" t="str">
        <f>"JOHNSON LINDA B TTEE"</f>
        <v>JOHNSON LINDA B TTEE</v>
      </c>
      <c r="C6412" s="1" t="str">
        <f>"SOUTHWOOD AVE MARABAR HTS 3 37 "</f>
        <v xml:space="preserve">SOUTHWOOD AVE MARABAR HTS 3 37 </v>
      </c>
      <c r="D6412" s="1">
        <v>264.52</v>
      </c>
    </row>
    <row r="6413" spans="1:4" x14ac:dyDescent="0.3">
      <c r="A6413" s="1" t="str">
        <f>"10000657900"</f>
        <v>10000657900</v>
      </c>
      <c r="B6413" s="1" t="str">
        <f>"JOHNSON MARK ERIC, JOHNSON CYNTHIA JEAN"</f>
        <v>JOHNSON MARK ERIC, JOHNSON CYNTHIA JEAN</v>
      </c>
      <c r="C6413" s="1" t="str">
        <f>"CAMBRIA COURT CAMBRIA COURT(RESUB L-18 OF WESTBROOK PLACE) LOT 1"</f>
        <v>CAMBRIA COURT CAMBRIA COURT(RESUB L-18 OF WESTBROOK PLACE) LOT 1</v>
      </c>
      <c r="D6413" s="1">
        <v>425.35</v>
      </c>
    </row>
    <row r="6414" spans="1:4" x14ac:dyDescent="0.3">
      <c r="A6414" s="1" t="str">
        <f>"01009283700"</f>
        <v>01009283700</v>
      </c>
      <c r="B6414" s="1" t="str">
        <f>"JOHNSON MARSHELIA I TTEE, ADEN SYDNEY E TTEE"</f>
        <v>JOHNSON MARSHELIA I TTEE, ADEN SYDNEY E TTEE</v>
      </c>
      <c r="C6414" s="1" t="str">
        <f>"COLUMBIA AVE BEXLEY HTS AMD LOT 25"</f>
        <v>COLUMBIA AVE BEXLEY HTS AMD LOT 25</v>
      </c>
      <c r="D6414" s="1">
        <v>95.44</v>
      </c>
    </row>
    <row r="6415" spans="1:4" x14ac:dyDescent="0.3">
      <c r="A6415" s="1" t="str">
        <f>"01014649900"</f>
        <v>01014649900</v>
      </c>
      <c r="B6415" s="1" t="str">
        <f>"JOHNSON MARSHELIA I TTEE, ADEN SYDNEY E TTEE"</f>
        <v>JOHNSON MARSHELIA I TTEE, ADEN SYDNEY E TTEE</v>
      </c>
      <c r="C6415" s="1" t="str">
        <f>"INNIS RD ACRES .868 DOWER A"</f>
        <v>INNIS RD ACRES .868 DOWER A</v>
      </c>
      <c r="D6415" s="1">
        <v>185.32</v>
      </c>
    </row>
    <row r="6416" spans="1:4" x14ac:dyDescent="0.3">
      <c r="A6416" s="1" t="str">
        <f>"01000215000"</f>
        <v>01000215000</v>
      </c>
      <c r="B6416" s="1" t="str">
        <f>"JOHNSON MARTHA R"</f>
        <v>JOHNSON MARTHA R</v>
      </c>
      <c r="C6416" s="1" t="str">
        <f>"851 S CHAMPION AVE OLD ORCHARD PT LOTS 214-215"</f>
        <v>851 S CHAMPION AVE OLD ORCHARD PT LOTS 214-215</v>
      </c>
      <c r="D6416" s="1">
        <v>2078.37</v>
      </c>
    </row>
    <row r="6417" spans="1:4" x14ac:dyDescent="0.3">
      <c r="A6417" s="1" t="str">
        <f>"01000794200"</f>
        <v>01000794200</v>
      </c>
      <c r="B6417" s="1" t="str">
        <f>"JOHNSON NANCY J"</f>
        <v>JOHNSON NANCY J</v>
      </c>
      <c r="C6417" s="1" t="str">
        <f>"188 W COMO AVE COMO AVE LOT 53"</f>
        <v>188 W COMO AVE COMO AVE LOT 53</v>
      </c>
      <c r="D6417" s="1">
        <v>3287.22</v>
      </c>
    </row>
    <row r="6418" spans="1:4" x14ac:dyDescent="0.3">
      <c r="A6418" s="1" t="str">
        <f>"01013322000"</f>
        <v>01013322000</v>
      </c>
      <c r="B6418" s="1" t="str">
        <f>"JOHNSON NORRIS TR, JOHNSON BERTHA M TR"</f>
        <v>JOHNSON NORRIS TR, JOHNSON BERTHA M TR</v>
      </c>
      <c r="C6418" s="1" t="str">
        <f>"DOWNING DR WALNUT BLUFF 1 LOT 365"</f>
        <v>DOWNING DR WALNUT BLUFF 1 LOT 365</v>
      </c>
      <c r="D6418" s="1">
        <v>1682.67</v>
      </c>
    </row>
    <row r="6419" spans="1:4" x14ac:dyDescent="0.3">
      <c r="A6419" s="1" t="str">
        <f>"01015630600"</f>
        <v>01015630600</v>
      </c>
      <c r="B6419" s="1" t="str">
        <f>"JOHNSON PATRICIA A"</f>
        <v>JOHNSON PATRICIA A</v>
      </c>
      <c r="C6419" s="1" t="str">
        <f>"BETHESDA AVE QUEENSWOOD SUBDIV LOT 46"</f>
        <v>BETHESDA AVE QUEENSWOOD SUBDIV LOT 46</v>
      </c>
      <c r="D6419" s="1">
        <v>2089.75</v>
      </c>
    </row>
    <row r="6420" spans="1:4" x14ac:dyDescent="0.3">
      <c r="A6420" s="1" t="str">
        <f>"14000213300"</f>
        <v>14000213300</v>
      </c>
      <c r="B6420" s="1" t="str">
        <f>"JOHNSON PAUL L, JOHNSON LINDA L"</f>
        <v>JOHNSON PAUL L, JOHNSON LINDA L</v>
      </c>
      <c r="C6420" s="1" t="str">
        <f>"685 N HAGUE AVE NO OF ENTRY 1379-6804-1279"</f>
        <v>685 N HAGUE AVE NO OF ENTRY 1379-6804-1279</v>
      </c>
      <c r="D6420" s="1">
        <v>2057.83</v>
      </c>
    </row>
    <row r="6421" spans="1:4" x14ac:dyDescent="0.3">
      <c r="A6421" s="1" t="str">
        <f>"01011435200"</f>
        <v>01011435200</v>
      </c>
      <c r="B6421" s="1" t="str">
        <f>"JOHNSON RICHARD L, JOHNSON BRYCE L, JOHNSON TONYA R"</f>
        <v>JOHNSON RICHARD L, JOHNSON BRYCE L, JOHNSON TONYA R</v>
      </c>
      <c r="C6421" s="1" t="str">
        <f>"ELWOOD AVE .16 ACRE LOT 6"</f>
        <v>ELWOOD AVE .16 ACRE LOT 6</v>
      </c>
      <c r="D6421" s="1">
        <v>702.45</v>
      </c>
    </row>
    <row r="6422" spans="1:4" x14ac:dyDescent="0.3">
      <c r="A6422" s="1" t="str">
        <f>"01011231100"</f>
        <v>01011231100</v>
      </c>
      <c r="B6422" s="1" t="str">
        <f>"JOHNSON RICHARD L, JOHNSON BRYCE L, JOHNSON TONYA R"</f>
        <v>JOHNSON RICHARD L, JOHNSON BRYCE L, JOHNSON TONYA R</v>
      </c>
      <c r="C6422" s="1" t="str">
        <f>"GROVEPORT PK STAMBAUGH LOT 6"</f>
        <v>GROVEPORT PK STAMBAUGH LOT 6</v>
      </c>
      <c r="D6422" s="1">
        <v>702.45</v>
      </c>
    </row>
    <row r="6423" spans="1:4" x14ac:dyDescent="0.3">
      <c r="A6423" s="1" t="str">
        <f>"01013368100"</f>
        <v>01013368100</v>
      </c>
      <c r="B6423" s="1" t="str">
        <f>"JOHNSON RICHARD W, PRICE STEPHANIE A, PUGH VALERIE Y"</f>
        <v>JOHNSON RICHARD W, PRICE STEPHANIE A, PUGH VALERIE Y</v>
      </c>
      <c r="C6423" s="1" t="str">
        <f>"VILLA DR SOUTHFIELD 3 LOT 579"</f>
        <v>VILLA DR SOUTHFIELD 3 LOT 579</v>
      </c>
      <c r="D6423" s="1">
        <v>1148.1600000000001</v>
      </c>
    </row>
    <row r="6424" spans="1:4" x14ac:dyDescent="0.3">
      <c r="A6424" s="1" t="str">
        <f>"07001392300"</f>
        <v>07001392300</v>
      </c>
      <c r="B6424" s="1" t="str">
        <f>"JOHNSON ROBERT JEFFREY"</f>
        <v>JOHNSON ROBERT JEFFREY</v>
      </c>
      <c r="C6424" s="1" t="str">
        <f>"KENNY RD THE MANSIONS CONDO 1 BLDG B UNIT 3"</f>
        <v>KENNY RD THE MANSIONS CONDO 1 BLDG B UNIT 3</v>
      </c>
      <c r="D6424" s="1">
        <v>6269.46</v>
      </c>
    </row>
    <row r="6425" spans="1:4" x14ac:dyDescent="0.3">
      <c r="A6425" s="1" t="str">
        <f>"23000090600"</f>
        <v>23000090600</v>
      </c>
      <c r="B6425" s="1" t="str">
        <f>"JOHNSON RONALD A, JOHNSON JUDITH L"</f>
        <v>JOHNSON RONALD A, JOHNSON JUDITH L</v>
      </c>
      <c r="C6425" s="1" t="str">
        <f>"HARRISBG&amp;GEORGVL RD 9.1897 ACRES ENTRY 1466-2595"</f>
        <v>HARRISBG&amp;GEORGVL RD 9.1897 ACRES ENTRY 1466-2595</v>
      </c>
      <c r="D6425" s="1">
        <v>182.79</v>
      </c>
    </row>
    <row r="6426" spans="1:4" x14ac:dyDescent="0.3">
      <c r="A6426" s="1" t="str">
        <f>"57021571500"</f>
        <v>57021571500</v>
      </c>
      <c r="B6426" s="1" t="str">
        <f>"JOHNSON RONNIE R"</f>
        <v>JOHNSON RONNIE R</v>
      </c>
      <c r="C6426" s="1" t="str">
        <f>"WEST WOODS VILLAGE SECTION 1 LOT 37"</f>
        <v>WEST WOODS VILLAGE SECTION 1 LOT 37</v>
      </c>
      <c r="D6426" s="1">
        <v>1000</v>
      </c>
    </row>
    <row r="6427" spans="1:4" x14ac:dyDescent="0.3">
      <c r="A6427" s="1" t="str">
        <f>"47028903300"</f>
        <v>47028903300</v>
      </c>
      <c r="B6427" s="1" t="str">
        <f>"JOHNSON SHERRY"</f>
        <v>JOHNSON SHERRY</v>
      </c>
      <c r="C6427" s="1" t="str">
        <f>"DOHERTY RD .471 ACRE ENTRY 7326"</f>
        <v>DOHERTY RD .471 ACRE ENTRY 7326</v>
      </c>
      <c r="D6427" s="1">
        <v>190.6</v>
      </c>
    </row>
    <row r="6428" spans="1:4" x14ac:dyDescent="0.3">
      <c r="A6428" s="1" t="str">
        <f>"09000778800"</f>
        <v>09000778800</v>
      </c>
      <c r="B6428" s="1" t="str">
        <f>"JOHNSON TAMMIE S"</f>
        <v>JOHNSON TAMMIE S</v>
      </c>
      <c r="C6428" s="1" t="str">
        <f>"805 ROSEMORE AVE LANGMORE LOT 8 "</f>
        <v xml:space="preserve">805 ROSEMORE AVE LANGMORE LOT 8 </v>
      </c>
      <c r="D6428" s="1">
        <v>746.75</v>
      </c>
    </row>
    <row r="6429" spans="1:4" x14ac:dyDescent="0.3">
      <c r="A6429" s="1" t="str">
        <f>"01004173300"</f>
        <v>01004173300</v>
      </c>
      <c r="B6429" s="1" t="str">
        <f>"JOHNSON TERESA"</f>
        <v>JOHNSON TERESA</v>
      </c>
      <c r="C6429" s="1" t="str">
        <f>"724 BERKLEY RD LINEN PLC SUB 47"</f>
        <v>724 BERKLEY RD LINEN PLC SUB 47</v>
      </c>
      <c r="D6429" s="1">
        <v>2773.51</v>
      </c>
    </row>
    <row r="6430" spans="1:4" x14ac:dyDescent="0.3">
      <c r="A6430" s="1" t="str">
        <f>"01011602100"</f>
        <v>01011602100</v>
      </c>
      <c r="B6430" s="1" t="str">
        <f>"JOHNSON THURMAN C, JOHNSON LORI A"</f>
        <v>JOHNSON THURMAN C, JOHNSON LORI A</v>
      </c>
      <c r="C6430" s="1" t="str">
        <f>"HILOCK AVE 1.0025 ACRES LOT 1 W 10I LOT 2URP"</f>
        <v>HILOCK AVE 1.0025 ACRES LOT 1 W 10I LOT 2URP</v>
      </c>
      <c r="D6430" s="1">
        <v>3245.41</v>
      </c>
    </row>
    <row r="6431" spans="1:4" x14ac:dyDescent="0.3">
      <c r="A6431" s="1" t="str">
        <f>"01010647000"</f>
        <v>01010647000</v>
      </c>
      <c r="B6431" s="1" t="str">
        <f>"JOHNSON TONYA R"</f>
        <v>JOHNSON TONYA R</v>
      </c>
      <c r="C6431" s="1" t="str">
        <f>"TALISMAN CT S BERWICK LOT 9"</f>
        <v>TALISMAN CT S BERWICK LOT 9</v>
      </c>
      <c r="D6431" s="1">
        <v>5576.64</v>
      </c>
    </row>
    <row r="6432" spans="1:4" x14ac:dyDescent="0.3">
      <c r="A6432" s="1" t="str">
        <f>"01013174800"</f>
        <v>01013174800</v>
      </c>
      <c r="B6432" s="1" t="str">
        <f>"JOHNSON TONYA R"</f>
        <v>JOHNSON TONYA R</v>
      </c>
      <c r="C6432" s="1" t="str">
        <f>"JONATHAN DR RADCLIFF LOT 192"</f>
        <v>JONATHAN DR RADCLIFF LOT 192</v>
      </c>
      <c r="D6432" s="1">
        <v>2643.25</v>
      </c>
    </row>
    <row r="6433" spans="1:4" x14ac:dyDescent="0.3">
      <c r="A6433" s="1" t="str">
        <f>"01026637500"</f>
        <v>01026637500</v>
      </c>
      <c r="B6433" s="1" t="str">
        <f>"JOHNSON TRACEY L"</f>
        <v>JOHNSON TRACEY L</v>
      </c>
      <c r="C6433" s="1" t="str">
        <f>"McCUTCHEON CROSSING DR McCUTCHEON CROSSING SECTION 4 LOT 199"</f>
        <v>McCUTCHEON CROSSING DR McCUTCHEON CROSSING SECTION 4 LOT 199</v>
      </c>
      <c r="D6433" s="1">
        <v>4211.4799999999996</v>
      </c>
    </row>
    <row r="6434" spans="1:4" x14ac:dyDescent="0.3">
      <c r="A6434" s="1" t="str">
        <f>"53022992300"</f>
        <v>53022992300</v>
      </c>
      <c r="B6434" s="1" t="str">
        <f>"JOHNSON VERA C"</f>
        <v>JOHNSON VERA C</v>
      </c>
      <c r="C6434" s="1" t="str">
        <f>"REMINGTON RIDGE SECTION 1 PART 1 LOT 81"</f>
        <v>REMINGTON RIDGE SECTION 1 PART 1 LOT 81</v>
      </c>
      <c r="D6434" s="1">
        <v>1621.25</v>
      </c>
    </row>
    <row r="6435" spans="1:4" x14ac:dyDescent="0.3">
      <c r="A6435" s="1" t="str">
        <f>"01002194700"</f>
        <v>01002194700</v>
      </c>
      <c r="B6435" s="1" t="str">
        <f>"JOHNSTON ADAM M, JOHNSTON TERESA N"</f>
        <v>JOHNSTON ADAM M, JOHNSTON TERESA N</v>
      </c>
      <c r="C6435" s="1" t="str">
        <f>"1846 BRYDEN RD ICKES &amp; LANES AMD LOT 58"</f>
        <v>1846 BRYDEN RD ICKES &amp; LANES AMD LOT 58</v>
      </c>
      <c r="D6435" s="1">
        <v>118.22</v>
      </c>
    </row>
    <row r="6436" spans="1:4" x14ac:dyDescent="0.3">
      <c r="A6436" s="1" t="str">
        <f>"01005683600"</f>
        <v>01005683600</v>
      </c>
      <c r="B6436" s="1" t="str">
        <f>"JOHNSTON ADAM, JOHNSTON TERESA"</f>
        <v>JOHNSTON ADAM, JOHNSTON TERESA</v>
      </c>
      <c r="C6436" s="1" t="str">
        <f>"379 MORRISON AVE MORRISON PARK LOT 88"</f>
        <v>379 MORRISON AVE MORRISON PARK LOT 88</v>
      </c>
      <c r="D6436" s="1">
        <v>69.66</v>
      </c>
    </row>
    <row r="6437" spans="1:4" x14ac:dyDescent="0.3">
      <c r="A6437" s="1" t="str">
        <f>"01005864600"</f>
        <v>01005864600</v>
      </c>
      <c r="B6437" s="1" t="str">
        <f>"JOHNSTON DAVID K"</f>
        <v>JOHNSTON DAVID K</v>
      </c>
      <c r="C6437" s="1" t="str">
        <f>"140 TORRENCE ROAD OAKLAND PARK LOT 398"</f>
        <v>140 TORRENCE ROAD OAKLAND PARK LOT 398</v>
      </c>
      <c r="D6437" s="1">
        <v>6286.48</v>
      </c>
    </row>
    <row r="6438" spans="1:4" x14ac:dyDescent="0.3">
      <c r="A6438" s="1" t="str">
        <f>"01006818100"</f>
        <v>01006818100</v>
      </c>
      <c r="B6438" s="1" t="str">
        <f>"JOHNSTON GARRETT"</f>
        <v>JOHNSTON GARRETT</v>
      </c>
      <c r="C6438" s="1" t="str">
        <f>"CLARK AVE HILLTONIA ANNEX LOT 20 BLK 16"</f>
        <v>CLARK AVE HILLTONIA ANNEX LOT 20 BLK 16</v>
      </c>
      <c r="D6438" s="1">
        <v>1829.14</v>
      </c>
    </row>
    <row r="6439" spans="1:4" x14ac:dyDescent="0.3">
      <c r="A6439" s="1" t="str">
        <f>"01009282300"</f>
        <v>01009282300</v>
      </c>
      <c r="B6439" s="1" t="str">
        <f>"JOHNSTON HORACE E, WARNER DANIELLE M, WARNER MARVIN JEROME"</f>
        <v>JOHNSTON HORACE E, WARNER DANIELLE M, WARNER MARVIN JEROME</v>
      </c>
      <c r="C6439" s="1" t="str">
        <f>"605 COLUMBIA AVE BEXLEY HTS AMD LOT 11"</f>
        <v>605 COLUMBIA AVE BEXLEY HTS AMD LOT 11</v>
      </c>
      <c r="D6439" s="1">
        <v>1095.2</v>
      </c>
    </row>
    <row r="6440" spans="1:4" x14ac:dyDescent="0.3">
      <c r="A6440" s="1" t="str">
        <f>"01005947500"</f>
        <v>01005947500</v>
      </c>
      <c r="B6440" s="1" t="str">
        <f>"JOHNSTON JOHN, VERNE SARAH"</f>
        <v>JOHNSTON JOHN, VERNE SARAH</v>
      </c>
      <c r="C6440" s="1" t="str">
        <f>"MINNESOTA AVE LINDEN LOT 564"</f>
        <v>MINNESOTA AVE LINDEN LOT 564</v>
      </c>
      <c r="D6440" s="1">
        <v>2427.8200000000002</v>
      </c>
    </row>
    <row r="6441" spans="1:4" x14ac:dyDescent="0.3">
      <c r="A6441" s="1" t="str">
        <f>"01009463400"</f>
        <v>01009463400</v>
      </c>
      <c r="B6441" s="1" t="str">
        <f>"JOHNSTON JORDAN WILSON"</f>
        <v>JOHNSTON JORDAN WILSON</v>
      </c>
      <c r="C6441" s="1" t="str">
        <f>"CARLISLE AVE PONTIAC PK LOT 84"</f>
        <v>CARLISLE AVE PONTIAC PK LOT 84</v>
      </c>
      <c r="D6441" s="1">
        <v>3339.19</v>
      </c>
    </row>
    <row r="6442" spans="1:4" x14ac:dyDescent="0.3">
      <c r="A6442" s="1" t="str">
        <f>"18500003600"</f>
        <v>18500003600</v>
      </c>
      <c r="B6442" s="1" t="str">
        <f>"JOJ PROPERTIES LLC"</f>
        <v>JOJ PROPERTIES LLC</v>
      </c>
      <c r="C6442" s="1" t="str">
        <f>"MAIN ST 34FT 139 &amp; 16FT 140 OUT 139-40 "</f>
        <v xml:space="preserve">MAIN ST 34FT 139 &amp; 16FT 140 OUT 139-40 </v>
      </c>
      <c r="D6442" s="1">
        <v>5867.8</v>
      </c>
    </row>
    <row r="6443" spans="1:4" x14ac:dyDescent="0.3">
      <c r="A6443" s="1" t="str">
        <f>"01016200300"</f>
        <v>01016200300</v>
      </c>
      <c r="B6443" s="1" t="str">
        <f>"JONES ALVIRA C"</f>
        <v>JONES ALVIRA C</v>
      </c>
      <c r="C6443" s="1" t="str">
        <f>"MYSTIC COURT FRAMINGHAM LOT 177"</f>
        <v>MYSTIC COURT FRAMINGHAM LOT 177</v>
      </c>
      <c r="D6443" s="1">
        <v>4164.38</v>
      </c>
    </row>
    <row r="6444" spans="1:4" x14ac:dyDescent="0.3">
      <c r="A6444" s="1" t="str">
        <f>"01010227600"</f>
        <v>01010227600</v>
      </c>
      <c r="B6444" s="1" t="str">
        <f>"JONES BRIAN E"</f>
        <v>JONES BRIAN E</v>
      </c>
      <c r="C6444" s="1" t="str">
        <f>"BEAUMONT RD. RANDLES LOT 88"</f>
        <v>BEAUMONT RD. RANDLES LOT 88</v>
      </c>
      <c r="D6444" s="1">
        <v>1321.69</v>
      </c>
    </row>
    <row r="6445" spans="1:4" x14ac:dyDescent="0.3">
      <c r="A6445" s="1" t="str">
        <f>"01013955400"</f>
        <v>01013955400</v>
      </c>
      <c r="B6445" s="1" t="str">
        <f>"JONES CLARA"</f>
        <v>JONES CLARA</v>
      </c>
      <c r="C6445" s="1" t="str">
        <f>"BENVUE DR FLORAVIEW HEIGHTS LOT 32"</f>
        <v>BENVUE DR FLORAVIEW HEIGHTS LOT 32</v>
      </c>
      <c r="D6445" s="1">
        <v>541.65</v>
      </c>
    </row>
    <row r="6446" spans="1:4" x14ac:dyDescent="0.3">
      <c r="A6446" s="1" t="str">
        <f>"01009710500"</f>
        <v>01009710500</v>
      </c>
      <c r="B6446" s="1" t="str">
        <f>"JONES DEVON H"</f>
        <v>JONES DEVON H</v>
      </c>
      <c r="C6446" s="1" t="str">
        <f>"E MOUND ST EASTMOOR S LOT 16-17"</f>
        <v>E MOUND ST EASTMOOR S LOT 16-17</v>
      </c>
      <c r="D6446" s="1">
        <v>132.13</v>
      </c>
    </row>
    <row r="6447" spans="1:4" x14ac:dyDescent="0.3">
      <c r="A6447" s="1" t="str">
        <f>"18000208900"</f>
        <v>18000208900</v>
      </c>
      <c r="B6447" s="1" t="str">
        <f>"JONES EDWINA"</f>
        <v>JONES EDWINA</v>
      </c>
      <c r="C6447" s="1" t="str">
        <f>"EVANSTON RD BLACKLICK ESTATES 1 231"</f>
        <v>EVANSTON RD BLACKLICK ESTATES 1 231</v>
      </c>
      <c r="D6447" s="1">
        <v>1796.7</v>
      </c>
    </row>
    <row r="6448" spans="1:4" x14ac:dyDescent="0.3">
      <c r="A6448" s="1" t="str">
        <f>"01006789600"</f>
        <v>01006789600</v>
      </c>
      <c r="B6448" s="1" t="str">
        <f>"JONES ELIZABETH A"</f>
        <v>JONES ELIZABETH A</v>
      </c>
      <c r="C6448" s="1" t="str">
        <f>"COLUMBIAN AVE HILLTONIA ANNEX LOT 13 BLK 3"</f>
        <v>COLUMBIAN AVE HILLTONIA ANNEX LOT 13 BLK 3</v>
      </c>
      <c r="D6448" s="1">
        <v>249</v>
      </c>
    </row>
    <row r="6449" spans="1:4" x14ac:dyDescent="0.3">
      <c r="A6449" s="1" t="str">
        <f>"01014668200"</f>
        <v>01014668200</v>
      </c>
      <c r="B6449" s="1" t="str">
        <f>"JONES EMMA M"</f>
        <v>JONES EMMA M</v>
      </c>
      <c r="C6449" s="1" t="str">
        <f>"WILLOW SPRINGS DR WILLOW SPRINGS LOT 14"</f>
        <v>WILLOW SPRINGS DR WILLOW SPRINGS LOT 14</v>
      </c>
      <c r="D6449" s="1">
        <v>2911.06</v>
      </c>
    </row>
    <row r="6450" spans="1:4" x14ac:dyDescent="0.3">
      <c r="A6450" s="1" t="str">
        <f>"08000001400"</f>
        <v>08000001400</v>
      </c>
      <c r="B6450" s="1" t="str">
        <f>"JONES ERIC, DEMPTSTER LAURA"</f>
        <v>JONES ERIC, DEMPTSTER LAURA</v>
      </c>
      <c r="C6450" s="1" t="str">
        <f>"N VINE &amp; LINCOLN ST PART LOTS 25-27-29 KNOX ADD"</f>
        <v>N VINE &amp; LINCOLN ST PART LOTS 25-27-29 KNOX ADD</v>
      </c>
      <c r="D6450" s="1">
        <v>4194.28</v>
      </c>
    </row>
    <row r="6451" spans="1:4" x14ac:dyDescent="0.3">
      <c r="A6451" s="1" t="str">
        <f>"13000672400"</f>
        <v>13000672400</v>
      </c>
      <c r="B6451" s="1" t="str">
        <f>"JONES FLORA M"</f>
        <v>JONES FLORA M</v>
      </c>
      <c r="C6451" s="1" t="str">
        <f>"2084 ORMOND AVE ELMORE LOT 200-201"</f>
        <v>2084 ORMOND AVE ELMORE LOT 200-201</v>
      </c>
      <c r="D6451" s="1">
        <v>1334.2</v>
      </c>
    </row>
    <row r="6452" spans="1:4" x14ac:dyDescent="0.3">
      <c r="A6452" s="1" t="str">
        <f>"14000276300"</f>
        <v>14000276300</v>
      </c>
      <c r="B6452" s="1" t="str">
        <f>"JONES FRED T"</f>
        <v>JONES FRED T</v>
      </c>
      <c r="C6452" s="1" t="str">
        <f>"138 COOLIDGE AVE BROAD-LAWN 52 "</f>
        <v xml:space="preserve">138 COOLIDGE AVE BROAD-LAWN 52 </v>
      </c>
      <c r="D6452" s="1">
        <v>1454.3</v>
      </c>
    </row>
    <row r="6453" spans="1:4" x14ac:dyDescent="0.3">
      <c r="A6453" s="1" t="str">
        <f>"24000327900"</f>
        <v>24000327900</v>
      </c>
      <c r="B6453" s="1" t="str">
        <f>"JONES GERSHWIN"</f>
        <v>JONES GERSHWIN</v>
      </c>
      <c r="C6453" s="1" t="str">
        <f>"5162 BEACON HILL RD LINCOLN VILLAGE LOT 149"</f>
        <v>5162 BEACON HILL RD LINCOLN VILLAGE LOT 149</v>
      </c>
      <c r="D6453" s="1">
        <v>5497.61</v>
      </c>
    </row>
    <row r="6454" spans="1:4" x14ac:dyDescent="0.3">
      <c r="A6454" s="1" t="str">
        <f>"02000287200"</f>
        <v>02000287200</v>
      </c>
      <c r="B6454" s="1" t="str">
        <f>"JONES JASON M"</f>
        <v>JONES JASON M</v>
      </c>
      <c r="C6454" s="1" t="str">
        <f>"888 CHELSEA AVE EAST LAWN LOT 264"</f>
        <v>888 CHELSEA AVE EAST LAWN LOT 264</v>
      </c>
      <c r="D6454" s="1">
        <v>4130.24</v>
      </c>
    </row>
    <row r="6455" spans="1:4" x14ac:dyDescent="0.3">
      <c r="A6455" s="1" t="str">
        <f>"61019043300"</f>
        <v>61019043300</v>
      </c>
      <c r="B6455" s="1" t="str">
        <f>"JONES JEFF A"</f>
        <v>JONES JEFF A</v>
      </c>
      <c r="C6455" s="1" t="str">
        <f>"WINOOSKI ST .276AC  PT RESUB RES A OF SMOKY RIDGE EST"</f>
        <v>WINOOSKI ST .276AC  PT RESUB RES A OF SMOKY RIDGE EST</v>
      </c>
      <c r="D6455" s="1">
        <v>76</v>
      </c>
    </row>
    <row r="6456" spans="1:4" x14ac:dyDescent="0.3">
      <c r="A6456" s="1" t="str">
        <f>"05300004400"</f>
        <v>05300004400</v>
      </c>
      <c r="B6456" s="1" t="str">
        <f>"JONES JEFFREY, BRETT STEPHANIE"</f>
        <v>JONES JEFFREY, BRETT STEPHANIE</v>
      </c>
      <c r="C6456" s="1" t="str">
        <f>"HERITAGE PRESERVE SECTION 1 LOT 7"</f>
        <v>HERITAGE PRESERVE SECTION 1 LOT 7</v>
      </c>
      <c r="D6456" s="1">
        <v>11441.2</v>
      </c>
    </row>
    <row r="6457" spans="1:4" x14ac:dyDescent="0.3">
      <c r="A6457" s="1" t="str">
        <f>"01005579700"</f>
        <v>01005579700</v>
      </c>
      <c r="B6457" s="1" t="str">
        <f>"JONES JERRY I"</f>
        <v>JONES JERRY I</v>
      </c>
      <c r="C6457" s="1" t="str">
        <f>"72 4 W COMO AVE 38.5 FT W S HARBARGER LOT 14"</f>
        <v>72 4 W COMO AVE 38.5 FT W S HARBARGER LOT 14</v>
      </c>
      <c r="D6457" s="1">
        <v>310.2</v>
      </c>
    </row>
    <row r="6458" spans="1:4" x14ac:dyDescent="0.3">
      <c r="A6458" s="1" t="str">
        <f>"01000888900"</f>
        <v>01000888900</v>
      </c>
      <c r="B6458" s="1" t="str">
        <f>"JONES KAY BEA"</f>
        <v>JONES KAY BEA</v>
      </c>
      <c r="C6458" s="1" t="str">
        <f>"2666 SUMMIT ST INDIANOLA PK VIEW LOT 64-5"</f>
        <v>2666 SUMMIT ST INDIANOLA PK VIEW LOT 64-5</v>
      </c>
      <c r="D6458" s="1">
        <v>625.71</v>
      </c>
    </row>
    <row r="6459" spans="1:4" x14ac:dyDescent="0.3">
      <c r="A6459" s="1" t="str">
        <f>"06000026700"</f>
        <v>06000026700</v>
      </c>
      <c r="B6459" s="1" t="str">
        <f>"JONES LYNN M, JONES KATHLEEN K"</f>
        <v>JONES LYNN M, JONES KATHLEEN K</v>
      </c>
      <c r="C6459" s="1" t="str">
        <f>"50X18/FT BROAD ST SEC 29 "</f>
        <v xml:space="preserve">50X18/FT BROAD ST SEC 29 </v>
      </c>
      <c r="D6459" s="1">
        <v>1567.29</v>
      </c>
    </row>
    <row r="6460" spans="1:4" x14ac:dyDescent="0.3">
      <c r="A6460" s="1" t="str">
        <f>"01010136000"</f>
        <v>01010136000</v>
      </c>
      <c r="B6460" s="1" t="str">
        <f>"JONES MARCELLA J"</f>
        <v>JONES MARCELLA J</v>
      </c>
      <c r="C6460" s="1" t="str">
        <f>"SEABROOK AVE BERWICK MANOR LOT 414"</f>
        <v>SEABROOK AVE BERWICK MANOR LOT 414</v>
      </c>
      <c r="D6460" s="1">
        <v>156.46</v>
      </c>
    </row>
    <row r="6461" spans="1:4" x14ac:dyDescent="0.3">
      <c r="A6461" s="1" t="str">
        <f>"51023607200"</f>
        <v>51023607200</v>
      </c>
      <c r="B6461" s="1" t="str">
        <f>"JONES MARY JO"</f>
        <v>JONES MARY JO</v>
      </c>
      <c r="C6461" s="1" t="str">
        <f>"HARSTON AVENUE HAMILTON HIGHLANDS PART 2 LOTS 154 &amp; 155"</f>
        <v>HARSTON AVENUE HAMILTON HIGHLANDS PART 2 LOTS 154 &amp; 155</v>
      </c>
      <c r="D6461" s="1">
        <v>469.55</v>
      </c>
    </row>
    <row r="6462" spans="1:4" x14ac:dyDescent="0.3">
      <c r="A6462" s="1" t="str">
        <f>"01007421200"</f>
        <v>01007421200</v>
      </c>
      <c r="B6462" s="1" t="str">
        <f>"JONES MICA R"</f>
        <v>JONES MICA R</v>
      </c>
      <c r="C6462" s="1" t="str">
        <f>"PONTIAC ST ALMADA LOT 406"</f>
        <v>PONTIAC ST ALMADA LOT 406</v>
      </c>
      <c r="D6462" s="1">
        <v>6.74</v>
      </c>
    </row>
    <row r="6463" spans="1:4" x14ac:dyDescent="0.3">
      <c r="A6463" s="1" t="str">
        <f>"01001446700"</f>
        <v>01001446700</v>
      </c>
      <c r="B6463" s="1" t="str">
        <f>"JONES MICHAEL DAVID SR, MORRIS SHANNON LORAIN"</f>
        <v>JONES MICHAEL DAVID SR, MORRIS SHANNON LORAIN</v>
      </c>
      <c r="C6463" s="1" t="str">
        <f>"995 SULLIVANT AVE AVONDALE LOT 7"</f>
        <v>995 SULLIVANT AVE AVONDALE LOT 7</v>
      </c>
      <c r="D6463" s="1">
        <v>1539.59</v>
      </c>
    </row>
    <row r="6464" spans="1:4" x14ac:dyDescent="0.3">
      <c r="A6464" s="1" t="str">
        <f>"01004906500"</f>
        <v>01004906500</v>
      </c>
      <c r="B6464" s="1" t="str">
        <f>"JONES MURRAY C"</f>
        <v>JONES MURRAY C</v>
      </c>
      <c r="C6464" s="1" t="str">
        <f>"150 E OAKLAND AVE NORTHWOOD PARK LOT 35"</f>
        <v>150 E OAKLAND AVE NORTHWOOD PARK LOT 35</v>
      </c>
      <c r="D6464" s="1">
        <v>2565.16</v>
      </c>
    </row>
    <row r="6465" spans="1:4" x14ac:dyDescent="0.3">
      <c r="A6465" s="1" t="str">
        <f>"60018987000"</f>
        <v>60018987000</v>
      </c>
      <c r="B6465" s="1" t="str">
        <f>"JONES OWEN D, JONES LINDA J"</f>
        <v>JONES OWEN D, JONES LINDA J</v>
      </c>
      <c r="C6465" s="1" t="str">
        <f>"CHRISTINA LANE VIL TANAGER WOODS 1 LOT 27"</f>
        <v>CHRISTINA LANE VIL TANAGER WOODS 1 LOT 27</v>
      </c>
      <c r="D6465" s="1">
        <v>2335.39</v>
      </c>
    </row>
    <row r="6466" spans="1:4" x14ac:dyDescent="0.3">
      <c r="A6466" s="1" t="str">
        <f>"01014448600"</f>
        <v>01014448600</v>
      </c>
      <c r="B6466" s="1" t="str">
        <f>"JONES PAULA L V"</f>
        <v>JONES PAULA L V</v>
      </c>
      <c r="C6466" s="1" t="str">
        <f>"RADNOR AVE BERNARD LOT 24"</f>
        <v>RADNOR AVE BERNARD LOT 24</v>
      </c>
      <c r="D6466" s="1">
        <v>157.34</v>
      </c>
    </row>
    <row r="6467" spans="1:4" x14ac:dyDescent="0.3">
      <c r="A6467" s="1" t="str">
        <f>"01014170800"</f>
        <v>01014170800</v>
      </c>
      <c r="B6467" s="1" t="str">
        <f>"JONES PHYLLIS L"</f>
        <v>JONES PHYLLIS L</v>
      </c>
      <c r="C6467" s="1" t="str">
        <f>"EARNCLIFF DR SOMERSET 1 LOT 240"</f>
        <v>EARNCLIFF DR SOMERSET 1 LOT 240</v>
      </c>
      <c r="D6467" s="1">
        <v>2728.04</v>
      </c>
    </row>
    <row r="6468" spans="1:4" x14ac:dyDescent="0.3">
      <c r="A6468" s="1" t="str">
        <f>"56017038600"</f>
        <v>56017038600</v>
      </c>
      <c r="B6468" s="1" t="str">
        <f>"JONES RICHARD JASON, SCHNEIDER JODI"</f>
        <v>JONES RICHARD JASON, SCHNEIDER JODI</v>
      </c>
      <c r="C6468" s="1" t="str">
        <f>"BLUEGRASS WAY THE MEADOWS PHASE1 LOT 35"</f>
        <v>BLUEGRASS WAY THE MEADOWS PHASE1 LOT 35</v>
      </c>
      <c r="D6468" s="1">
        <v>663.05</v>
      </c>
    </row>
    <row r="6469" spans="1:4" x14ac:dyDescent="0.3">
      <c r="A6469" s="1" t="str">
        <f>"01006087000"</f>
        <v>01006087000</v>
      </c>
      <c r="B6469" s="1" t="str">
        <f>"JONES ROGELLIO L"</f>
        <v>JONES ROGELLIO L</v>
      </c>
      <c r="C6469" s="1" t="str">
        <f>"1590 MAYNARD AVE INNIS CREST LOT 233-234"</f>
        <v>1590 MAYNARD AVE INNIS CREST LOT 233-234</v>
      </c>
      <c r="D6469" s="1">
        <v>1123.1199999999999</v>
      </c>
    </row>
    <row r="6470" spans="1:4" x14ac:dyDescent="0.3">
      <c r="A6470" s="1" t="str">
        <f>"61019042000"</f>
        <v>61019042000</v>
      </c>
      <c r="B6470" s="1" t="str">
        <f>"JONES ROGER"</f>
        <v>JONES ROGER</v>
      </c>
      <c r="C6470" s="1" t="str">
        <f>"CHLOE CT RESUB PT RES A SMOKY LOT 796"</f>
        <v>CHLOE CT RESUB PT RES A SMOKY LOT 796</v>
      </c>
      <c r="D6470" s="1">
        <v>279.16000000000003</v>
      </c>
    </row>
    <row r="6471" spans="1:4" x14ac:dyDescent="0.3">
      <c r="A6471" s="1" t="str">
        <f>"01007985200"</f>
        <v>01007985200</v>
      </c>
      <c r="B6471" s="1" t="str">
        <f>"JONES RUFUS H III, JONES YVONNE D"</f>
        <v>JONES RUFUS H III, JONES YVONNE D</v>
      </c>
      <c r="C6471" s="1" t="str">
        <f>"1644 MILFORD AVE KENMORE PARK LOT 11 BLK 4"</f>
        <v>1644 MILFORD AVE KENMORE PARK LOT 11 BLK 4</v>
      </c>
      <c r="D6471" s="1">
        <v>3970.01</v>
      </c>
    </row>
    <row r="6472" spans="1:4" x14ac:dyDescent="0.3">
      <c r="A6472" s="1" t="str">
        <f>"01009893200"</f>
        <v>01009893200</v>
      </c>
      <c r="B6472" s="1" t="str">
        <f>"JONES RUSTIN E"</f>
        <v>JONES RUSTIN E</v>
      </c>
      <c r="C6472" s="1" t="str">
        <f>"NORLEA PARK PT 24 5 "</f>
        <v xml:space="preserve">NORLEA PARK PT 24 5 </v>
      </c>
      <c r="D6472" s="1">
        <v>5193.01</v>
      </c>
    </row>
    <row r="6473" spans="1:4" x14ac:dyDescent="0.3">
      <c r="A6473" s="1" t="str">
        <f>"01007561200"</f>
        <v>01007561200</v>
      </c>
      <c r="B6473" s="1" t="str">
        <f>"JONES RUSTIN I"</f>
        <v>JONES RUSTIN I</v>
      </c>
      <c r="C6473" s="1" t="str">
        <f>"GERBERT RD HOMESTEAD HTS LOTS 274- 275"</f>
        <v>GERBERT RD HOMESTEAD HTS LOTS 274- 275</v>
      </c>
      <c r="D6473" s="1">
        <v>3524.6</v>
      </c>
    </row>
    <row r="6474" spans="1:4" x14ac:dyDescent="0.3">
      <c r="A6474" s="1" t="str">
        <f>"01022415000"</f>
        <v>01022415000</v>
      </c>
      <c r="B6474" s="1" t="str">
        <f>"JONES SHELDON JR"</f>
        <v>JONES SHELDON JR</v>
      </c>
      <c r="C6474" s="1" t="str">
        <f>"CAPITOL VIEW ESTATES LOT 24"</f>
        <v>CAPITOL VIEW ESTATES LOT 24</v>
      </c>
      <c r="D6474" s="1">
        <v>183.91</v>
      </c>
    </row>
    <row r="6475" spans="1:4" x14ac:dyDescent="0.3">
      <c r="A6475" s="1" t="str">
        <f>"01008107000"</f>
        <v>01008107000</v>
      </c>
      <c r="B6475" s="1" t="str">
        <f>"JONES STEPHEN L"</f>
        <v>JONES STEPHEN L</v>
      </c>
      <c r="C6475" s="1" t="str">
        <f>"1905 E N BROADWAY CLEVELAWN LOT 49"</f>
        <v>1905 E N BROADWAY CLEVELAWN LOT 49</v>
      </c>
      <c r="D6475" s="1">
        <v>68.86</v>
      </c>
    </row>
    <row r="6476" spans="1:4" x14ac:dyDescent="0.3">
      <c r="A6476" s="1" t="str">
        <f>"01008780500"</f>
        <v>01008780500</v>
      </c>
      <c r="B6476" s="1" t="str">
        <f>"JONES STEVEN P, JONES TWYLA W"</f>
        <v>JONES STEVEN P, JONES TWYLA W</v>
      </c>
      <c r="C6476" s="1" t="str">
        <f>"ROOSEVELT AVE BERWICK LOT 809-10-11"</f>
        <v>ROOSEVELT AVE BERWICK LOT 809-10-11</v>
      </c>
      <c r="D6476" s="1">
        <v>200.99</v>
      </c>
    </row>
    <row r="6477" spans="1:4" x14ac:dyDescent="0.3">
      <c r="A6477" s="1" t="str">
        <f>"04001500000"</f>
        <v>04001500000</v>
      </c>
      <c r="B6477" s="1" t="str">
        <f>"JONES TAMARA, HINEBAUGH BRIAN"</f>
        <v>JONES TAMARA, HINEBAUGH BRIAN</v>
      </c>
      <c r="C6477" s="1" t="str">
        <f>"PINNACLE CLUB SECTION 6 PART 4 LOT 652 "</f>
        <v xml:space="preserve">PINNACLE CLUB SECTION 6 PART 4 LOT 652 </v>
      </c>
      <c r="D6477" s="1">
        <v>391.15</v>
      </c>
    </row>
    <row r="6478" spans="1:4" x14ac:dyDescent="0.3">
      <c r="A6478" s="1" t="str">
        <f>"01012630900"</f>
        <v>01012630900</v>
      </c>
      <c r="B6478" s="1" t="str">
        <f>"JONES TERRENCE L, JONES SHEILA W"</f>
        <v>JONES TERRENCE L, JONES SHEILA W</v>
      </c>
      <c r="C6478" s="1" t="str">
        <f>"1300 WOODFORD AVE AMERICAN ADD LOT 63 (35'X 130')"</f>
        <v>1300 WOODFORD AVE AMERICAN ADD LOT 63 (35'X 130')</v>
      </c>
      <c r="D6478" s="1">
        <v>535.29</v>
      </c>
    </row>
    <row r="6479" spans="1:4" x14ac:dyDescent="0.3">
      <c r="A6479" s="1" t="str">
        <f>"01013805900"</f>
        <v>01013805900</v>
      </c>
      <c r="B6479" s="1" t="str">
        <f>"JONES VINCENT A, JONES VICTOR A, JONES BRIAN K"</f>
        <v>JONES VINCENT A, JONES VICTOR A, JONES BRIAN K</v>
      </c>
      <c r="C6479" s="1" t="str">
        <f>"DE PORRES DR BRENTNELL PLACE LOT 41"</f>
        <v>DE PORRES DR BRENTNELL PLACE LOT 41</v>
      </c>
      <c r="D6479" s="1">
        <v>1245.54</v>
      </c>
    </row>
    <row r="6480" spans="1:4" x14ac:dyDescent="0.3">
      <c r="A6480" s="1" t="str">
        <f>"13000136600"</f>
        <v>13000136600</v>
      </c>
      <c r="B6480" s="1" t="str">
        <f>"JONES WILLIE"</f>
        <v>JONES WILLIE</v>
      </c>
      <c r="C6480" s="1" t="str">
        <f>"1884 SALE RD WS 168 N LINDEN 1 167-168"</f>
        <v>1884 SALE RD WS 168 N LINDEN 1 167-168</v>
      </c>
      <c r="D6480" s="1">
        <v>685.16</v>
      </c>
    </row>
    <row r="6481" spans="1:4" x14ac:dyDescent="0.3">
      <c r="A6481" s="1" t="str">
        <f>"51528910400"</f>
        <v>51528910400</v>
      </c>
      <c r="B6481" s="1" t="str">
        <f>"JONGWE TAMBUDZAI, JONGWE RICHARD"</f>
        <v>JONGWE TAMBUDZAI, JONGWE RICHARD</v>
      </c>
      <c r="C6481" s="1" t="str">
        <f>"BEDFORD PLACE CONDOMINIUM 2ND AMD BLDG 4 UNIT 404"</f>
        <v>BEDFORD PLACE CONDOMINIUM 2ND AMD BLDG 4 UNIT 404</v>
      </c>
      <c r="D6481" s="1">
        <v>1664.18</v>
      </c>
    </row>
    <row r="6482" spans="1:4" x14ac:dyDescent="0.3">
      <c r="A6482" s="1" t="str">
        <f>"01006769400"</f>
        <v>01006769400</v>
      </c>
      <c r="B6482" s="1" t="str">
        <f>"JONSAN NURTEN"</f>
        <v>JONSAN NURTEN</v>
      </c>
      <c r="C6482" s="1" t="str">
        <f>"546 TOWNSEND AVE HILLTONIA LOT 44"</f>
        <v>546 TOWNSEND AVE HILLTONIA LOT 44</v>
      </c>
      <c r="D6482" s="1">
        <v>258.14999999999998</v>
      </c>
    </row>
    <row r="6483" spans="1:4" x14ac:dyDescent="0.3">
      <c r="A6483" s="1" t="str">
        <f>"22200014500"</f>
        <v>22200014500</v>
      </c>
      <c r="B6483" s="1" t="str">
        <f>"JOOSS PERRY"</f>
        <v>JOOSS PERRY</v>
      </c>
      <c r="C6483" s="1" t="str">
        <f>"MILLER AVE LOT 6 URP 39 0.543 ACRE"</f>
        <v>MILLER AVE LOT 6 URP 39 0.543 ACRE</v>
      </c>
      <c r="D6483" s="1">
        <v>6437.76</v>
      </c>
    </row>
    <row r="6484" spans="1:4" x14ac:dyDescent="0.3">
      <c r="A6484" s="1" t="str">
        <f>"01007527600"</f>
        <v>01007527600</v>
      </c>
      <c r="B6484" s="1" t="str">
        <f>"JORDAN EUGENE, JORDAN YVONNE"</f>
        <v>JORDAN EUGENE, JORDAN YVONNE</v>
      </c>
      <c r="C6484" s="1" t="str">
        <f>"ATWOOD TERR GRASMERE GDNS LOT 513"</f>
        <v>ATWOOD TERR GRASMERE GDNS LOT 513</v>
      </c>
      <c r="D6484" s="1">
        <v>69.430000000000007</v>
      </c>
    </row>
    <row r="6485" spans="1:4" x14ac:dyDescent="0.3">
      <c r="A6485" s="1" t="str">
        <f>"07001028700"</f>
        <v>07001028700</v>
      </c>
      <c r="B6485" s="1" t="str">
        <f>"JORDAN KEITH TTEE, SIMON LAUREN TTEE"</f>
        <v>JORDAN KEITH TTEE, SIMON LAUREN TTEE</v>
      </c>
      <c r="C6485" s="1" t="str">
        <f>"3989 RITAMARIE DR HARTSOOK GOLF COURSE 2 LOT 13"</f>
        <v>3989 RITAMARIE DR HARTSOOK GOLF COURSE 2 LOT 13</v>
      </c>
      <c r="D6485" s="1">
        <v>317.22000000000003</v>
      </c>
    </row>
    <row r="6486" spans="1:4" x14ac:dyDescent="0.3">
      <c r="A6486" s="1" t="str">
        <f>"15200100300"</f>
        <v>15200100300</v>
      </c>
      <c r="B6486" s="1" t="str">
        <f>"JORDAN LAURA ANN"</f>
        <v>JORDAN LAURA ANN</v>
      </c>
      <c r="C6486" s="1" t="str">
        <f>"POPLAR ST DAWSONS OBETZ 12 "</f>
        <v xml:space="preserve">POPLAR ST DAWSONS OBETZ 12 </v>
      </c>
      <c r="D6486" s="1">
        <v>1837</v>
      </c>
    </row>
    <row r="6487" spans="1:4" x14ac:dyDescent="0.3">
      <c r="A6487" s="1" t="str">
        <f>"19100141000"</f>
        <v>19100141000</v>
      </c>
      <c r="B6487" s="1" t="str">
        <f>"JORDAN RENTALS II LLC"</f>
        <v>JORDAN RENTALS II LLC</v>
      </c>
      <c r="C6487" s="1" t="str">
        <f>"1914 STELZER RD R17 T1 1/4T3 1.8578 ACRES"</f>
        <v>1914 STELZER RD R17 T1 1/4T3 1.8578 ACRES</v>
      </c>
      <c r="D6487" s="1">
        <v>1010.46</v>
      </c>
    </row>
    <row r="6488" spans="1:4" x14ac:dyDescent="0.3">
      <c r="A6488" s="1" t="str">
        <f>"01003152000"</f>
        <v>01003152000</v>
      </c>
      <c r="B6488" s="1" t="str">
        <f>"JORDAN RUTH A"</f>
        <v>JORDAN RUTH A</v>
      </c>
      <c r="C6488" s="1" t="str">
        <f>"J C CARTY LOT 11-12  "</f>
        <v xml:space="preserve">J C CARTY LOT 11-12  </v>
      </c>
      <c r="D6488" s="1">
        <v>961.9</v>
      </c>
    </row>
    <row r="6489" spans="1:4" x14ac:dyDescent="0.3">
      <c r="A6489" s="1" t="str">
        <f>"01014817400"</f>
        <v>01014817400</v>
      </c>
      <c r="B6489" s="1" t="str">
        <f>"JORDAN STEPHEN M"</f>
        <v>JORDAN STEPHEN M</v>
      </c>
      <c r="C6489" s="1" t="str">
        <f>"INDIAN HILLS 5 LOT 267 "</f>
        <v xml:space="preserve">INDIAN HILLS 5 LOT 267 </v>
      </c>
      <c r="D6489" s="1">
        <v>6023.12</v>
      </c>
    </row>
    <row r="6490" spans="1:4" x14ac:dyDescent="0.3">
      <c r="A6490" s="1" t="str">
        <f>"01008972000"</f>
        <v>01008972000</v>
      </c>
      <c r="B6490" s="1" t="str">
        <f>"JORDAN WADE, JORDAN WADE JR"</f>
        <v>JORDAN WADE, JORDAN WADE JR</v>
      </c>
      <c r="C6490" s="1" t="str">
        <f>"CHESTERFIELD RD BEXLEY ANNEX LOT 20"</f>
        <v>CHESTERFIELD RD BEXLEY ANNEX LOT 20</v>
      </c>
      <c r="D6490" s="1">
        <v>962.18</v>
      </c>
    </row>
    <row r="6491" spans="1:4" x14ac:dyDescent="0.3">
      <c r="A6491" s="1" t="str">
        <f>"01006014000"</f>
        <v>01006014000</v>
      </c>
      <c r="B6491" s="1" t="str">
        <f>"JOSEPH FRANKLIN E, JOSEPH SUFIE"</f>
        <v>JOSEPH FRANKLIN E, JOSEPH SUFIE</v>
      </c>
      <c r="C6491" s="1" t="str">
        <f>"1677 WEBER RD LINDEN LOT 88"</f>
        <v>1677 WEBER RD LINDEN LOT 88</v>
      </c>
      <c r="D6491" s="1">
        <v>2703.94</v>
      </c>
    </row>
    <row r="6492" spans="1:4" x14ac:dyDescent="0.3">
      <c r="A6492" s="1" t="str">
        <f>"18000233000"</f>
        <v>18000233000</v>
      </c>
      <c r="B6492" s="1" t="str">
        <f>"JOSEPH HAROLD P, JOSEPH KARON S"</f>
        <v>JOSEPH HAROLD P, JOSEPH KARON S</v>
      </c>
      <c r="C6492" s="1" t="str">
        <f>"CHIPMAN DR BLACKLICK ESTATES 1 LOT 472"</f>
        <v>CHIPMAN DR BLACKLICK ESTATES 1 LOT 472</v>
      </c>
      <c r="D6492" s="1">
        <v>291.33</v>
      </c>
    </row>
    <row r="6493" spans="1:4" x14ac:dyDescent="0.3">
      <c r="A6493" s="1" t="str">
        <f>"01013066600"</f>
        <v>01013066600</v>
      </c>
      <c r="B6493" s="1" t="str">
        <f>"JOSEPH ROBERT D, JOSEPH JOSEPHINE F"</f>
        <v>JOSEPH ROBERT D, JOSEPH JOSEPHINE F</v>
      </c>
      <c r="C6493" s="1" t="str">
        <f>"MERTON DR KAR-MEL VILLAGE 3 LOT 345"</f>
        <v>MERTON DR KAR-MEL VILLAGE 3 LOT 345</v>
      </c>
      <c r="D6493" s="1">
        <v>1776.17</v>
      </c>
    </row>
    <row r="6494" spans="1:4" x14ac:dyDescent="0.3">
      <c r="A6494" s="1" t="str">
        <f>"04001333600"</f>
        <v>04001333600</v>
      </c>
      <c r="B6494" s="1" t="str">
        <f>"JOSEPH ROBERT D, JOSEPH JOSEPHINE F"</f>
        <v>JOSEPH ROBERT D, JOSEPH JOSEPHINE F</v>
      </c>
      <c r="C6494" s="1" t="str">
        <f>"FERGUS ROAD               PINNACLE CLUB SECTION 1   PHASE 2 LOT 140          "</f>
        <v xml:space="preserve">FERGUS ROAD               PINNACLE CLUB SECTION 1   PHASE 2 LOT 140          </v>
      </c>
      <c r="D6494" s="1">
        <v>4467.6099999999997</v>
      </c>
    </row>
    <row r="6495" spans="1:4" x14ac:dyDescent="0.3">
      <c r="A6495" s="1" t="str">
        <f>"02000145600"</f>
        <v>02000145600</v>
      </c>
      <c r="B6495" s="1" t="str">
        <f>"JOSEPH ROBERT O TTEE"</f>
        <v>JOSEPH ROBERT O TTEE</v>
      </c>
      <c r="C6495" s="1" t="str">
        <f>"2561 BRYDEN RD LOT 288 BEXLEY PARK"</f>
        <v>2561 BRYDEN RD LOT 288 BEXLEY PARK</v>
      </c>
      <c r="D6495" s="1">
        <v>24380.400000000001</v>
      </c>
    </row>
    <row r="6496" spans="1:4" x14ac:dyDescent="0.3">
      <c r="A6496" s="1" t="str">
        <f>"27300243400"</f>
        <v>27300243400</v>
      </c>
      <c r="B6496" s="1" t="str">
        <f>"JOSEPH ROWDY LEE, JOSEPH KELLY GALLOGLY"</f>
        <v>JOSEPH ROWDY LEE, JOSEPH KELLY GALLOGLY</v>
      </c>
      <c r="C6496" s="1" t="str">
        <f>"6677 WILLOW GROVE PL CONDO HOMES PH 2F UNIT 6677 BLDG 15"</f>
        <v>6677 WILLOW GROVE PL CONDO HOMES PH 2F UNIT 6677 BLDG 15</v>
      </c>
      <c r="D6496" s="1">
        <v>5312.77</v>
      </c>
    </row>
    <row r="6497" spans="1:4" x14ac:dyDescent="0.3">
      <c r="A6497" s="1" t="str">
        <f>"05000766100"</f>
        <v>05000766100</v>
      </c>
      <c r="B6497" s="1" t="str">
        <f>"JOSHI CINDY K"</f>
        <v>JOSHI CINDY K</v>
      </c>
      <c r="C6497" s="1" t="str">
        <f>"SCIOTO BEND DRIVE SCIOTO FARMS SEC 1 LOT 11"</f>
        <v>SCIOTO BEND DRIVE SCIOTO FARMS SEC 1 LOT 11</v>
      </c>
      <c r="D6497" s="1">
        <v>10399.81</v>
      </c>
    </row>
    <row r="6498" spans="1:4" x14ac:dyDescent="0.3">
      <c r="A6498" s="1" t="str">
        <f>"27301009300"</f>
        <v>27301009300</v>
      </c>
      <c r="B6498" s="1" t="str">
        <f>"JOSHI MUKESH"</f>
        <v>JOSHI MUKESH</v>
      </c>
      <c r="C6498" s="1" t="str">
        <f>"DRURY ROAD SHANNON GLEN SECTION 2 LOT 48"</f>
        <v>DRURY ROAD SHANNON GLEN SECTION 2 LOT 48</v>
      </c>
      <c r="D6498" s="1">
        <v>662.72</v>
      </c>
    </row>
    <row r="6499" spans="1:4" x14ac:dyDescent="0.3">
      <c r="A6499" s="1" t="str">
        <f>"04000128800"</f>
        <v>04000128800</v>
      </c>
      <c r="B6499" s="1" t="str">
        <f>"JOSHUA T SMITH REALTY LLC"</f>
        <v>JOSHUA T SMITH REALTY LLC</v>
      </c>
      <c r="C6499" s="1" t="str">
        <f>"000 HOOVER ROADD ENTRY 8231-6839 .816 ACRE"</f>
        <v>000 HOOVER ROADD ENTRY 8231-6839 .816 ACRE</v>
      </c>
      <c r="D6499" s="1">
        <v>8638.48</v>
      </c>
    </row>
    <row r="6500" spans="1:4" x14ac:dyDescent="0.3">
      <c r="A6500" s="1" t="str">
        <f>"01008367600"</f>
        <v>01008367600</v>
      </c>
      <c r="B6500" s="1" t="str">
        <f>"JOY ELIZABETH"</f>
        <v>JOY ELIZABETH</v>
      </c>
      <c r="C6500" s="1" t="str">
        <f>"GRASSMERE AVE SUNNYSIDE LOT558"</f>
        <v>GRASSMERE AVE SUNNYSIDE LOT558</v>
      </c>
      <c r="D6500" s="1">
        <v>1750.43</v>
      </c>
    </row>
    <row r="6501" spans="1:4" x14ac:dyDescent="0.3">
      <c r="A6501" s="1" t="str">
        <f>"01010436500"</f>
        <v>01010436500</v>
      </c>
      <c r="B6501" s="1" t="str">
        <f>"JOYCE KEVIN S"</f>
        <v>JOYCE KEVIN S</v>
      </c>
      <c r="C6501" s="1" t="str">
        <f>"DESHLER AVE ACRES .499 R22 T5 S23 1/2 32"</f>
        <v>DESHLER AVE ACRES .499 R22 T5 S23 1/2 32</v>
      </c>
      <c r="D6501" s="1">
        <v>176.27</v>
      </c>
    </row>
    <row r="6502" spans="1:4" x14ac:dyDescent="0.3">
      <c r="A6502" s="1" t="str">
        <f>"27300719500"</f>
        <v>27300719500</v>
      </c>
      <c r="B6502" s="1" t="str">
        <f>"JOYFUL JEC LLC"</f>
        <v>JOYFUL JEC LLC</v>
      </c>
      <c r="C6502" s="1" t="str">
        <f>"PIRTHSHIRE ST HEATHER GLEN SEC3PH1 LOT 291"</f>
        <v>PIRTHSHIRE ST HEATHER GLEN SEC3PH1 LOT 291</v>
      </c>
      <c r="D6502" s="1">
        <v>490.01</v>
      </c>
    </row>
    <row r="6503" spans="1:4" x14ac:dyDescent="0.3">
      <c r="A6503" s="1" t="str">
        <f>"01007595200"</f>
        <v>01007595200</v>
      </c>
      <c r="B6503" s="1" t="str">
        <f>"JOYNER KATHLEEN J"</f>
        <v>JOYNER KATHLEEN J</v>
      </c>
      <c r="C6503" s="1" t="str">
        <f>"GRASMERE AVE N GRASMERE LOT 196-197"</f>
        <v>GRASMERE AVE N GRASMERE LOT 196-197</v>
      </c>
      <c r="D6503" s="1">
        <v>625.22</v>
      </c>
    </row>
    <row r="6504" spans="1:4" x14ac:dyDescent="0.3">
      <c r="A6504" s="1" t="str">
        <f>"01009277100"</f>
        <v>01009277100</v>
      </c>
      <c r="B6504" s="1" t="str">
        <f>"JP LYLE LLC"</f>
        <v>JP LYLE LLC</v>
      </c>
      <c r="C6504" s="1" t="str">
        <f>"CASSADY AVE CASSADY-PEAKEMEADOWS LOT 293"</f>
        <v>CASSADY AVE CASSADY-PEAKEMEADOWS LOT 293</v>
      </c>
      <c r="D6504" s="1">
        <v>854.07</v>
      </c>
    </row>
    <row r="6505" spans="1:4" x14ac:dyDescent="0.3">
      <c r="A6505" s="1" t="str">
        <f>"01006579000"</f>
        <v>01006579000</v>
      </c>
      <c r="B6505" s="1" t="str">
        <f>"JP LYLE LLC"</f>
        <v>JP LYLE LLC</v>
      </c>
      <c r="C6505" s="1" t="str">
        <f>"12TH AVE CASSADY-PEAKE MEADOW S LOT 51"</f>
        <v>12TH AVE CASSADY-PEAKE MEADOW S LOT 51</v>
      </c>
      <c r="D6505" s="1">
        <v>836.37</v>
      </c>
    </row>
    <row r="6506" spans="1:4" x14ac:dyDescent="0.3">
      <c r="A6506" s="1" t="str">
        <f>"01001473000"</f>
        <v>01001473000</v>
      </c>
      <c r="B6506" s="1" t="str">
        <f>"JP PROPERTY VENTURES LLC"</f>
        <v>JP PROPERTY VENTURES LLC</v>
      </c>
      <c r="C6506" s="1" t="str">
        <f>"741 BEDFORD AVE BEDFORD PLACE LOT SUB 26-27"</f>
        <v>741 BEDFORD AVE BEDFORD PLACE LOT SUB 26-27</v>
      </c>
      <c r="D6506" s="1">
        <v>2697.87</v>
      </c>
    </row>
    <row r="6507" spans="1:4" x14ac:dyDescent="0.3">
      <c r="A6507" s="1" t="str">
        <f>"07000460600"</f>
        <v>07000460600</v>
      </c>
      <c r="B6507" s="1" t="str">
        <f>"JRC CONTRACTORS LTD"</f>
        <v>JRC CONTRACTORS LTD</v>
      </c>
      <c r="C6507" s="1" t="str">
        <f>"COLLEGE HILL DRIVE COLLEGE HILL PLACE LOT 51  &amp; PT VAC ALLEY"</f>
        <v>COLLEGE HILL DRIVE COLLEGE HILL PLACE LOT 51  &amp; PT VAC ALLEY</v>
      </c>
      <c r="D6507" s="1">
        <v>4619.74</v>
      </c>
    </row>
    <row r="6508" spans="1:4" x14ac:dyDescent="0.3">
      <c r="A6508" s="1" t="str">
        <f>"18000011900"</f>
        <v>18000011900</v>
      </c>
      <c r="B6508" s="1" t="str">
        <f>"J'S AUTO &amp; ELECTRICAL REPAIR LLC"</f>
        <v>J'S AUTO &amp; ELECTRICAL REPAIR LLC</v>
      </c>
      <c r="C6508" s="1" t="str">
        <f>"3436 LONDON-LANCASTR 5.01 ACRES R21 T10 S8"</f>
        <v>3436 LONDON-LANCASTR 5.01 ACRES R21 T10 S8</v>
      </c>
      <c r="D6508" s="1">
        <v>6411.82</v>
      </c>
    </row>
    <row r="6509" spans="1:4" x14ac:dyDescent="0.3">
      <c r="A6509" s="1" t="str">
        <f>"59023117100"</f>
        <v>59023117100</v>
      </c>
      <c r="B6509" s="1" t="str">
        <f>"JSD SAWMILL LLC"</f>
        <v>JSD SAWMILL LLC</v>
      </c>
      <c r="C6509" s="1" t="str">
        <f>"SAWMILL PLACE BLVD SAWMILL PLACE PT LOT 1=3.755 ACRES"</f>
        <v>SAWMILL PLACE BLVD SAWMILL PLACE PT LOT 1=3.755 ACRES</v>
      </c>
      <c r="D6509" s="1">
        <v>39467.410000000003</v>
      </c>
    </row>
    <row r="6510" spans="1:4" x14ac:dyDescent="0.3">
      <c r="A6510" s="1" t="str">
        <f>"01005016100"</f>
        <v>01005016100</v>
      </c>
      <c r="B6510" s="1" t="str">
        <f>"JTS INVESTMENTS LLC, STAUFFER GERALD T"</f>
        <v>JTS INVESTMENTS LLC, STAUFFER GERALD T</v>
      </c>
      <c r="C6510" s="1" t="str">
        <f>"470 JACKSON ST W1/2 FAUST&amp;DORGERT SUB 5"</f>
        <v>470 JACKSON ST W1/2 FAUST&amp;DORGERT SUB 5</v>
      </c>
      <c r="D6510" s="1">
        <v>4870.95</v>
      </c>
    </row>
    <row r="6511" spans="1:4" x14ac:dyDescent="0.3">
      <c r="A6511" s="1" t="str">
        <f>"54525575200"</f>
        <v>54525575200</v>
      </c>
      <c r="B6511" s="1" t="str">
        <f>"JUBA INVESTMENT LLC"</f>
        <v>JUBA INVESTMENT LLC</v>
      </c>
      <c r="C6511" s="1" t="str">
        <f>"ASBURY RIDGE OF NEW ALBANY SECTION 2 PT 1 LOT 132"</f>
        <v>ASBURY RIDGE OF NEW ALBANY SECTION 2 PT 1 LOT 132</v>
      </c>
      <c r="D6511" s="1">
        <v>8068.26</v>
      </c>
    </row>
    <row r="6512" spans="1:4" x14ac:dyDescent="0.3">
      <c r="A6512" s="1" t="str">
        <f>"01003385000"</f>
        <v>01003385000</v>
      </c>
      <c r="B6512" s="1" t="str">
        <f>"JUDD STEPHANIE"</f>
        <v>JUDD STEPHANIE</v>
      </c>
      <c r="C6512" s="1" t="str">
        <f>"963 BELLOWS AVE SEE DUP FOR DESC AVONDALE LOT 65"</f>
        <v>963 BELLOWS AVE SEE DUP FOR DESC AVONDALE LOT 65</v>
      </c>
      <c r="D6512" s="1">
        <v>322.14999999999998</v>
      </c>
    </row>
    <row r="6513" spans="1:4" x14ac:dyDescent="0.3">
      <c r="A6513" s="1" t="str">
        <f>"06000520300"</f>
        <v>06000520300</v>
      </c>
      <c r="B6513" s="1" t="str">
        <f>"JUDE SHIRLEY A"</f>
        <v>JUDE SHIRLEY A</v>
      </c>
      <c r="C6513" s="1" t="str">
        <f>"CORONADO WOODS CONDOMINIUM 1 UNIT 4-3"</f>
        <v>CORONADO WOODS CONDOMINIUM 1 UNIT 4-3</v>
      </c>
      <c r="D6513" s="1">
        <v>3440.24</v>
      </c>
    </row>
    <row r="6514" spans="1:4" x14ac:dyDescent="0.3">
      <c r="A6514" s="1" t="str">
        <f>"01029798200"</f>
        <v>01029798200</v>
      </c>
      <c r="B6514" s="1" t="str">
        <f>"JUDGE DONALD E SR"</f>
        <v>JUDGE DONALD E SR</v>
      </c>
      <c r="C6514" s="1" t="str">
        <f>"E HUDSON ST R18 T1 S4 20' X 124' TRACT"</f>
        <v>E HUDSON ST R18 T1 S4 20' X 124' TRACT</v>
      </c>
      <c r="D6514" s="1">
        <v>119.37</v>
      </c>
    </row>
    <row r="6515" spans="1:4" x14ac:dyDescent="0.3">
      <c r="A6515" s="1" t="str">
        <f>"07000398700"</f>
        <v>07000398700</v>
      </c>
      <c r="B6515" s="1" t="str">
        <f>"JUDY WILLIAM DANIEL, JUDY MARY LYNN"</f>
        <v>JUDY WILLIAM DANIEL, JUDY MARY LYNN</v>
      </c>
      <c r="C6515" s="1" t="str">
        <f>"AVALON RD EASTCLIFF LOT 376-377"</f>
        <v>AVALON RD EASTCLIFF LOT 376-377</v>
      </c>
      <c r="D6515" s="1">
        <v>4193.59</v>
      </c>
    </row>
    <row r="6516" spans="1:4" x14ac:dyDescent="0.3">
      <c r="A6516" s="1" t="str">
        <f>"57025653200"</f>
        <v>57025653200</v>
      </c>
      <c r="B6516" s="1" t="str">
        <f>"JUELA LUIS, IBANEZ NUBIA"</f>
        <v>JUELA LUIS, IBANEZ NUBIA</v>
      </c>
      <c r="C6516" s="1" t="str">
        <f>"HAFTON WOODS DRIVE HAFTON WOODS LOT 2"</f>
        <v>HAFTON WOODS DRIVE HAFTON WOODS LOT 2</v>
      </c>
      <c r="D6516" s="1">
        <v>178.96</v>
      </c>
    </row>
    <row r="6517" spans="1:4" x14ac:dyDescent="0.3">
      <c r="A6517" s="1" t="str">
        <f>"57017321000"</f>
        <v>57017321000</v>
      </c>
      <c r="B6517" s="1" t="str">
        <f>"JUELA LUIS, IBANEZ NUBIA"</f>
        <v>JUELA LUIS, IBANEZ NUBIA</v>
      </c>
      <c r="C6517" s="1" t="str">
        <f>"454 PAMLICO ST HARDESTY HGTS CONDJJ UNIT 10"</f>
        <v>454 PAMLICO ST HARDESTY HGTS CONDJJ UNIT 10</v>
      </c>
      <c r="D6517" s="1">
        <v>104.82</v>
      </c>
    </row>
    <row r="6518" spans="1:4" x14ac:dyDescent="0.3">
      <c r="A6518" s="1" t="str">
        <f>"27400127100"</f>
        <v>27400127100</v>
      </c>
      <c r="B6518" s="1" t="str">
        <f>"JUERGENS DANIEL P TR, JUERGENS SUSAN J TR"</f>
        <v>JUERGENS DANIEL P TR, JUERGENS SUSAN J TR</v>
      </c>
      <c r="C6518" s="1" t="str">
        <f>"WOODLANDS AT BALLANTRAE CONDOMINIUM 1ST AMD BLDG 28 UNIT 28A-6877"</f>
        <v>WOODLANDS AT BALLANTRAE CONDOMINIUM 1ST AMD BLDG 28 UNIT 28A-6877</v>
      </c>
      <c r="D6518" s="1">
        <v>518.45000000000005</v>
      </c>
    </row>
    <row r="6519" spans="1:4" x14ac:dyDescent="0.3">
      <c r="A6519" s="1" t="str">
        <f>"01004691200"</f>
        <v>01004691200</v>
      </c>
      <c r="B6519" s="1" t="str">
        <f>"JUERGENS LINDA E"</f>
        <v>JUERGENS LINDA E</v>
      </c>
      <c r="C6519" s="1" t="str">
        <f>"ZIMPFER ST SEE DUP FOR DESC SIEBERTS CITY P K LOT 9"</f>
        <v>ZIMPFER ST SEE DUP FOR DESC SIEBERTS CITY P K LOT 9</v>
      </c>
      <c r="D6519" s="1">
        <v>994.65</v>
      </c>
    </row>
    <row r="6520" spans="1:4" x14ac:dyDescent="0.3">
      <c r="A6520" s="1" t="str">
        <f>"01003058800"</f>
        <v>01003058800</v>
      </c>
      <c r="B6520" s="1" t="str">
        <f>"JUJU BINX LLC"</f>
        <v>JUJU BINX LLC</v>
      </c>
      <c r="C6520" s="1" t="str">
        <f>"FREBIS AVE ACRES .683 R 22 T 5 S 26 1-2 39"</f>
        <v>FREBIS AVE ACRES .683 R 22 T 5 S 26 1-2 39</v>
      </c>
      <c r="D6520" s="1">
        <v>1599.54</v>
      </c>
    </row>
    <row r="6521" spans="1:4" x14ac:dyDescent="0.3">
      <c r="A6521" s="1" t="str">
        <f>"01012883200"</f>
        <v>01012883200</v>
      </c>
      <c r="B6521" s="1" t="str">
        <f>"JULION PROPERTIES LLC"</f>
        <v>JULION PROPERTIES LLC</v>
      </c>
      <c r="C6521" s="1" t="str">
        <f>"NAVARRE RD WALNUT SPRINGS LOT 90"</f>
        <v>NAVARRE RD WALNUT SPRINGS LOT 90</v>
      </c>
      <c r="D6521" s="1">
        <v>1141.3499999999999</v>
      </c>
    </row>
    <row r="6522" spans="1:4" x14ac:dyDescent="0.3">
      <c r="A6522" s="1" t="str">
        <f>"07000746400"</f>
        <v>07000746400</v>
      </c>
      <c r="B6522" s="1" t="str">
        <f>"JULKA ABHISHEK, KAUH COURTNEY"</f>
        <v>JULKA ABHISHEK, KAUH COURTNEY</v>
      </c>
      <c r="C6522" s="1" t="str">
        <f>"CLAIRMONT RD 262 FT EE M OR L WINDEMERE 90"</f>
        <v>CLAIRMONT RD 262 FT EE M OR L WINDEMERE 90</v>
      </c>
      <c r="D6522" s="1">
        <v>15075.42</v>
      </c>
    </row>
    <row r="6523" spans="1:4" x14ac:dyDescent="0.3">
      <c r="A6523" s="1" t="str">
        <f>"01010700300"</f>
        <v>01010700300</v>
      </c>
      <c r="B6523" s="1" t="str">
        <f>"JUNIOR CARPET CONSTRUCTION LLC"</f>
        <v>JUNIOR CARPET CONSTRUCTION LLC</v>
      </c>
      <c r="C6523" s="1" t="str">
        <f>"BOLTON AVE BARNETT HTS AMD LOT 97"</f>
        <v>BOLTON AVE BARNETT HTS AMD LOT 97</v>
      </c>
      <c r="D6523" s="1">
        <v>906.51</v>
      </c>
    </row>
    <row r="6524" spans="1:4" x14ac:dyDescent="0.3">
      <c r="A6524" s="1" t="str">
        <f>"18400272900"</f>
        <v>18400272900</v>
      </c>
      <c r="B6524" s="1" t="str">
        <f>"JUNIPER DANA"</f>
        <v>JUNIPER DANA</v>
      </c>
      <c r="C6524" s="1" t="str">
        <f>"EAGLE RIDGE CONDOMINIUM BLDG 3 UNIT 3-B"</f>
        <v>EAGLE RIDGE CONDOMINIUM BLDG 3 UNIT 3-B</v>
      </c>
      <c r="D6524" s="1">
        <v>3916.23</v>
      </c>
    </row>
    <row r="6525" spans="1:4" x14ac:dyDescent="0.3">
      <c r="A6525" s="1" t="str">
        <f>"14000262400"</f>
        <v>14000262400</v>
      </c>
      <c r="B6525" s="1" t="str">
        <f>"JUPITER MX LLC"</f>
        <v>JUPITER MX LLC</v>
      </c>
      <c r="C6525" s="1" t="str">
        <f>"HART RD ENGARDS LOT 7 "</f>
        <v xml:space="preserve">HART RD ENGARDS LOT 7 </v>
      </c>
      <c r="D6525" s="1">
        <v>275.22000000000003</v>
      </c>
    </row>
    <row r="6526" spans="1:4" x14ac:dyDescent="0.3">
      <c r="A6526" s="1" t="str">
        <f>"19000265800"</f>
        <v>19000265800</v>
      </c>
      <c r="B6526" s="1" t="str">
        <f>"JUPITER MX LLC"</f>
        <v>JUPITER MX LLC</v>
      </c>
      <c r="C6526" s="1" t="str">
        <f>"EDDYSTONE AVE BUR-LEA 134 "</f>
        <v xml:space="preserve">EDDYSTONE AVE BUR-LEA 134 </v>
      </c>
      <c r="D6526" s="1">
        <v>266.16000000000003</v>
      </c>
    </row>
    <row r="6527" spans="1:4" x14ac:dyDescent="0.3">
      <c r="A6527" s="1" t="str">
        <f>"19000265900"</f>
        <v>19000265900</v>
      </c>
      <c r="B6527" s="1" t="str">
        <f>"JUPITER MX LLC"</f>
        <v>JUPITER MX LLC</v>
      </c>
      <c r="C6527" s="1" t="str">
        <f>"EDDYSTONE AVE BUR-LEA 135 "</f>
        <v xml:space="preserve">EDDYSTONE AVE BUR-LEA 135 </v>
      </c>
      <c r="D6527" s="1">
        <v>266.16000000000003</v>
      </c>
    </row>
    <row r="6528" spans="1:4" x14ac:dyDescent="0.3">
      <c r="A6528" s="1" t="str">
        <f>"01008719600"</f>
        <v>01008719600</v>
      </c>
      <c r="B6528" s="1" t="str">
        <f>"JURADO BRYAN ALEXANDER"</f>
        <v>JURADO BRYAN ALEXANDER</v>
      </c>
      <c r="C6528" s="1" t="str">
        <f>"WESTLAND EXT 1 31.5FT SS LOT 370&amp; 4.5FT NS LOT 371"</f>
        <v>WESTLAND EXT 1 31.5FT SS LOT 370&amp; 4.5FT NS LOT 371</v>
      </c>
      <c r="D6528" s="1">
        <v>912.67</v>
      </c>
    </row>
    <row r="6529" spans="1:4" x14ac:dyDescent="0.3">
      <c r="A6529" s="1" t="str">
        <f>"01001030500"</f>
        <v>01001030500</v>
      </c>
      <c r="B6529" s="1" t="str">
        <f>"JUST RIGHT PROPERTIES LLC"</f>
        <v>JUST RIGHT PROPERTIES LLC</v>
      </c>
      <c r="C6529" s="1" t="str">
        <f>"1810-12 BUCHER ST LINTON &amp; MCLARREN'S PARCELS PT OF LOT 28"</f>
        <v>1810-12 BUCHER ST LINTON &amp; MCLARREN'S PARCELS PT OF LOT 28</v>
      </c>
      <c r="D6529" s="1">
        <v>1551.4</v>
      </c>
    </row>
    <row r="6530" spans="1:4" x14ac:dyDescent="0.3">
      <c r="A6530" s="1" t="str">
        <f>"01000020600"</f>
        <v>01000020600</v>
      </c>
      <c r="B6530" s="1" t="str">
        <f>"JUST RIGHT PROPERTIES MANAGEMENT LLC"</f>
        <v>JUST RIGHT PROPERTIES MANAGEMENT LLC</v>
      </c>
      <c r="C6530" s="1" t="str">
        <f>"1983 PARSONS AVE 20TH CENTURY LOT 124"</f>
        <v>1983 PARSONS AVE 20TH CENTURY LOT 124</v>
      </c>
      <c r="D6530" s="1">
        <v>606.21</v>
      </c>
    </row>
    <row r="6531" spans="1:4" x14ac:dyDescent="0.3">
      <c r="A6531" s="1" t="str">
        <f>"01003005500"</f>
        <v>01003005500</v>
      </c>
      <c r="B6531" s="1" t="str">
        <f>"JUST RIGHT PROPERTIES MANAGEMENT LLC"</f>
        <v>JUST RIGHT PROPERTIES MANAGEMENT LLC</v>
      </c>
      <c r="C6531" s="1" t="str">
        <f>"89-91 REEB AVE REEB LOT 64"</f>
        <v>89-91 REEB AVE REEB LOT 64</v>
      </c>
      <c r="D6531" s="1">
        <v>1813.33</v>
      </c>
    </row>
    <row r="6532" spans="1:4" x14ac:dyDescent="0.3">
      <c r="A6532" s="1" t="str">
        <f>"01000552200"</f>
        <v>01000552200</v>
      </c>
      <c r="B6532" s="1" t="str">
        <f>"JUST RIGHT PROPERTIES MANAGEMENT LLC"</f>
        <v>JUST RIGHT PROPERTIES MANAGEMENT LLC</v>
      </c>
      <c r="C6532" s="1" t="str">
        <f>"97-99 REEB AVE REEB LOT 66"</f>
        <v>97-99 REEB AVE REEB LOT 66</v>
      </c>
      <c r="D6532" s="1">
        <v>1741.52</v>
      </c>
    </row>
    <row r="6533" spans="1:4" x14ac:dyDescent="0.3">
      <c r="A6533" s="1" t="str">
        <f>"01004738400"</f>
        <v>01004738400</v>
      </c>
      <c r="B6533" s="1" t="str">
        <f>"JUST RIGHT PROPERTIES MANAGEMENT LLC"</f>
        <v>JUST RIGHT PROPERTIES MANAGEMENT LLC</v>
      </c>
      <c r="C6533" s="1" t="str">
        <f>"1132-134 PARSON AVE KLEINS 84.71'WS LOT 42"</f>
        <v>1132-134 PARSON AVE KLEINS 84.71'WS LOT 42</v>
      </c>
      <c r="D6533" s="1">
        <v>1619.89</v>
      </c>
    </row>
    <row r="6534" spans="1:4" x14ac:dyDescent="0.3">
      <c r="A6534" s="1" t="str">
        <f>"01001240900"</f>
        <v>01001240900</v>
      </c>
      <c r="B6534" s="1" t="str">
        <f>"JUST RIGHT PROPERTIES MANAGEMENT LLC"</f>
        <v>JUST RIGHT PROPERTIES MANAGEMENT LLC</v>
      </c>
      <c r="C6534" s="1" t="str">
        <f>"1152-4 PARSONS AVE DOTTERS PARSONS AVE LOT 9"</f>
        <v>1152-4 PARSONS AVE DOTTERS PARSONS AVE LOT 9</v>
      </c>
      <c r="D6534" s="1">
        <v>1831.87</v>
      </c>
    </row>
    <row r="6535" spans="1:4" x14ac:dyDescent="0.3">
      <c r="A6535" s="1" t="str">
        <f>"01004749700"</f>
        <v>01004749700</v>
      </c>
      <c r="B6535" s="1" t="str">
        <f>"JUST RIGHT PROPERTIES MANAGEMENT LLC"</f>
        <v>JUST RIGHT PROPERTIES MANAGEMENT LLC</v>
      </c>
      <c r="C6535" s="1" t="str">
        <f>"1146 PARSONS AVE DOTTERS PARSONS AVE 33.8'SE LOT 10"</f>
        <v>1146 PARSONS AVE DOTTERS PARSONS AVE 33.8'SE LOT 10</v>
      </c>
      <c r="D6535" s="1">
        <v>1940.76</v>
      </c>
    </row>
    <row r="6536" spans="1:4" x14ac:dyDescent="0.3">
      <c r="A6536" s="1" t="str">
        <f>"01000962100"</f>
        <v>01000962100</v>
      </c>
      <c r="B6536" s="1" t="str">
        <f>"JUST RIGHT PROPERTIES MANAGEMENT LLC"</f>
        <v>JUST RIGHT PROPERTIES MANAGEMENT LLC</v>
      </c>
      <c r="C6536" s="1" t="str">
        <f>"1827 S 5TH ST LINTON &amp; MCLARREN'S PARCELS PT OF LOT 38"</f>
        <v>1827 S 5TH ST LINTON &amp; MCLARREN'S PARCELS PT OF LOT 38</v>
      </c>
      <c r="D6536" s="1">
        <v>2368.81</v>
      </c>
    </row>
    <row r="6537" spans="1:4" x14ac:dyDescent="0.3">
      <c r="A6537" s="1" t="str">
        <f>"01001835500"</f>
        <v>01001835500</v>
      </c>
      <c r="B6537" s="1" t="str">
        <f>"JUST RIGHT PROPERTIES MANAGEMENT LLC"</f>
        <v>JUST RIGHT PROPERTIES MANAGEMENT LLC</v>
      </c>
      <c r="C6537" s="1" t="str">
        <f>"1876 SO 4TH ST 25 FT S E OF L B TUSSING"</f>
        <v>1876 SO 4TH ST 25 FT S E OF L B TUSSING</v>
      </c>
      <c r="D6537" s="1">
        <v>1298.18</v>
      </c>
    </row>
    <row r="6538" spans="1:4" x14ac:dyDescent="0.3">
      <c r="A6538" s="1" t="str">
        <f>"01002326200"</f>
        <v>01002326200</v>
      </c>
      <c r="B6538" s="1" t="str">
        <f>"JUST RIGHT PROPERTIES MANAGEMENT LLC"</f>
        <v>JUST RIGHT PROPERTIES MANAGEMENT LLC</v>
      </c>
      <c r="C6538" s="1" t="str">
        <f>"BUCHER ST LINTON &amp; MCLARREN'S TRACT     PT LOT 33"</f>
        <v>BUCHER ST LINTON &amp; MCLARREN'S TRACT     PT LOT 33</v>
      </c>
      <c r="D6538" s="1">
        <v>412.37</v>
      </c>
    </row>
    <row r="6539" spans="1:4" x14ac:dyDescent="0.3">
      <c r="A6539" s="1" t="str">
        <f>"01000774100"</f>
        <v>01000774100</v>
      </c>
      <c r="B6539" s="1" t="str">
        <f>"JUST RIGHT PROPERTIES MANAGEMENT LLC"</f>
        <v>JUST RIGHT PROPERTIES MANAGEMENT LLC</v>
      </c>
      <c r="C6539" s="1" t="str">
        <f>"1156-60 PARSONS AVE DOTTERS PARSONS AVE SUB    LOT 8"</f>
        <v>1156-60 PARSONS AVE DOTTERS PARSONS AVE SUB    LOT 8</v>
      </c>
      <c r="D6539" s="1">
        <v>658.19</v>
      </c>
    </row>
    <row r="6540" spans="1:4" x14ac:dyDescent="0.3">
      <c r="A6540" s="1" t="str">
        <f>"14000157800"</f>
        <v>14000157800</v>
      </c>
      <c r="B6540" s="1" t="str">
        <f>"JUSTICE ELWIN"</f>
        <v>JUSTICE ELWIN</v>
      </c>
      <c r="C6540" s="1" t="str">
        <f>"2135 FRANK RD JONES FARM PARC PLAT .978 ACRES LOT 5"</f>
        <v>2135 FRANK RD JONES FARM PARC PLAT .978 ACRES LOT 5</v>
      </c>
      <c r="D6540" s="1">
        <v>1190.02</v>
      </c>
    </row>
    <row r="6541" spans="1:4" x14ac:dyDescent="0.3">
      <c r="A6541" s="1" t="str">
        <f>"01006777400"</f>
        <v>01006777400</v>
      </c>
      <c r="B6541" s="1" t="str">
        <f>"JUSTICE ELWIN R"</f>
        <v>JUSTICE ELWIN R</v>
      </c>
      <c r="C6541" s="1" t="str">
        <f>"HILLTONIA LOT 126 "</f>
        <v xml:space="preserve">HILLTONIA LOT 126 </v>
      </c>
      <c r="D6541" s="1">
        <v>1504.76</v>
      </c>
    </row>
    <row r="6542" spans="1:4" x14ac:dyDescent="0.3">
      <c r="A6542" s="1" t="str">
        <f>"18100034400"</f>
        <v>18100034400</v>
      </c>
      <c r="B6542" s="1" t="str">
        <f>"JUSTICE JANELLE A"</f>
        <v>JUSTICE JANELLE A</v>
      </c>
      <c r="C6542" s="1" t="str">
        <f>"GENDER RD R21 T11 S25 0.712 ACRE"</f>
        <v>GENDER RD R21 T11 S25 0.712 ACRE</v>
      </c>
      <c r="D6542" s="1">
        <v>306.14</v>
      </c>
    </row>
    <row r="6543" spans="1:4" x14ac:dyDescent="0.3">
      <c r="A6543" s="1" t="str">
        <f>"01005285800"</f>
        <v>01005285800</v>
      </c>
      <c r="B6543" s="1" t="str">
        <f>"JUSTICE LISA D"</f>
        <v>JUSTICE LISA D</v>
      </c>
      <c r="C6543" s="1" t="str">
        <f>"890 THOMAS AVE OSBORN PLC LOT 335"</f>
        <v>890 THOMAS AVE OSBORN PLC LOT 335</v>
      </c>
      <c r="D6543" s="1">
        <v>2919.08</v>
      </c>
    </row>
    <row r="6544" spans="1:4" x14ac:dyDescent="0.3">
      <c r="A6544" s="1" t="str">
        <f>"07001302300"</f>
        <v>07001302300</v>
      </c>
      <c r="B6544" s="1" t="str">
        <f>"JUVINALL ASHLEY N"</f>
        <v>JUVINALL ASHLEY N</v>
      </c>
      <c r="C6544" s="1" t="str">
        <f>"CARRIAGE HILL COND UNIT 1526-B TYPE T "</f>
        <v xml:space="preserve">CARRIAGE HILL COND UNIT 1526-B TYPE T </v>
      </c>
      <c r="D6544" s="1">
        <v>129.61000000000001</v>
      </c>
    </row>
    <row r="6545" spans="1:4" x14ac:dyDescent="0.3">
      <c r="A6545" s="1" t="str">
        <f>"57019391000"</f>
        <v>57019391000</v>
      </c>
      <c r="B6545" s="1" t="str">
        <f>"JVR PROPERTY SOLUTIONS LLC"</f>
        <v>JVR PROPERTY SOLUTIONS LLC</v>
      </c>
      <c r="C6545" s="1" t="str">
        <f>"W OF LAZAAR RD S OF DYER RD .145AC ENTRY 4641"</f>
        <v>W OF LAZAAR RD S OF DYER RD .145AC ENTRY 4641</v>
      </c>
      <c r="D6545" s="1">
        <v>699.41</v>
      </c>
    </row>
    <row r="6546" spans="1:4" x14ac:dyDescent="0.3">
      <c r="A6546" s="1" t="str">
        <f>"16000154200"</f>
        <v>16000154200</v>
      </c>
      <c r="B6546" s="1" t="str">
        <f>"JWK PROPERTIES LLC"</f>
        <v>JWK PROPERTIES LLC</v>
      </c>
      <c r="C6546" s="1" t="str">
        <f>"DEMOREST RD UNROE HEIGHTS LOT 3"</f>
        <v>DEMOREST RD UNROE HEIGHTS LOT 3</v>
      </c>
      <c r="D6546" s="1">
        <v>2546.1</v>
      </c>
    </row>
    <row r="6547" spans="1:4" x14ac:dyDescent="0.3">
      <c r="A6547" s="1" t="str">
        <f>"01009581900"</f>
        <v>01009581900</v>
      </c>
      <c r="B6547" s="1" t="str">
        <f>"JWK PROPERTIES LLC"</f>
        <v>JWK PROPERTIES LLC</v>
      </c>
      <c r="C6547" s="1" t="str">
        <f>"JAMES RD AMD E HAMPTON ADD LOT 19A"</f>
        <v>JAMES RD AMD E HAMPTON ADD LOT 19A</v>
      </c>
      <c r="D6547" s="1">
        <v>259.41000000000003</v>
      </c>
    </row>
    <row r="6548" spans="1:4" x14ac:dyDescent="0.3">
      <c r="A6548" s="1" t="str">
        <f>"01009582100"</f>
        <v>01009582100</v>
      </c>
      <c r="B6548" s="1" t="str">
        <f>"JWK PROPERTIES LLC"</f>
        <v>JWK PROPERTIES LLC</v>
      </c>
      <c r="C6548" s="1" t="str">
        <f>"JAMES RD AMD E HAMPTON ADD RES A"</f>
        <v>JAMES RD AMD E HAMPTON ADD RES A</v>
      </c>
      <c r="D6548" s="1">
        <v>1213.3599999999999</v>
      </c>
    </row>
    <row r="6549" spans="1:4" x14ac:dyDescent="0.3">
      <c r="A6549" s="1" t="str">
        <f>"01011883100"</f>
        <v>01011883100</v>
      </c>
      <c r="B6549" s="1" t="str">
        <f>"JWK PROPERTIES LLC"</f>
        <v>JWK PROPERTIES LLC</v>
      </c>
      <c r="C6549" s="1" t="str">
        <f>"SUNSHINE DR CATALPA PARK 2 LOT 117"</f>
        <v>SUNSHINE DR CATALPA PARK 2 LOT 117</v>
      </c>
      <c r="D6549" s="1">
        <v>17.7</v>
      </c>
    </row>
    <row r="6550" spans="1:4" x14ac:dyDescent="0.3">
      <c r="A6550" s="1" t="str">
        <f>"01011883200"</f>
        <v>01011883200</v>
      </c>
      <c r="B6550" s="1" t="str">
        <f>"JWK PROPERTIES LLC"</f>
        <v>JWK PROPERTIES LLC</v>
      </c>
      <c r="C6550" s="1" t="str">
        <f>"CATALPA PARK 2 LOT 118 "</f>
        <v xml:space="preserve">CATALPA PARK 2 LOT 118 </v>
      </c>
      <c r="D6550" s="1">
        <v>17.7</v>
      </c>
    </row>
    <row r="6551" spans="1:4" x14ac:dyDescent="0.3">
      <c r="A6551" s="1" t="str">
        <f>"01011883300"</f>
        <v>01011883300</v>
      </c>
      <c r="B6551" s="1" t="str">
        <f>"JWK PROPERTIES LLC"</f>
        <v>JWK PROPERTIES LLC</v>
      </c>
      <c r="C6551" s="1" t="str">
        <f>"BURT RD CATALPA PARK 2 LOT 119"</f>
        <v>BURT RD CATALPA PARK 2 LOT 119</v>
      </c>
      <c r="D6551" s="1">
        <v>15.93</v>
      </c>
    </row>
    <row r="6552" spans="1:4" x14ac:dyDescent="0.3">
      <c r="A6552" s="1" t="str">
        <f>"01006404100"</f>
        <v>01006404100</v>
      </c>
      <c r="B6552" s="1" t="str">
        <f>"K &amp; T CLEANERS LLC"</f>
        <v>K &amp; T CLEANERS LLC</v>
      </c>
      <c r="C6552" s="1" t="str">
        <f>"2881 W BROAD ST BROADVIEW  LOTS 1-2 BLK 1 CAMP CHASE HTS  20.65'WS LOT 1"</f>
        <v>2881 W BROAD ST BROADVIEW  LOTS 1-2 BLK 1 CAMP CHASE HTS  20.65'WS LOT 1</v>
      </c>
      <c r="D6552" s="1">
        <v>270.44</v>
      </c>
    </row>
    <row r="6553" spans="1:4" x14ac:dyDescent="0.3">
      <c r="A6553" s="1" t="str">
        <f>"60018647000"</f>
        <v>60018647000</v>
      </c>
      <c r="B6553" s="1" t="str">
        <f>"K4K LLC"</f>
        <v>K4K LLC</v>
      </c>
      <c r="C6553" s="1" t="str">
        <f>"SUNBURY RD R17 T2 1/4T3-4 0.092 ACRE"</f>
        <v>SUNBURY RD R17 T2 1/4T3-4 0.092 ACRE</v>
      </c>
      <c r="D6553" s="1">
        <v>113.8</v>
      </c>
    </row>
    <row r="6554" spans="1:4" x14ac:dyDescent="0.3">
      <c r="A6554" s="1" t="str">
        <f>"01000618300"</f>
        <v>01000618300</v>
      </c>
      <c r="B6554" s="1" t="str">
        <f>"KAAM INVESTMENT LLC"</f>
        <v>KAAM INVESTMENT LLC</v>
      </c>
      <c r="C6554" s="1" t="str">
        <f>"1662-66 SUMMIT ST DENNISON SUMMIT LOTS 11 &amp; 12"</f>
        <v>1662-66 SUMMIT ST DENNISON SUMMIT LOTS 11 &amp; 12</v>
      </c>
      <c r="D6554" s="1">
        <v>20186.05</v>
      </c>
    </row>
    <row r="6555" spans="1:4" x14ac:dyDescent="0.3">
      <c r="A6555" s="1" t="str">
        <f>"05001192400"</f>
        <v>05001192400</v>
      </c>
      <c r="B6555" s="1" t="str">
        <f>"KABBAZ MARY ANN"</f>
        <v>KABBAZ MARY ANN</v>
      </c>
      <c r="C6555" s="1" t="str">
        <f>"THE COURTYARDS AT CARR FARMS SECTION 3 LOT 74"</f>
        <v>THE COURTYARDS AT CARR FARMS SECTION 3 LOT 74</v>
      </c>
      <c r="D6555" s="1">
        <v>143.13999999999999</v>
      </c>
    </row>
    <row r="6556" spans="1:4" x14ac:dyDescent="0.3">
      <c r="A6556" s="1" t="str">
        <f>"01007421300"</f>
        <v>01007421300</v>
      </c>
      <c r="B6556" s="1" t="str">
        <f>"KADAKIA RUPALEE M"</f>
        <v>KADAKIA RUPALEE M</v>
      </c>
      <c r="C6556" s="1" t="str">
        <f>"AZELDA AVE ALMADA LOT 421"</f>
        <v>AZELDA AVE ALMADA LOT 421</v>
      </c>
      <c r="D6556" s="1">
        <v>1725.06</v>
      </c>
    </row>
    <row r="6557" spans="1:4" x14ac:dyDescent="0.3">
      <c r="A6557" s="1" t="str">
        <f>"61017412300"</f>
        <v>61017412300</v>
      </c>
      <c r="B6557" s="1" t="str">
        <f>"KADING DANIEL J, KADING BECKY S"</f>
        <v>KADING DANIEL J, KADING BECKY S</v>
      </c>
      <c r="C6557" s="1" t="str">
        <f>"RAVINE RIDGE DR OLENTANGY HIGHLANDS SEC 5 PH 1   LOT 330"</f>
        <v>RAVINE RIDGE DR OLENTANGY HIGHLANDS SEC 5 PH 1   LOT 330</v>
      </c>
      <c r="D6557" s="1">
        <v>531.41999999999996</v>
      </c>
    </row>
    <row r="6558" spans="1:4" x14ac:dyDescent="0.3">
      <c r="A6558" s="1" t="str">
        <f>"14800066300"</f>
        <v>14800066300</v>
      </c>
      <c r="B6558" s="1" t="str">
        <f>"KAEBEL GEORGE S, KAEBEL MARY L"</f>
        <v>KAEBEL GEORGE S, KAEBEL MARY L</v>
      </c>
      <c r="C6558" s="1" t="str">
        <f>"2721 ELLIOT AVE VALLEYVIEW 65"</f>
        <v>2721 ELLIOT AVE VALLEYVIEW 65</v>
      </c>
      <c r="D6558" s="1">
        <v>1573.63</v>
      </c>
    </row>
    <row r="6559" spans="1:4" x14ac:dyDescent="0.3">
      <c r="A6559" s="1" t="str">
        <f>"59028178700"</f>
        <v>59028178700</v>
      </c>
      <c r="B6559" s="1" t="str">
        <f>"KAEDING PROPERTIES LLC"</f>
        <v>KAEDING PROPERTIES LLC</v>
      </c>
      <c r="C6559" s="1" t="str">
        <f>"GREYSTONE MANOR CONDOMINIUM UNIT GD2750-A"</f>
        <v>GREYSTONE MANOR CONDOMINIUM UNIT GD2750-A</v>
      </c>
      <c r="D6559" s="1">
        <v>1572.47</v>
      </c>
    </row>
    <row r="6560" spans="1:4" x14ac:dyDescent="0.3">
      <c r="A6560" s="1" t="str">
        <f>"59028171500"</f>
        <v>59028171500</v>
      </c>
      <c r="B6560" s="1" t="str">
        <f>"KAEDING PROPERTIES LLC"</f>
        <v>KAEDING PROPERTIES LLC</v>
      </c>
      <c r="C6560" s="1" t="str">
        <f>"GREYSTONE MANOR CONDOMINIUM UNIT SA5315-B"</f>
        <v>GREYSTONE MANOR CONDOMINIUM UNIT SA5315-B</v>
      </c>
      <c r="D6560" s="1">
        <v>1176.79</v>
      </c>
    </row>
    <row r="6561" spans="1:4" x14ac:dyDescent="0.3">
      <c r="A6561" s="1" t="str">
        <f>"59028179700"</f>
        <v>59028179700</v>
      </c>
      <c r="B6561" s="1" t="str">
        <f>"KAEDING PROPERTIES LLC"</f>
        <v>KAEDING PROPERTIES LLC</v>
      </c>
      <c r="C6561" s="1" t="str">
        <f>"GREYSTONE MANOR CONDOMINIUM UNIT DR5322-A"</f>
        <v>GREYSTONE MANOR CONDOMINIUM UNIT DR5322-A</v>
      </c>
      <c r="D6561" s="1">
        <v>1572.47</v>
      </c>
    </row>
    <row r="6562" spans="1:4" x14ac:dyDescent="0.3">
      <c r="A6562" s="1" t="str">
        <f>"59028180800"</f>
        <v>59028180800</v>
      </c>
      <c r="B6562" s="1" t="str">
        <f>"KAEDING PROPERTIES LLC"</f>
        <v>KAEDING PROPERTIES LLC</v>
      </c>
      <c r="C6562" s="1" t="str">
        <f>"GREYSTONE MANOR CONDOMINIUM UNIT GD2727-D"</f>
        <v>GREYSTONE MANOR CONDOMINIUM UNIT GD2727-D</v>
      </c>
      <c r="D6562" s="1">
        <v>1572.47</v>
      </c>
    </row>
    <row r="6563" spans="1:4" x14ac:dyDescent="0.3">
      <c r="A6563" s="1" t="str">
        <f>"01010057200"</f>
        <v>01010057200</v>
      </c>
      <c r="B6563" s="1" t="str">
        <f>"KAETHOW KLAUS H, KAETHOW FRANCES E"</f>
        <v>KAETHOW KLAUS H, KAETHOW FRANCES E</v>
      </c>
      <c r="C6563" s="1" t="str">
        <f>"ELDERWOOD AVE LIVINGSTONGARDENS LOT 5"</f>
        <v>ELDERWOOD AVE LIVINGSTONGARDENS LOT 5</v>
      </c>
      <c r="D6563" s="1">
        <v>1470.01</v>
      </c>
    </row>
    <row r="6564" spans="1:4" x14ac:dyDescent="0.3">
      <c r="A6564" s="1" t="str">
        <f>"01015814100"</f>
        <v>01015814100</v>
      </c>
      <c r="B6564" s="1" t="str">
        <f>"KAHENYA ANNIE, KAHENYA ELIZABETH W"</f>
        <v>KAHENYA ANNIE, KAHENYA ELIZABETH W</v>
      </c>
      <c r="C6564" s="1" t="str">
        <f>"AQUA ST GRANVILLE PARK NO 2 LOT 71"</f>
        <v>AQUA ST GRANVILLE PARK NO 2 LOT 71</v>
      </c>
      <c r="D6564" s="1">
        <v>58.3</v>
      </c>
    </row>
    <row r="6565" spans="1:4" x14ac:dyDescent="0.3">
      <c r="A6565" s="1" t="str">
        <f>"01004842400"</f>
        <v>01004842400</v>
      </c>
      <c r="B6565" s="1" t="str">
        <f>"KAHLER BRANDON MICHAEL"</f>
        <v>KAHLER BRANDON MICHAEL</v>
      </c>
      <c r="C6565" s="1" t="str">
        <f>"15TH AVE DREXEL PARK LOT 166"</f>
        <v>15TH AVE DREXEL PARK LOT 166</v>
      </c>
      <c r="D6565" s="1">
        <v>5788.03</v>
      </c>
    </row>
    <row r="6566" spans="1:4" x14ac:dyDescent="0.3">
      <c r="A6566" s="1" t="str">
        <f>"05000660000"</f>
        <v>05000660000</v>
      </c>
      <c r="B6566" s="1" t="str">
        <f>"KAHLOUT ASAAD R, ALMALKI AL-JEHANI DANA MOHD A"</f>
        <v>KAHLOUT ASAAD R, ALMALKI AL-JEHANI DANA MOHD A</v>
      </c>
      <c r="C6566" s="1" t="str">
        <f>"0000 AMERINE LANE RIVER CROSSING LOT 28"</f>
        <v>0000 AMERINE LANE RIVER CROSSING LOT 28</v>
      </c>
      <c r="D6566" s="1">
        <v>5432.66</v>
      </c>
    </row>
    <row r="6567" spans="1:4" x14ac:dyDescent="0.3">
      <c r="A6567" s="1" t="str">
        <f>"01009439900"</f>
        <v>01009439900</v>
      </c>
      <c r="B6567" s="1" t="str">
        <f>"KAHNS ASMUT A, KAHNS INGE"</f>
        <v>KAHNS ASMUT A, KAHNS INGE</v>
      </c>
      <c r="C6567" s="1" t="str">
        <f>"VILLAGE DR INDIAN SPRINGS VILL LOT 9-10 BLK E-F-G"</f>
        <v>VILLAGE DR INDIAN SPRINGS VILL LOT 9-10 BLK E-F-G</v>
      </c>
      <c r="D6567" s="1">
        <v>183.34</v>
      </c>
    </row>
    <row r="6568" spans="1:4" x14ac:dyDescent="0.3">
      <c r="A6568" s="1" t="str">
        <f>"57017425900"</f>
        <v>57017425900</v>
      </c>
      <c r="B6568" s="1" t="str">
        <f>"KAISER J TR"</f>
        <v>KAISER J TR</v>
      </c>
      <c r="C6568" s="1" t="str">
        <f>"ARALIA CT LAUREL GREENE S4 PH1 LOT 461"</f>
        <v>ARALIA CT LAUREL GREENE S4 PH1 LOT 461</v>
      </c>
      <c r="D6568" s="1">
        <v>115.49</v>
      </c>
    </row>
    <row r="6569" spans="1:4" x14ac:dyDescent="0.3">
      <c r="A6569" s="1" t="str">
        <f>"10000575200"</f>
        <v>10000575200</v>
      </c>
      <c r="B6569" s="1" t="str">
        <f>"KALBFLEISCH PATRICIA C"</f>
        <v>KALBFLEISCH PATRICIA C</v>
      </c>
      <c r="C6569" s="1" t="str">
        <f>"2376 COLLINS DR POTTERS CREEK SEC 2 LOT 40"</f>
        <v>2376 COLLINS DR POTTERS CREEK SEC 2 LOT 40</v>
      </c>
      <c r="D6569" s="1">
        <v>7805.5</v>
      </c>
    </row>
    <row r="6570" spans="1:4" x14ac:dyDescent="0.3">
      <c r="A6570" s="1" t="str">
        <f>"01004526200"</f>
        <v>01004526200</v>
      </c>
      <c r="B6570" s="1" t="str">
        <f>"KALI ALISHA"</f>
        <v>KALI ALISHA</v>
      </c>
      <c r="C6570" s="1" t="str">
        <f>"939-941 HEYL AVE ALL OF 179&amp;10FT NS L178 BLEILE LOT 179-178"</f>
        <v>939-941 HEYL AVE ALL OF 179&amp;10FT NS L178 BLEILE LOT 179-178</v>
      </c>
      <c r="D6570" s="1">
        <v>4092.75</v>
      </c>
    </row>
    <row r="6571" spans="1:4" x14ac:dyDescent="0.3">
      <c r="A6571" s="1" t="str">
        <f>"01015289700"</f>
        <v>01015289700</v>
      </c>
      <c r="B6571" s="1" t="str">
        <f>"KALMOYE SHARIF A, ALI JAMILA I"</f>
        <v>KALMOYE SHARIF A, ALI JAMILA I</v>
      </c>
      <c r="C6571" s="1" t="str">
        <f>"BRITTANY COURT E NORTHLAND PARK SEC 5 LOT 305"</f>
        <v>BRITTANY COURT E NORTHLAND PARK SEC 5 LOT 305</v>
      </c>
      <c r="D6571" s="1">
        <v>2202.92</v>
      </c>
    </row>
    <row r="6572" spans="1:4" x14ac:dyDescent="0.3">
      <c r="A6572" s="1" t="str">
        <f>"52026847400"</f>
        <v>52026847400</v>
      </c>
      <c r="B6572" s="1" t="str">
        <f>"KALOKOH THERESAHAKIM"</f>
        <v>KALOKOH THERESAHAKIM</v>
      </c>
      <c r="C6572" s="1" t="str">
        <f>"ONYXBLUFF LANE STONEHILL SECTION 1 PART 1 LOT 67"</f>
        <v>ONYXBLUFF LANE STONEHILL SECTION 1 PART 1 LOT 67</v>
      </c>
      <c r="D6572" s="1">
        <v>3204.39</v>
      </c>
    </row>
    <row r="6573" spans="1:4" x14ac:dyDescent="0.3">
      <c r="A6573" s="1" t="str">
        <f>"54526731500"</f>
        <v>54526731500</v>
      </c>
      <c r="B6573" s="1" t="str">
        <f>"KALSOOM MAMOONA, ULLAH SHAH SYED KASHIF"</f>
        <v>KALSOOM MAMOONA, ULLAH SHAH SYED KASHIF</v>
      </c>
      <c r="C6573" s="1" t="str">
        <f>"PAINTED LEAF DRIVE THE PRESERVE SECTION 7 PART 1 LOT 356"</f>
        <v>PAINTED LEAF DRIVE THE PRESERVE SECTION 7 PART 1 LOT 356</v>
      </c>
      <c r="D6573" s="1">
        <v>3683.24</v>
      </c>
    </row>
    <row r="6574" spans="1:4" x14ac:dyDescent="0.3">
      <c r="A6574" s="1" t="str">
        <f>"01010263300"</f>
        <v>01010263300</v>
      </c>
      <c r="B6574" s="1" t="str">
        <f>"KAMARA AMINA"</f>
        <v>KAMARA AMINA</v>
      </c>
      <c r="C6574" s="1" t="str">
        <f>"BELCHER DR BEAUMONT LOT 36"</f>
        <v>BELCHER DR BEAUMONT LOT 36</v>
      </c>
      <c r="D6574" s="1">
        <v>2714.88</v>
      </c>
    </row>
    <row r="6575" spans="1:4" x14ac:dyDescent="0.3">
      <c r="A6575" s="1" t="str">
        <f>"01026488400"</f>
        <v>01026488400</v>
      </c>
      <c r="B6575" s="1" t="str">
        <f>"KAMARA FELICIA J"</f>
        <v>KAMARA FELICIA J</v>
      </c>
      <c r="C6575" s="1" t="str">
        <f>"MOUZON DRIVE CHATTERTON EAST SECTION 2 LOT 76"</f>
        <v>MOUZON DRIVE CHATTERTON EAST SECTION 2 LOT 76</v>
      </c>
      <c r="D6575" s="1">
        <v>2439.62</v>
      </c>
    </row>
    <row r="6576" spans="1:4" x14ac:dyDescent="0.3">
      <c r="A6576" s="1" t="str">
        <f>"01007660400"</f>
        <v>01007660400</v>
      </c>
      <c r="B6576" s="1" t="str">
        <f>"KAMARI ENTERPRISES LLC"</f>
        <v>KAMARI ENTERPRISES LLC</v>
      </c>
      <c r="C6576" s="1" t="str">
        <f>"SYCAMORE ST LIV WHITTIER GDNS LOT 364"</f>
        <v>SYCAMORE ST LIV WHITTIER GDNS LOT 364</v>
      </c>
      <c r="D6576" s="1">
        <v>2050.17</v>
      </c>
    </row>
    <row r="6577" spans="1:4" x14ac:dyDescent="0.3">
      <c r="A6577" s="1" t="str">
        <f>"01015223500"</f>
        <v>01015223500</v>
      </c>
      <c r="B6577" s="1" t="str">
        <f>"KAMER STEVEN J"</f>
        <v>KAMER STEVEN J</v>
      </c>
      <c r="C6577" s="1" t="str">
        <f>"HARDESTY VILLAGE CONDOMINIUM O UNIT O-2"</f>
        <v>HARDESTY VILLAGE CONDOMINIUM O UNIT O-2</v>
      </c>
      <c r="D6577" s="1">
        <v>2407.9699999999998</v>
      </c>
    </row>
    <row r="6578" spans="1:4" x14ac:dyDescent="0.3">
      <c r="A6578" s="1" t="str">
        <f>"01009653400"</f>
        <v>01009653400</v>
      </c>
      <c r="B6578" s="1" t="str">
        <f>"KAMI GA KONOMIMASU LLC"</f>
        <v>KAMI GA KONOMIMASU LLC</v>
      </c>
      <c r="C6578" s="1" t="str">
        <f>"26TH AVE HAMILTON SCHOOL LOT 54"</f>
        <v>26TH AVE HAMILTON SCHOOL LOT 54</v>
      </c>
      <c r="D6578" s="1">
        <v>756.73</v>
      </c>
    </row>
    <row r="6579" spans="1:4" x14ac:dyDescent="0.3">
      <c r="A6579" s="1" t="str">
        <f>"54099733500"</f>
        <v>54099733500</v>
      </c>
      <c r="B6579" s="1" t="str">
        <f>"KANAWHA RIVER RAILROAD"</f>
        <v>KANAWHA RIVER RAILROAD</v>
      </c>
      <c r="C6579" s="1" t="str">
        <f>"RAILROAD COMPANY PUBLIC UTILITY REAL PROPERTY"</f>
        <v>RAILROAD COMPANY PUBLIC UTILITY REAL PROPERTY</v>
      </c>
      <c r="D6579" s="1">
        <v>82.21</v>
      </c>
    </row>
    <row r="6580" spans="1:4" x14ac:dyDescent="0.3">
      <c r="A6580" s="1" t="str">
        <f>"53099733500"</f>
        <v>53099733500</v>
      </c>
      <c r="B6580" s="1" t="str">
        <f>"KANAWHA RIVER RAILROAD"</f>
        <v>KANAWHA RIVER RAILROAD</v>
      </c>
      <c r="C6580" s="1" t="str">
        <f>"RAILROAD PUBLIC UTILITY REAL PROPERTY"</f>
        <v>RAILROAD PUBLIC UTILITY REAL PROPERTY</v>
      </c>
      <c r="D6580" s="1">
        <v>109.58</v>
      </c>
    </row>
    <row r="6581" spans="1:4" x14ac:dyDescent="0.3">
      <c r="A6581" s="1" t="str">
        <f>"18799733500"</f>
        <v>18799733500</v>
      </c>
      <c r="B6581" s="1" t="str">
        <f>"KANAWHA RIVER RAILROAD"</f>
        <v>KANAWHA RIVER RAILROAD</v>
      </c>
      <c r="C6581" s="1" t="str">
        <f>"RAILROAD COMPANY PUBLIC UTILITY REAL PROPERTY"</f>
        <v>RAILROAD COMPANY PUBLIC UTILITY REAL PROPERTY</v>
      </c>
      <c r="D6581" s="1">
        <v>105.82</v>
      </c>
    </row>
    <row r="6582" spans="1:4" x14ac:dyDescent="0.3">
      <c r="A6582" s="1" t="str">
        <f>"01022214100"</f>
        <v>01022214100</v>
      </c>
      <c r="B6582" s="1" t="str">
        <f>"KANE HAMIDINE"</f>
        <v>KANE HAMIDINE</v>
      </c>
      <c r="C6582" s="1" t="str">
        <f>"BARROWS RD WALNUT VIEW SEC 1 LOT 86"</f>
        <v>BARROWS RD WALNUT VIEW SEC 1 LOT 86</v>
      </c>
      <c r="D6582" s="1">
        <v>2040.25</v>
      </c>
    </row>
    <row r="6583" spans="1:4" x14ac:dyDescent="0.3">
      <c r="A6583" s="1" t="str">
        <f>"01004163100"</f>
        <v>01004163100</v>
      </c>
      <c r="B6583" s="1" t="str">
        <f>"KANIA CHRISTOPHER"</f>
        <v>KANIA CHRISTOPHER</v>
      </c>
      <c r="C6583" s="1" t="str">
        <f>"CORNELLS LOT 59 "</f>
        <v xml:space="preserve">CORNELLS LOT 59 </v>
      </c>
      <c r="D6583" s="1">
        <v>270.20999999999998</v>
      </c>
    </row>
    <row r="6584" spans="1:4" x14ac:dyDescent="0.3">
      <c r="A6584" s="1" t="str">
        <f>"18400227800"</f>
        <v>18400227800</v>
      </c>
      <c r="B6584" s="1" t="str">
        <f>"KANIPE WILLIAM J, KANIPE BARBARA B"</f>
        <v>KANIPE WILLIAM J, KANIPE BARBARA B</v>
      </c>
      <c r="C6584" s="1" t="str">
        <f>"GREENSVIEW VILLAGE CONDOMINIUM 2ND AMD BLDG 9 UNIT 6984"</f>
        <v>GREENSVIEW VILLAGE CONDOMINIUM 2ND AMD BLDG 9 UNIT 6984</v>
      </c>
      <c r="D6584" s="1">
        <v>2940.98</v>
      </c>
    </row>
    <row r="6585" spans="1:4" x14ac:dyDescent="0.3">
      <c r="A6585" s="1" t="str">
        <f>"04000188100"</f>
        <v>04000188100</v>
      </c>
      <c r="B6585" s="1" t="str">
        <f>"KANNEY SHERRILL A"</f>
        <v>KANNEY SHERRILL A</v>
      </c>
      <c r="C6585" s="1" t="str">
        <f>"2961 WENDY LN JACKSON HOMES 121 "</f>
        <v xml:space="preserve">2961 WENDY LN JACKSON HOMES 121 </v>
      </c>
      <c r="D6585" s="1">
        <v>1980.89</v>
      </c>
    </row>
    <row r="6586" spans="1:4" x14ac:dyDescent="0.3">
      <c r="A6586" s="1" t="str">
        <f>"01023610800"</f>
        <v>01023610800</v>
      </c>
      <c r="B6586" s="1" t="str">
        <f>"KANOY BENJAMIN CHARLES, KANOY BRENDA JOANNE"</f>
        <v>KANOY BENJAMIN CHARLES, KANOY BRENDA JOANNE</v>
      </c>
      <c r="C6586" s="1" t="str">
        <f>"AUGUSTA GLEN DRIVE LINWORTH VILLAGE SECTION 2 LOT 18"</f>
        <v>AUGUSTA GLEN DRIVE LINWORTH VILLAGE SECTION 2 LOT 18</v>
      </c>
      <c r="D6586" s="1">
        <v>408.27</v>
      </c>
    </row>
    <row r="6587" spans="1:4" x14ac:dyDescent="0.3">
      <c r="A6587" s="1" t="str">
        <f>"18000384800"</f>
        <v>18000384800</v>
      </c>
      <c r="B6587" s="1" t="str">
        <f>"KANTNER DAVID A"</f>
        <v>KANTNER DAVID A</v>
      </c>
      <c r="C6587" s="1" t="str">
        <f>"BRAUN RD 3.41 ACRES R21 T10 S9"</f>
        <v>BRAUN RD 3.41 ACRES R21 T10 S9</v>
      </c>
      <c r="D6587" s="1">
        <v>5348.62</v>
      </c>
    </row>
    <row r="6588" spans="1:4" x14ac:dyDescent="0.3">
      <c r="A6588" s="1" t="str">
        <f>"01023875300"</f>
        <v>01023875300</v>
      </c>
      <c r="B6588" s="1" t="str">
        <f>"KANU JAMES, KANU ADAMA"</f>
        <v>KANU JAMES, KANU ADAMA</v>
      </c>
      <c r="C6588" s="1" t="str">
        <f>"ALPHA COURT WALTHAM PLACE SECTION 1 LOT 8"</f>
        <v>ALPHA COURT WALTHAM PLACE SECTION 1 LOT 8</v>
      </c>
      <c r="D6588" s="1">
        <v>1568.97</v>
      </c>
    </row>
    <row r="6589" spans="1:4" x14ac:dyDescent="0.3">
      <c r="A6589" s="1" t="str">
        <f>"10000105500"</f>
        <v>10000105500</v>
      </c>
      <c r="B6589" s="1" t="str">
        <f>"KAO THOMAS"</f>
        <v>KAO THOMAS</v>
      </c>
      <c r="C6589" s="1" t="str">
        <f>"262 PINNEY DR LOT 35 WORTHINGTON SOUTHWEST"</f>
        <v>262 PINNEY DR LOT 35 WORTHINGTON SOUTHWEST</v>
      </c>
      <c r="D6589" s="1">
        <v>11990.58</v>
      </c>
    </row>
    <row r="6590" spans="1:4" x14ac:dyDescent="0.3">
      <c r="A6590" s="1" t="str">
        <f>"01013326200"</f>
        <v>01013326200</v>
      </c>
      <c r="B6590" s="1" t="str">
        <f>"KAPLE KARA"</f>
        <v>KAPLE KARA</v>
      </c>
      <c r="C6590" s="1" t="str">
        <f>"4838 REFUGEE RD WALNUT BLUFF 1 16 FT W S LOT 407"</f>
        <v>4838 REFUGEE RD WALNUT BLUFF 1 16 FT W S LOT 407</v>
      </c>
      <c r="D6590" s="1">
        <v>330.77</v>
      </c>
    </row>
    <row r="6591" spans="1:4" x14ac:dyDescent="0.3">
      <c r="A6591" s="1" t="str">
        <f>"19000125700"</f>
        <v>19000125700</v>
      </c>
      <c r="B6591" s="1" t="str">
        <f>"KAPLE KARA"</f>
        <v>KAPLE KARA</v>
      </c>
      <c r="C6591" s="1" t="str">
        <f>"MILFORD AVE TUXEDO PARK 22 "</f>
        <v xml:space="preserve">MILFORD AVE TUXEDO PARK 22 </v>
      </c>
      <c r="D6591" s="1">
        <v>16.13</v>
      </c>
    </row>
    <row r="6592" spans="1:4" x14ac:dyDescent="0.3">
      <c r="A6592" s="1" t="str">
        <f>"61019383600"</f>
        <v>61019383600</v>
      </c>
      <c r="B6592" s="1" t="str">
        <f>"KARAMIANTS ANDREY, GRIGORITA TATIANA"</f>
        <v>KARAMIANTS ANDREY, GRIGORITA TATIANA</v>
      </c>
      <c r="C6592" s="1" t="str">
        <f>"PACIFIC CT WORTHINGTON WOODS 4 LOT 84"</f>
        <v>PACIFIC CT WORTHINGTON WOODS 4 LOT 84</v>
      </c>
      <c r="D6592" s="1">
        <v>3433.36</v>
      </c>
    </row>
    <row r="6593" spans="1:4" x14ac:dyDescent="0.3">
      <c r="A6593" s="1" t="str">
        <f>"07000441000"</f>
        <v>07000441000</v>
      </c>
      <c r="B6593" s="1" t="str">
        <f>"KARAS CHRIS S, KARAS KIERA L"</f>
        <v>KARAS CHRIS S, KARAS KIERA L</v>
      </c>
      <c r="C6593" s="1" t="str">
        <f>"MARGATE RD CANTERBURY PL EX 3 14 BLK 265"</f>
        <v>MARGATE RD CANTERBURY PL EX 3 14 BLK 265</v>
      </c>
      <c r="D6593" s="1">
        <v>25080.91</v>
      </c>
    </row>
    <row r="6594" spans="1:4" x14ac:dyDescent="0.3">
      <c r="A6594" s="1" t="str">
        <f>"27301236300"</f>
        <v>27301236300</v>
      </c>
      <c r="B6594" s="1" t="str">
        <f>"KARCHERLA JITAMITRA, KODIMELA SWAPNA"</f>
        <v>KARCHERLA JITAMITRA, KODIMELA SWAPNA</v>
      </c>
      <c r="C6594" s="1" t="str">
        <f>"RESERVE CONDOMINIUMS AT SCIOTO CROSSING 4TH AMD BLDG 23 UNIT 7823"</f>
        <v>RESERVE CONDOMINIUMS AT SCIOTO CROSSING 4TH AMD BLDG 23 UNIT 7823</v>
      </c>
      <c r="D6594" s="1">
        <v>3491.01</v>
      </c>
    </row>
    <row r="6595" spans="1:4" x14ac:dyDescent="0.3">
      <c r="A6595" s="1" t="str">
        <f>"08000253300"</f>
        <v>08000253300</v>
      </c>
      <c r="B6595" s="1" t="str">
        <f>"KARLQUIST ALTHEA K TR, SLANE MARTIN K TR"</f>
        <v>KARLQUIST ALTHEA K TR, SLANE MARTIN K TR</v>
      </c>
      <c r="C6595" s="1" t="str">
        <f>"CATAWBA AVE WESTERVILLE ESTATES 2 116"</f>
        <v>CATAWBA AVE WESTERVILLE ESTATES 2 116</v>
      </c>
      <c r="D6595" s="1">
        <v>255.76</v>
      </c>
    </row>
    <row r="6596" spans="1:4" x14ac:dyDescent="0.3">
      <c r="A6596" s="1" t="str">
        <f>"13000221300"</f>
        <v>13000221300</v>
      </c>
      <c r="B6596" s="1" t="str">
        <f>"KAROW STUART, KAROW MICHELE"</f>
        <v>KAROW STUART, KAROW MICHELE</v>
      </c>
      <c r="C6596" s="1" t="str">
        <f>"1968 LEHNER RD NORTH LINDEN ADD 2 LOT 506"</f>
        <v>1968 LEHNER RD NORTH LINDEN ADD 2 LOT 506</v>
      </c>
      <c r="D6596" s="1">
        <v>2699.62</v>
      </c>
    </row>
    <row r="6597" spans="1:4" x14ac:dyDescent="0.3">
      <c r="A6597" s="1" t="str">
        <f>"01003832500"</f>
        <v>01003832500</v>
      </c>
      <c r="B6597" s="1" t="str">
        <f>"KARUMANCHI BHARGAVI, GARIMELLA NARASIMHA SASANK"</f>
        <v>KARUMANCHI BHARGAVI, GARIMELLA NARASIMHA SASANK</v>
      </c>
      <c r="C6597" s="1" t="str">
        <f>"797 BELLOWS AVE OSBORN PLACE LOT 168"</f>
        <v>797 BELLOWS AVE OSBORN PLACE LOT 168</v>
      </c>
      <c r="D6597" s="1">
        <v>1678.06</v>
      </c>
    </row>
    <row r="6598" spans="1:4" x14ac:dyDescent="0.3">
      <c r="A6598" s="1" t="str">
        <f>"10000130700"</f>
        <v>10000130700</v>
      </c>
      <c r="B6598" s="1" t="str">
        <f>"KASAI JILL I"</f>
        <v>KASAI JILL I</v>
      </c>
      <c r="C6598" s="1" t="str">
        <f>"484 COLONIAL AVE COLONIAL HILLS NO 2 PT RES B LOT 44"</f>
        <v>484 COLONIAL AVE COLONIAL HILLS NO 2 PT RES B LOT 44</v>
      </c>
      <c r="D6598" s="1">
        <v>2183.19</v>
      </c>
    </row>
    <row r="6599" spans="1:4" x14ac:dyDescent="0.3">
      <c r="A6599" s="1" t="str">
        <f>"01011726400"</f>
        <v>01011726400</v>
      </c>
      <c r="B6599" s="1" t="str">
        <f>"KASBEKAR VEENA P TR"</f>
        <v>KASBEKAR VEENA P TR</v>
      </c>
      <c r="C6599" s="1" t="str">
        <f>"CANIFF PLC CRANFORD 2 LOT 206"</f>
        <v>CANIFF PLC CRANFORD 2 LOT 206</v>
      </c>
      <c r="D6599" s="1">
        <v>2445.56</v>
      </c>
    </row>
    <row r="6600" spans="1:4" x14ac:dyDescent="0.3">
      <c r="A6600" s="1" t="str">
        <f>"01013561000"</f>
        <v>01013561000</v>
      </c>
      <c r="B6600" s="1" t="str">
        <f>"KASPER MATTHEW"</f>
        <v>KASPER MATTHEW</v>
      </c>
      <c r="C6600" s="1" t="str">
        <f>"BRICE RD GLENMEADOWS LOT 44 "</f>
        <v xml:space="preserve">BRICE RD GLENMEADOWS LOT 44 </v>
      </c>
      <c r="D6600" s="1">
        <v>1949.12</v>
      </c>
    </row>
    <row r="6601" spans="1:4" x14ac:dyDescent="0.3">
      <c r="A6601" s="1" t="str">
        <f>"05000847600"</f>
        <v>05000847600</v>
      </c>
      <c r="B6601" s="1" t="str">
        <f>"KASPRZAK GREGORY A, KASPRZAK CHRISTINE E"</f>
        <v>KASPRZAK GREGORY A, KASPRZAK CHRISTINE E</v>
      </c>
      <c r="C6601" s="1" t="str">
        <f>"DEE DRIVE HOFFMAN FARMS SEC 1 PHASE 2 LOT 86"</f>
        <v>DEE DRIVE HOFFMAN FARMS SEC 1 PHASE 2 LOT 86</v>
      </c>
      <c r="D6601" s="1">
        <v>454.24</v>
      </c>
    </row>
    <row r="6602" spans="1:4" x14ac:dyDescent="0.3">
      <c r="A6602" s="1" t="str">
        <f>"01027095700"</f>
        <v>01027095700</v>
      </c>
      <c r="B6602" s="1" t="str">
        <f>"KASS SANDRA K TTEE"</f>
        <v>KASS SANDRA K TTEE</v>
      </c>
      <c r="C6602" s="1" t="str">
        <f>"HOMESTEAD AT THE PRESERVE CONDOMINIUM 14TH AMD UNIT 3836-93"</f>
        <v>HOMESTEAD AT THE PRESERVE CONDOMINIUM 14TH AMD UNIT 3836-93</v>
      </c>
      <c r="D6602" s="1">
        <v>387.63</v>
      </c>
    </row>
    <row r="6603" spans="1:4" x14ac:dyDescent="0.3">
      <c r="A6603" s="1" t="str">
        <f>"09000392400"</f>
        <v>09000392400</v>
      </c>
      <c r="B6603" s="1" t="str">
        <f>"KASSA TEFERA A"</f>
        <v>KASSA TEFERA A</v>
      </c>
      <c r="C6603" s="1" t="str">
        <f>"807 WESTPHAL AVE GLENCOE LOT 128"</f>
        <v>807 WESTPHAL AVE GLENCOE LOT 128</v>
      </c>
      <c r="D6603" s="1">
        <v>1321.67</v>
      </c>
    </row>
    <row r="6604" spans="1:4" x14ac:dyDescent="0.3">
      <c r="A6604" s="1" t="str">
        <f>"09000833800"</f>
        <v>09000833800</v>
      </c>
      <c r="B6604" s="1" t="str">
        <f>"KASSA TEFERA AMDOM"</f>
        <v>KASSA TEFERA AMDOM</v>
      </c>
      <c r="C6604" s="1" t="str">
        <f>"WESTPHAL AVENUE GLENCOE 55.86'SL ES LT 36-7"</f>
        <v>WESTPHAL AVENUE GLENCOE 55.86'SL ES LT 36-7</v>
      </c>
      <c r="D6604" s="1">
        <v>140.69999999999999</v>
      </c>
    </row>
    <row r="6605" spans="1:4" x14ac:dyDescent="0.3">
      <c r="A6605" s="1" t="str">
        <f>"01010697800"</f>
        <v>01010697800</v>
      </c>
      <c r="B6605" s="1" t="str">
        <f>"KASSAHUN MELKU WALE"</f>
        <v>KASSAHUN MELKU WALE</v>
      </c>
      <c r="C6605" s="1" t="str">
        <f>"BOLTON AVE BARNETT HTS AMD LOT 72"</f>
        <v>BOLTON AVE BARNETT HTS AMD LOT 72</v>
      </c>
      <c r="D6605" s="1">
        <v>115.65</v>
      </c>
    </row>
    <row r="6606" spans="1:4" x14ac:dyDescent="0.3">
      <c r="A6606" s="1" t="str">
        <f>"27300294500"</f>
        <v>27300294500</v>
      </c>
      <c r="B6606" s="1" t="str">
        <f>"KASSICIEH CHARLES V TR"</f>
        <v>KASSICIEH CHARLES V TR</v>
      </c>
      <c r="C6606" s="1" t="str">
        <f>"5337 EARLINGTON CT EARLINGTON VIL SEC 1 LOT 9"</f>
        <v>5337 EARLINGTON CT EARLINGTON VIL SEC 1 LOT 9</v>
      </c>
      <c r="D6606" s="1">
        <v>610.69000000000005</v>
      </c>
    </row>
    <row r="6607" spans="1:4" x14ac:dyDescent="0.3">
      <c r="A6607" s="1" t="str">
        <f>"01027784100"</f>
        <v>01027784100</v>
      </c>
      <c r="B6607" s="1" t="str">
        <f>"KASSIM KASSIM"</f>
        <v>KASSIM KASSIM</v>
      </c>
      <c r="C6607" s="1" t="str">
        <f>"VILLAGE AT GALLOWAY RUN S-F HOMES CONDOMINIUM 23RD AMD UNIT 144"</f>
        <v>VILLAGE AT GALLOWAY RUN S-F HOMES CONDOMINIUM 23RD AMD UNIT 144</v>
      </c>
      <c r="D6607" s="1">
        <v>858.46</v>
      </c>
    </row>
    <row r="6608" spans="1:4" x14ac:dyDescent="0.3">
      <c r="A6608" s="1" t="str">
        <f>"01005710500"</f>
        <v>01005710500</v>
      </c>
      <c r="B6608" s="1" t="str">
        <f>"KATHA CORP"</f>
        <v>KATHA CORP</v>
      </c>
      <c r="C6608" s="1" t="str">
        <f>"591-5 W BROAD ST FRANKLINTON LOT 81"</f>
        <v>591-5 W BROAD ST FRANKLINTON LOT 81</v>
      </c>
      <c r="D6608" s="1">
        <v>829.58</v>
      </c>
    </row>
    <row r="6609" spans="1:4" x14ac:dyDescent="0.3">
      <c r="A6609" s="1" t="str">
        <f>"07001409200"</f>
        <v>07001409200</v>
      </c>
      <c r="B6609" s="1" t="str">
        <f>"KATI LLC"</f>
        <v>KATI LLC</v>
      </c>
      <c r="C6609" s="1" t="str">
        <f>"RIVERSIDE DRIVE RIVERPARK OFF CONDO UNIT D"</f>
        <v>RIVERSIDE DRIVE RIVERPARK OFF CONDO UNIT D</v>
      </c>
      <c r="D6609" s="1">
        <v>3341.04</v>
      </c>
    </row>
    <row r="6610" spans="1:4" x14ac:dyDescent="0.3">
      <c r="A6610" s="1" t="str">
        <f>"59020996900"</f>
        <v>59020996900</v>
      </c>
      <c r="B6610" s="1" t="str">
        <f>"KATO YASUKO"</f>
        <v>KATO YASUKO</v>
      </c>
      <c r="C6610" s="1" t="str">
        <f>"SHROCKTON STREET SUMMIT VIEW WOODS SEC 1 LOT 64"</f>
        <v>SHROCKTON STREET SUMMIT VIEW WOODS SEC 1 LOT 64</v>
      </c>
      <c r="D6610" s="1">
        <v>360.36</v>
      </c>
    </row>
    <row r="6611" spans="1:4" x14ac:dyDescent="0.3">
      <c r="A6611" s="1" t="str">
        <f>"47526991600"</f>
        <v>47526991600</v>
      </c>
      <c r="B6611" s="1" t="str">
        <f>"KATSARES JOHN, KATSARES PAULA A"</f>
        <v>KATSARES JOHN, KATSARES PAULA A</v>
      </c>
      <c r="C6611" s="1" t="str">
        <f>"MENDES COURT THE RESERVE AT LINWORTH LOT 17"</f>
        <v>MENDES COURT THE RESERVE AT LINWORTH LOT 17</v>
      </c>
      <c r="D6611" s="1">
        <v>349.19</v>
      </c>
    </row>
    <row r="6612" spans="1:4" x14ac:dyDescent="0.3">
      <c r="A6612" s="1" t="str">
        <f>"01001471900"</f>
        <v>01001471900</v>
      </c>
      <c r="B6612" s="1" t="str">
        <f>"KATSIKA PROPERTIES LLC"</f>
        <v>KATSIKA PROPERTIES LLC</v>
      </c>
      <c r="C6612" s="1" t="str">
        <f>"2320-2322 SUMMIT ST DOYLES SUMMIT LOT 208-9"</f>
        <v>2320-2322 SUMMIT ST DOYLES SUMMIT LOT 208-9</v>
      </c>
      <c r="D6612" s="1">
        <v>338.55</v>
      </c>
    </row>
    <row r="6613" spans="1:4" x14ac:dyDescent="0.3">
      <c r="A6613" s="1" t="str">
        <f>"05000875000"</f>
        <v>05000875000</v>
      </c>
      <c r="B6613" s="1" t="str">
        <f>"KATTER BLAISE"</f>
        <v>KATTER BLAISE</v>
      </c>
      <c r="C6613" s="1" t="str">
        <f>"3650 COLONIAL DRIVE VILLAGE AT HERITAGE CLUB CONDO 1ST AMD UNIT 3650"</f>
        <v>3650 COLONIAL DRIVE VILLAGE AT HERITAGE CLUB CONDO 1ST AMD UNIT 3650</v>
      </c>
      <c r="D6613" s="1">
        <v>4382.32</v>
      </c>
    </row>
    <row r="6614" spans="1:4" x14ac:dyDescent="0.3">
      <c r="A6614" s="1" t="str">
        <f>"02000036800"</f>
        <v>02000036800</v>
      </c>
      <c r="B6614" s="1" t="str">
        <f>"KATZ HARVEY E, KATZ JOYCE M"</f>
        <v>KATZ HARVEY E, KATZ JOYCE M</v>
      </c>
      <c r="C6614" s="1" t="str">
        <f>"126 CASSADY RD ARDMORE LOT 63"</f>
        <v>126 CASSADY RD ARDMORE LOT 63</v>
      </c>
      <c r="D6614" s="1">
        <v>467.94</v>
      </c>
    </row>
    <row r="6615" spans="1:4" x14ac:dyDescent="0.3">
      <c r="A6615" s="1" t="str">
        <f>"01024649800"</f>
        <v>01024649800</v>
      </c>
      <c r="B6615" s="1" t="str">
        <f>"KATZ HOPE A TR"</f>
        <v>KATZ HOPE A TR</v>
      </c>
      <c r="C6615" s="1" t="str">
        <f>"NICHOLAS GLEN MCNAUGHTEN GROVE LOT 33"</f>
        <v>NICHOLAS GLEN MCNAUGHTEN GROVE LOT 33</v>
      </c>
      <c r="D6615" s="1">
        <v>273.22000000000003</v>
      </c>
    </row>
    <row r="6616" spans="1:4" x14ac:dyDescent="0.3">
      <c r="A6616" s="1" t="str">
        <f>"61015927500"</f>
        <v>61015927500</v>
      </c>
      <c r="B6616" s="1" t="str">
        <f>"KATZEMAN JULIE J TR"</f>
        <v>KATZEMAN JULIE J TR</v>
      </c>
      <c r="C6616" s="1" t="str">
        <f>"1126 BRIARMEADOW DR WORTHINGTON HILLS 6 LOT 17"</f>
        <v>1126 BRIARMEADOW DR WORTHINGTON HILLS 6 LOT 17</v>
      </c>
      <c r="D6616" s="1">
        <v>613.33000000000004</v>
      </c>
    </row>
    <row r="6617" spans="1:4" x14ac:dyDescent="0.3">
      <c r="A6617" s="1" t="str">
        <f>"54523769800"</f>
        <v>54523769800</v>
      </c>
      <c r="B6617" s="1" t="str">
        <f>"KAUCHECK AMY M TR"</f>
        <v>KAUCHECK AMY M TR</v>
      </c>
      <c r="C6617" s="1" t="str">
        <f>"UPPER MOUNT ROW WEST HAMPSTED SECTION 1 LOT 25"</f>
        <v>UPPER MOUNT ROW WEST HAMPSTED SECTION 1 LOT 25</v>
      </c>
      <c r="D6617" s="1">
        <v>10825.56</v>
      </c>
    </row>
    <row r="6618" spans="1:4" x14ac:dyDescent="0.3">
      <c r="A6618" s="1" t="str">
        <f>"60030365300"</f>
        <v>60030365300</v>
      </c>
      <c r="B6618" s="1" t="str">
        <f>"KAUFMAN ROBERT F, LEE MISUK"</f>
        <v>KAUFMAN ROBERT F, LEE MISUK</v>
      </c>
      <c r="C6618" s="1" t="str">
        <f>"THE COVE SECTION 2 LOT 448"</f>
        <v>THE COVE SECTION 2 LOT 448</v>
      </c>
      <c r="D6618" s="1">
        <v>5215.49</v>
      </c>
    </row>
    <row r="6619" spans="1:4" x14ac:dyDescent="0.3">
      <c r="A6619" s="1" t="str">
        <f>"56021449000"</f>
        <v>56021449000</v>
      </c>
      <c r="B6619" s="1" t="str">
        <f>"KAUR SANDEEP"</f>
        <v>KAUR SANDEEP</v>
      </c>
      <c r="C6619" s="1" t="str">
        <f>"CROSSCREEK VILLAGE SECTION 3 LOT 293"</f>
        <v>CROSSCREEK VILLAGE SECTION 3 LOT 293</v>
      </c>
      <c r="D6619" s="1">
        <v>3404.78</v>
      </c>
    </row>
    <row r="6620" spans="1:4" x14ac:dyDescent="0.3">
      <c r="A6620" s="1" t="str">
        <f>"56017384700"</f>
        <v>56017384700</v>
      </c>
      <c r="B6620" s="1" t="str">
        <f>"KAUR SANDEEP"</f>
        <v>KAUR SANDEEP</v>
      </c>
      <c r="C6620" s="1" t="str">
        <f>"WATERGRASS HILL DR THE GLEN NO 3 LOT 180"</f>
        <v>WATERGRASS HILL DR THE GLEN NO 3 LOT 180</v>
      </c>
      <c r="D6620" s="1">
        <v>6229.86</v>
      </c>
    </row>
    <row r="6621" spans="1:4" x14ac:dyDescent="0.3">
      <c r="A6621" s="1" t="str">
        <f>"01019670000"</f>
        <v>01019670000</v>
      </c>
      <c r="B6621" s="1" t="str">
        <f>"KAUTILYA COLUMBUS HOTEL LLC"</f>
        <v>KAUTILYA COLUMBUS HOTEL LLC</v>
      </c>
      <c r="C6621" s="1" t="str">
        <f>"ZUMSTEIN DR 18-2-4 2 ACS"</f>
        <v>ZUMSTEIN DR 18-2-4 2 ACS</v>
      </c>
      <c r="D6621" s="1">
        <v>122575.88</v>
      </c>
    </row>
    <row r="6622" spans="1:4" x14ac:dyDescent="0.3">
      <c r="A6622" s="1" t="str">
        <f>"61017251000"</f>
        <v>61017251000</v>
      </c>
      <c r="B6622" s="1" t="str">
        <f>"KAVIYARASU NITHYANANDAM, KAVIYARASU UMARANI"</f>
        <v>KAVIYARASU NITHYANANDAM, KAVIYARASU UMARANI</v>
      </c>
      <c r="C6622" s="1" t="str">
        <f>"SHETLAND ST OLENTANGY HIGHLANDS SEC 3 LOT 196"</f>
        <v>SHETLAND ST OLENTANGY HIGHLANDS SEC 3 LOT 196</v>
      </c>
      <c r="D6622" s="1">
        <v>11838.56</v>
      </c>
    </row>
    <row r="6623" spans="1:4" x14ac:dyDescent="0.3">
      <c r="A6623" s="1" t="str">
        <f>"18000488900"</f>
        <v>18000488900</v>
      </c>
      <c r="B6623" s="1" t="str">
        <f>"KAY GAVIN THOMAS TIGER, KAY BREEZE SIDNEY"</f>
        <v>KAY GAVIN THOMAS TIGER, KAY BREEZE SIDNEY</v>
      </c>
      <c r="C6623" s="1" t="str">
        <f>"BEACHWORTH COURT BLACKLICK ESTATES 8 LOT 1586"</f>
        <v>BEACHWORTH COURT BLACKLICK ESTATES 8 LOT 1586</v>
      </c>
      <c r="D6623" s="1">
        <v>2200.89</v>
      </c>
    </row>
    <row r="6624" spans="1:4" x14ac:dyDescent="0.3">
      <c r="A6624" s="1" t="str">
        <f>"01009063500"</f>
        <v>01009063500</v>
      </c>
      <c r="B6624" s="1" t="str">
        <f>"KAY NANCY B"</f>
        <v>KAY NANCY B</v>
      </c>
      <c r="C6624" s="1" t="str">
        <f>"MEDWAY AVE ALL OF 50 &amp; KFT W S OF 51 EASTMOOR LOT50-51"</f>
        <v>MEDWAY AVE ALL OF 50 &amp; KFT W S OF 51 EASTMOOR LOT50-51</v>
      </c>
      <c r="D6624" s="1">
        <v>287.64</v>
      </c>
    </row>
    <row r="6625" spans="1:4" x14ac:dyDescent="0.3">
      <c r="A6625" s="1" t="str">
        <f>"01009063600"</f>
        <v>01009063600</v>
      </c>
      <c r="B6625" s="1" t="str">
        <f>"KAY NANCY B"</f>
        <v>KAY NANCY B</v>
      </c>
      <c r="C6625" s="1" t="str">
        <f>"MEDWAY AVE 63FT FRONT 40FT REAR E S EASTMOOR LOT 51"</f>
        <v>MEDWAY AVE 63FT FRONT 40FT REAR E S EASTMOOR LOT 51</v>
      </c>
      <c r="D6625" s="1">
        <v>82.48</v>
      </c>
    </row>
    <row r="6626" spans="1:4" x14ac:dyDescent="0.3">
      <c r="A6626" s="1" t="str">
        <f>"01011230600"</f>
        <v>01011230600</v>
      </c>
      <c r="B6626" s="1" t="str">
        <f>"KAYAVONG PASEUTH ANOY"</f>
        <v>KAYAVONG PASEUTH ANOY</v>
      </c>
      <c r="C6626" s="1" t="str">
        <f>"1829 LOCKBOURNE RD .267 ACRE LOT 8"</f>
        <v>1829 LOCKBOURNE RD .267 ACRE LOT 8</v>
      </c>
      <c r="D6626" s="1">
        <v>1724.57</v>
      </c>
    </row>
    <row r="6627" spans="1:4" x14ac:dyDescent="0.3">
      <c r="A6627" s="1" t="str">
        <f>"01010804200"</f>
        <v>01010804200</v>
      </c>
      <c r="B6627" s="1" t="str">
        <f>"KAYLOR SUSAN L AFDT"</f>
        <v>KAYLOR SUSAN L AFDT</v>
      </c>
      <c r="C6627" s="1" t="str">
        <f>"CASE RD NORTHERN ESTATES LOT 34"</f>
        <v>CASE RD NORTHERN ESTATES LOT 34</v>
      </c>
      <c r="D6627" s="1">
        <v>1734.78</v>
      </c>
    </row>
    <row r="6628" spans="1:4" x14ac:dyDescent="0.3">
      <c r="A6628" s="1" t="str">
        <f>"01012845400"</f>
        <v>01012845400</v>
      </c>
      <c r="B6628" s="1" t="str">
        <f>"KAZEE ROBERT J, KAZEE SHIRLEY A"</f>
        <v>KAZEE ROBERT J, KAZEE SHIRLEY A</v>
      </c>
      <c r="C6628" s="1" t="str">
        <f>"RANDELL RD HOLLY HILL 2 LOT 309"</f>
        <v>RANDELL RD HOLLY HILL 2 LOT 309</v>
      </c>
      <c r="D6628" s="1">
        <v>3296.07</v>
      </c>
    </row>
    <row r="6629" spans="1:4" x14ac:dyDescent="0.3">
      <c r="A6629" s="1" t="str">
        <f>"01015755900"</f>
        <v>01015755900</v>
      </c>
      <c r="B6629" s="1" t="str">
        <f>"KAZI ARJUMAND S"</f>
        <v>KAZI ARJUMAND S</v>
      </c>
      <c r="C6629" s="1" t="str">
        <f>"SCOTTSDALE AV THE GABLES WEST LOT 285"</f>
        <v>SCOTTSDALE AV THE GABLES WEST LOT 285</v>
      </c>
      <c r="D6629" s="1">
        <v>145.21</v>
      </c>
    </row>
    <row r="6630" spans="1:4" x14ac:dyDescent="0.3">
      <c r="A6630" s="1" t="str">
        <f>"02500293200"</f>
        <v>02500293200</v>
      </c>
      <c r="B6630" s="1" t="str">
        <f>"KBECK PROPERTIES LLC"</f>
        <v>KBECK PROPERTIES LLC</v>
      </c>
      <c r="C6630" s="1" t="str">
        <f>"432 CORONATION AVENU ROYAL MANOR 3 968 "</f>
        <v xml:space="preserve">432 CORONATION AVENU ROYAL MANOR 3 968 </v>
      </c>
      <c r="D6630" s="1">
        <v>2275.8000000000002</v>
      </c>
    </row>
    <row r="6631" spans="1:4" x14ac:dyDescent="0.3">
      <c r="A6631" s="1" t="str">
        <f>"51524669300"</f>
        <v>51524669300</v>
      </c>
      <c r="B6631" s="1" t="str">
        <f>"KBECK PROPERTIES LLC"</f>
        <v>KBECK PROPERTIES LLC</v>
      </c>
      <c r="C6631" s="1" t="str">
        <f>"MERDON DRIVE CRAWFORD FARMS SECTION 3 LOT 115"</f>
        <v>MERDON DRIVE CRAWFORD FARMS SECTION 3 LOT 115</v>
      </c>
      <c r="D6631" s="1">
        <v>2276.9299999999998</v>
      </c>
    </row>
    <row r="6632" spans="1:4" x14ac:dyDescent="0.3">
      <c r="A6632" s="1" t="str">
        <f>"51524669900"</f>
        <v>51524669900</v>
      </c>
      <c r="B6632" s="1" t="str">
        <f>"KBECK PROPERTIES LLC"</f>
        <v>KBECK PROPERTIES LLC</v>
      </c>
      <c r="C6632" s="1" t="str">
        <f>"GRANDLIN PARK DRIVE CRAWFORD FARMS SECTION 3 LOT 121"</f>
        <v>GRANDLIN PARK DRIVE CRAWFORD FARMS SECTION 3 LOT 121</v>
      </c>
      <c r="D6632" s="1">
        <v>2459.79</v>
      </c>
    </row>
    <row r="6633" spans="1:4" x14ac:dyDescent="0.3">
      <c r="A6633" s="1" t="str">
        <f>"02500301800"</f>
        <v>02500301800</v>
      </c>
      <c r="B6633" s="1" t="str">
        <f>"KBECK PROPERTIES LLC"</f>
        <v>KBECK PROPERTIES LLC</v>
      </c>
      <c r="C6633" s="1" t="str">
        <f>"506 DENWOOD DR N BRENTWOOD ESTATES SEC 2  LOT 135"</f>
        <v>506 DENWOOD DR N BRENTWOOD ESTATES SEC 2  LOT 135</v>
      </c>
      <c r="D6633" s="1">
        <v>2405.4299999999998</v>
      </c>
    </row>
    <row r="6634" spans="1:4" x14ac:dyDescent="0.3">
      <c r="A6634" s="1" t="str">
        <f>"51525075200"</f>
        <v>51525075200</v>
      </c>
      <c r="B6634" s="1" t="str">
        <f>"KBECK PROPERTIES LLC"</f>
        <v>KBECK PROPERTIES LLC</v>
      </c>
      <c r="C6634" s="1" t="str">
        <f>"GRANDLIN PARK DRIVE CRAWFORD FARMS SECTION 4 LOT 243"</f>
        <v>GRANDLIN PARK DRIVE CRAWFORD FARMS SECTION 4 LOT 243</v>
      </c>
      <c r="D6634" s="1">
        <v>2705.82</v>
      </c>
    </row>
    <row r="6635" spans="1:4" x14ac:dyDescent="0.3">
      <c r="A6635" s="1" t="str">
        <f>"51524951500"</f>
        <v>51524951500</v>
      </c>
      <c r="B6635" s="1" t="str">
        <f>"KBECK PROPERTIES LLC"</f>
        <v>KBECK PROPERTIES LLC</v>
      </c>
      <c r="C6635" s="1" t="str">
        <f>"WAGGONER CHASE BLVD WAGGONER CHASE SECTION 1 LOT 82"</f>
        <v>WAGGONER CHASE BLVD WAGGONER CHASE SECTION 1 LOT 82</v>
      </c>
      <c r="D6635" s="1">
        <v>3042</v>
      </c>
    </row>
    <row r="6636" spans="1:4" x14ac:dyDescent="0.3">
      <c r="A6636" s="1" t="str">
        <f>"07000322100"</f>
        <v>07000322100</v>
      </c>
      <c r="B6636" s="1" t="str">
        <f>"KBMC NS11 LLC"</f>
        <v>KBMC NS11 LLC</v>
      </c>
      <c r="C6636" s="1" t="str">
        <f>"2011 N STAR RD KINGSWOOD LOT 10 BLK 166"</f>
        <v>2011 N STAR RD KINGSWOOD LOT 10 BLK 166</v>
      </c>
      <c r="D6636" s="1">
        <v>702.12</v>
      </c>
    </row>
    <row r="6637" spans="1:4" x14ac:dyDescent="0.3">
      <c r="A6637" s="1" t="str">
        <f>"07000322200"</f>
        <v>07000322200</v>
      </c>
      <c r="B6637" s="1" t="str">
        <f>"KBMC NS97 LLC"</f>
        <v>KBMC NS97 LLC</v>
      </c>
      <c r="C6637" s="1" t="str">
        <f>"1997 N STAR RD KINGSWOOD LOT 11 BLK 166"</f>
        <v>1997 N STAR RD KINGSWOOD LOT 11 BLK 166</v>
      </c>
      <c r="D6637" s="1">
        <v>671.3</v>
      </c>
    </row>
    <row r="6638" spans="1:4" x14ac:dyDescent="0.3">
      <c r="A6638" s="1" t="str">
        <f>"19100035300"</f>
        <v>19100035300</v>
      </c>
      <c r="B6638" s="1" t="str">
        <f>"KCRS REAL ESTATE LLC"</f>
        <v>KCRS REAL ESTATE LLC</v>
      </c>
      <c r="C6638" s="1" t="str">
        <f>"ABERDEEN AVE LEONARD PARK 52 BLK B"</f>
        <v>ABERDEEN AVE LEONARD PARK 52 BLK B</v>
      </c>
      <c r="D6638" s="1">
        <v>372.71</v>
      </c>
    </row>
    <row r="6639" spans="1:4" x14ac:dyDescent="0.3">
      <c r="A6639" s="1" t="str">
        <f>"19100035900"</f>
        <v>19100035900</v>
      </c>
      <c r="B6639" s="1" t="str">
        <f>"KCRS REAL ESTATE LLC"</f>
        <v>KCRS REAL ESTATE LLC</v>
      </c>
      <c r="C6639" s="1" t="str">
        <f>"ABERDEEN AVE LEONARD PARK 58 BLK B"</f>
        <v>ABERDEEN AVE LEONARD PARK 58 BLK B</v>
      </c>
      <c r="D6639" s="1">
        <v>372.71</v>
      </c>
    </row>
    <row r="6640" spans="1:4" x14ac:dyDescent="0.3">
      <c r="A6640" s="1" t="str">
        <f>"19100035600"</f>
        <v>19100035600</v>
      </c>
      <c r="B6640" s="1" t="str">
        <f>"KCRS REAL ESTATE LLC"</f>
        <v>KCRS REAL ESTATE LLC</v>
      </c>
      <c r="C6640" s="1" t="str">
        <f>"ABERDEEN AVE LEONARD PARK 55 BLK B"</f>
        <v>ABERDEEN AVE LEONARD PARK 55 BLK B</v>
      </c>
      <c r="D6640" s="1">
        <v>372.71</v>
      </c>
    </row>
    <row r="6641" spans="1:4" x14ac:dyDescent="0.3">
      <c r="A6641" s="1" t="str">
        <f>"19100035700"</f>
        <v>19100035700</v>
      </c>
      <c r="B6641" s="1" t="str">
        <f>"KCRS REAL ESTATE LLC"</f>
        <v>KCRS REAL ESTATE LLC</v>
      </c>
      <c r="C6641" s="1" t="str">
        <f>"ABERDEEN AVE LEONARD PARK 56 BLK B"</f>
        <v>ABERDEEN AVE LEONARD PARK 56 BLK B</v>
      </c>
      <c r="D6641" s="1">
        <v>372.71</v>
      </c>
    </row>
    <row r="6642" spans="1:4" x14ac:dyDescent="0.3">
      <c r="A6642" s="1" t="str">
        <f>"19100035800"</f>
        <v>19100035800</v>
      </c>
      <c r="B6642" s="1" t="str">
        <f>"KCRS REAL ESTATE LLC"</f>
        <v>KCRS REAL ESTATE LLC</v>
      </c>
      <c r="C6642" s="1" t="str">
        <f>"ABERDEEN AVE LEONARD PARK 57 BLK B"</f>
        <v>ABERDEEN AVE LEONARD PARK 57 BLK B</v>
      </c>
      <c r="D6642" s="1">
        <v>372.71</v>
      </c>
    </row>
    <row r="6643" spans="1:4" x14ac:dyDescent="0.3">
      <c r="A6643" s="1" t="str">
        <f>"19100035400"</f>
        <v>19100035400</v>
      </c>
      <c r="B6643" s="1" t="str">
        <f>"KCRS REAL ESTATE LLC"</f>
        <v>KCRS REAL ESTATE LLC</v>
      </c>
      <c r="C6643" s="1" t="str">
        <f>"ABERDEEN AVE LEONARD PARK 53 BLK B"</f>
        <v>ABERDEEN AVE LEONARD PARK 53 BLK B</v>
      </c>
      <c r="D6643" s="1">
        <v>372.71</v>
      </c>
    </row>
    <row r="6644" spans="1:4" x14ac:dyDescent="0.3">
      <c r="A6644" s="1" t="str">
        <f>"19100035500"</f>
        <v>19100035500</v>
      </c>
      <c r="B6644" s="1" t="str">
        <f>"KCRS REAL ESTATE LLC"</f>
        <v>KCRS REAL ESTATE LLC</v>
      </c>
      <c r="C6644" s="1" t="str">
        <f>"ABERDEEN AVE LEONARD PARK 54 BLK B"</f>
        <v>ABERDEEN AVE LEONARD PARK 54 BLK B</v>
      </c>
      <c r="D6644" s="1">
        <v>372.71</v>
      </c>
    </row>
    <row r="6645" spans="1:4" x14ac:dyDescent="0.3">
      <c r="A6645" s="1" t="str">
        <f>"19100035200"</f>
        <v>19100035200</v>
      </c>
      <c r="B6645" s="1" t="str">
        <f>"KCRS REAL ESTATE LLC"</f>
        <v>KCRS REAL ESTATE LLC</v>
      </c>
      <c r="C6645" s="1" t="str">
        <f>"ABERDEEN AVE LEONARD PARK 51 BLK B"</f>
        <v>ABERDEEN AVE LEONARD PARK 51 BLK B</v>
      </c>
      <c r="D6645" s="1">
        <v>372.71</v>
      </c>
    </row>
    <row r="6646" spans="1:4" x14ac:dyDescent="0.3">
      <c r="A6646" s="1" t="str">
        <f>"10000274700"</f>
        <v>10000274700</v>
      </c>
      <c r="B6646" s="1" t="str">
        <f>"KEANE JOAN"</f>
        <v>KEANE JOAN</v>
      </c>
      <c r="C6646" s="1" t="str">
        <f>"1150 E RIDGEDALE DR WILSON HILL HIGHLANDS LOT 100"</f>
        <v>1150 E RIDGEDALE DR WILSON HILL HIGHLANDS LOT 100</v>
      </c>
      <c r="D6646" s="1">
        <v>781.9</v>
      </c>
    </row>
    <row r="6647" spans="1:4" x14ac:dyDescent="0.3">
      <c r="A6647" s="1" t="str">
        <f>"06000793500"</f>
        <v>06000793500</v>
      </c>
      <c r="B6647" s="1" t="str">
        <f>"KEANEY THOMAS H TTEE"</f>
        <v>KEANEY THOMAS H TTEE</v>
      </c>
      <c r="C6647" s="1" t="str">
        <f>"0000 REDMAN CONDO 4TH AMD BLDG 12 UNIT 7758"</f>
        <v>0000 REDMAN CONDO 4TH AMD BLDG 12 UNIT 7758</v>
      </c>
      <c r="D6647" s="1">
        <v>2244.98</v>
      </c>
    </row>
    <row r="6648" spans="1:4" x14ac:dyDescent="0.3">
      <c r="A6648" s="1" t="str">
        <f>"01002061200"</f>
        <v>01002061200</v>
      </c>
      <c r="B6648" s="1" t="str">
        <f>"KEATHLEY BURLEY, KEATHLEY CAROLYN L"</f>
        <v>KEATHLEY BURLEY, KEATHLEY CAROLYN L</v>
      </c>
      <c r="C6648" s="1" t="str">
        <f>"118-120 E MAYNARD AV ALL 24 EX 2.1X70 FT S W COR."</f>
        <v>118-120 E MAYNARD AV ALL 24 EX 2.1X70 FT S W COR.</v>
      </c>
      <c r="D6648" s="1">
        <v>2123.7399999999998</v>
      </c>
    </row>
    <row r="6649" spans="1:4" x14ac:dyDescent="0.3">
      <c r="A6649" s="1" t="str">
        <f>"49025913700"</f>
        <v>49025913700</v>
      </c>
      <c r="B6649" s="1" t="str">
        <f>"KEATON KENNETH R JR, KEATON RIKKI L"</f>
        <v>KEATON KENNETH R JR, KEATON RIKKI L</v>
      </c>
      <c r="C6649" s="1" t="str">
        <f>"JOHN BROWNING DRIVE MEADOWS AT WINCHESTER SECTION 6 LOT 365"</f>
        <v>JOHN BROWNING DRIVE MEADOWS AT WINCHESTER SECTION 6 LOT 365</v>
      </c>
      <c r="D6649" s="1">
        <v>4850.45</v>
      </c>
    </row>
    <row r="6650" spans="1:4" x14ac:dyDescent="0.3">
      <c r="A6650" s="1" t="str">
        <f>"04000872900"</f>
        <v>04000872900</v>
      </c>
      <c r="B6650" s="1" t="str">
        <f>"KEATON KRISTY KAY"</f>
        <v>KEATON KRISTY KAY</v>
      </c>
      <c r="C6650" s="1" t="str">
        <f>"RIVER TRAIL COURT INDIAN TRAILS SEC 8 LOT 420"</f>
        <v>RIVER TRAIL COURT INDIAN TRAILS SEC 8 LOT 420</v>
      </c>
      <c r="D6650" s="1">
        <v>290.39999999999998</v>
      </c>
    </row>
    <row r="6651" spans="1:4" x14ac:dyDescent="0.3">
      <c r="A6651" s="1" t="str">
        <f>"01000671100"</f>
        <v>01000671100</v>
      </c>
      <c r="B6651" s="1" t="str">
        <f>"KEBEDE BINYAME, NEGASH SELAMAWIT"</f>
        <v>KEBEDE BINYAME, NEGASH SELAMAWIT</v>
      </c>
      <c r="C6651" s="1" t="str">
        <f>"14 REEB AVE REEB ADD LOT 7"</f>
        <v>14 REEB AVE REEB ADD LOT 7</v>
      </c>
      <c r="D6651" s="1">
        <v>2056.58</v>
      </c>
    </row>
    <row r="6652" spans="1:4" x14ac:dyDescent="0.3">
      <c r="A6652" s="1" t="str">
        <f>"09000385200"</f>
        <v>09000385200</v>
      </c>
      <c r="B6652" s="1" t="str">
        <f>"KEBEDE MARANATHA"</f>
        <v>KEBEDE MARANATHA</v>
      </c>
      <c r="C6652" s="1" t="str">
        <f>"46 PINEWOOD DR PTS 5 6 SHERMANS E BROAD ST"</f>
        <v>46 PINEWOOD DR PTS 5 6 SHERMANS E BROAD ST</v>
      </c>
      <c r="D6652" s="1">
        <v>1287.29</v>
      </c>
    </row>
    <row r="6653" spans="1:4" x14ac:dyDescent="0.3">
      <c r="A6653" s="1" t="str">
        <f>"01010709200"</f>
        <v>01010709200</v>
      </c>
      <c r="B6653" s="1" t="str">
        <f>"KECK MYRA E"</f>
        <v>KECK MYRA E</v>
      </c>
      <c r="C6653" s="1" t="str">
        <f>"OAKLAWN ST KENMORE KNOLLS 2 LOT 19"</f>
        <v>OAKLAWN ST KENMORE KNOLLS 2 LOT 19</v>
      </c>
      <c r="D6653" s="1">
        <v>128.97999999999999</v>
      </c>
    </row>
    <row r="6654" spans="1:4" x14ac:dyDescent="0.3">
      <c r="A6654" s="1" t="str">
        <f>"09000615500"</f>
        <v>09000615500</v>
      </c>
      <c r="B6654" s="1" t="str">
        <f>"KEEFE DOROTHY J TR"</f>
        <v>KEEFE DOROTHY J TR</v>
      </c>
      <c r="C6654" s="1" t="str">
        <f>"486 BEAVER AVE WHITEHALL PK LOT 255 "</f>
        <v xml:space="preserve">486 BEAVER AVE WHITEHALL PK LOT 255 </v>
      </c>
      <c r="D6654" s="1">
        <v>5.54</v>
      </c>
    </row>
    <row r="6655" spans="1:4" x14ac:dyDescent="0.3">
      <c r="A6655" s="1" t="str">
        <f>"16000038100"</f>
        <v>16000038100</v>
      </c>
      <c r="B6655" s="1" t="str">
        <f>"KEEFER JOSEPH W"</f>
        <v>KEEFER JOSEPH W</v>
      </c>
      <c r="C6655" s="1" t="str">
        <f>"HYDE RD ENTRY 1454 OQ 1000"</f>
        <v>HYDE RD ENTRY 1454 OQ 1000</v>
      </c>
      <c r="D6655" s="1">
        <v>165.2</v>
      </c>
    </row>
    <row r="6656" spans="1:4" x14ac:dyDescent="0.3">
      <c r="A6656" s="1" t="str">
        <f>"01013159700"</f>
        <v>01013159700</v>
      </c>
      <c r="B6656" s="1" t="str">
        <f>"KEELS ANNIE R"</f>
        <v>KEELS ANNIE R</v>
      </c>
      <c r="C6656" s="1" t="str">
        <f>"NONA RD RADCLIFF LOT 41"</f>
        <v>NONA RD RADCLIFF LOT 41</v>
      </c>
      <c r="D6656" s="1">
        <v>989.92</v>
      </c>
    </row>
    <row r="6657" spans="1:4" x14ac:dyDescent="0.3">
      <c r="A6657" s="1" t="str">
        <f>"01000205500"</f>
        <v>01000205500</v>
      </c>
      <c r="B6657" s="1" t="str">
        <f>"KEELS ANTHONY D, KEELS ERIN L"</f>
        <v>KEELS ANTHONY D, KEELS ERIN L</v>
      </c>
      <c r="C6657" s="1" t="str">
        <f>"1028 NEIL AVE LYDIA C BROWN SUB 2"</f>
        <v>1028 NEIL AVE LYDIA C BROWN SUB 2</v>
      </c>
      <c r="D6657" s="1">
        <v>717.77</v>
      </c>
    </row>
    <row r="6658" spans="1:4" x14ac:dyDescent="0.3">
      <c r="A6658" s="1" t="str">
        <f>"23000248600"</f>
        <v>23000248600</v>
      </c>
      <c r="B6658" s="1" t="str">
        <f>"KEENER EMILY, KEENER GARRETT"</f>
        <v>KEENER EMILY, KEENER GARRETT</v>
      </c>
      <c r="C6658" s="1" t="str">
        <f>"LONDON-GROVEPORT RD .3609 ACRE ENTRY 6309-6582"</f>
        <v>LONDON-GROVEPORT RD .3609 ACRE ENTRY 6309-6582</v>
      </c>
      <c r="D6658" s="1">
        <v>1209.72</v>
      </c>
    </row>
    <row r="6659" spans="1:4" x14ac:dyDescent="0.3">
      <c r="A6659" s="1" t="str">
        <f>"01008533700"</f>
        <v>01008533700</v>
      </c>
      <c r="B6659" s="1" t="str">
        <f>"KEENER MESSER GROUP LLC"</f>
        <v>KEENER MESSER GROUP LLC</v>
      </c>
      <c r="C6659" s="1" t="str">
        <f>"JEFFREY PLACE BEECHWOLD LOT 48"</f>
        <v>JEFFREY PLACE BEECHWOLD LOT 48</v>
      </c>
      <c r="D6659" s="1">
        <v>7497.19</v>
      </c>
    </row>
    <row r="6660" spans="1:4" x14ac:dyDescent="0.3">
      <c r="A6660" s="1" t="str">
        <f>"60026391000"</f>
        <v>60026391000</v>
      </c>
      <c r="B6660" s="1" t="str">
        <f>"KEENEY SARAH"</f>
        <v>KEENEY SARAH</v>
      </c>
      <c r="C6660" s="1" t="str">
        <f>"KENSINGTON WOODS CONDOMINIUM 3RD AMD BLDG 3 UNIT 3970"</f>
        <v>KENSINGTON WOODS CONDOMINIUM 3RD AMD BLDG 3 UNIT 3970</v>
      </c>
      <c r="D6660" s="1">
        <v>6219.86</v>
      </c>
    </row>
    <row r="6661" spans="1:4" x14ac:dyDescent="0.3">
      <c r="A6661" s="1" t="str">
        <f>"01002690200"</f>
        <v>01002690200</v>
      </c>
      <c r="B6661" s="1" t="str">
        <f>"KEENS TOO LLC"</f>
        <v>KEENS TOO LLC</v>
      </c>
      <c r="C6661" s="1" t="str">
        <f>"999 ST CLAIR AVE BIDLEMAN PT LOT 35"</f>
        <v>999 ST CLAIR AVE BIDLEMAN PT LOT 35</v>
      </c>
      <c r="D6661" s="1">
        <v>750</v>
      </c>
    </row>
    <row r="6662" spans="1:4" x14ac:dyDescent="0.3">
      <c r="A6662" s="1" t="str">
        <f>"01002690300"</f>
        <v>01002690300</v>
      </c>
      <c r="B6662" s="1" t="str">
        <f>"KEENS TOO LLC"</f>
        <v>KEENS TOO LLC</v>
      </c>
      <c r="C6662" s="1" t="str">
        <f>"991 N ST CLAIR AVE BIDLEMAN PT LOTS 36&amp;37"</f>
        <v>991 N ST CLAIR AVE BIDLEMAN PT LOTS 36&amp;37</v>
      </c>
      <c r="D6662" s="1">
        <v>726</v>
      </c>
    </row>
    <row r="6663" spans="1:4" x14ac:dyDescent="0.3">
      <c r="A6663" s="1" t="str">
        <f>"01001384900"</f>
        <v>01001384900</v>
      </c>
      <c r="B6663" s="1" t="str">
        <f>"KEENS TOO LLC"</f>
        <v>KEENS TOO LLC</v>
      </c>
      <c r="C6663" s="1" t="str">
        <f>"894 E FOURTH AVE BIDLEMAN LOT 41"</f>
        <v>894 E FOURTH AVE BIDLEMAN LOT 41</v>
      </c>
      <c r="D6663" s="1">
        <v>550</v>
      </c>
    </row>
    <row r="6664" spans="1:4" x14ac:dyDescent="0.3">
      <c r="A6664" s="1" t="str">
        <f>"01002180500"</f>
        <v>01002180500</v>
      </c>
      <c r="B6664" s="1" t="str">
        <f>"KEENS TOO LLC"</f>
        <v>KEENS TOO LLC</v>
      </c>
      <c r="C6664" s="1" t="str">
        <f>"865-867 E 5TH AVE 132 FT SE LOT 20 BIDLEMAN ADD"</f>
        <v>865-867 E 5TH AVE 132 FT SE LOT 20 BIDLEMAN ADD</v>
      </c>
      <c r="D6664" s="1">
        <v>3840</v>
      </c>
    </row>
    <row r="6665" spans="1:4" x14ac:dyDescent="0.3">
      <c r="A6665" s="1" t="str">
        <f>"01011130500"</f>
        <v>01011130500</v>
      </c>
      <c r="B6665" s="1" t="str">
        <f>"KEETON HENRY C, KEETON NENA"</f>
        <v>KEETON HENRY C, KEETON NENA</v>
      </c>
      <c r="C6665" s="1" t="str">
        <f>"HALDY RD JOAN HEIGHTS LOT 9-10"</f>
        <v>HALDY RD JOAN HEIGHTS LOT 9-10</v>
      </c>
      <c r="D6665" s="1">
        <v>3360.05</v>
      </c>
    </row>
    <row r="6666" spans="1:4" x14ac:dyDescent="0.3">
      <c r="A6666" s="1" t="str">
        <f>"15000202700"</f>
        <v>15000202700</v>
      </c>
      <c r="B6666" s="1" t="str">
        <f>"KEFAUVER JOHN, KEFAUVER SHANNA S"</f>
        <v>KEFAUVER JOHN, KEFAUVER SHANNA S</v>
      </c>
      <c r="C6666" s="1" t="str">
        <f>"947 KINGLAND DR HAMILTON MEADOWS 3 LOT 405"</f>
        <v>947 KINGLAND DR HAMILTON MEADOWS 3 LOT 405</v>
      </c>
      <c r="D6666" s="1">
        <v>1886.46</v>
      </c>
    </row>
    <row r="6667" spans="1:4" x14ac:dyDescent="0.3">
      <c r="A6667" s="1" t="str">
        <f>"01006829700"</f>
        <v>01006829700</v>
      </c>
      <c r="B6667" s="1" t="str">
        <f>"KEFF HOLDINGS LLC"</f>
        <v>KEFF HOLDINGS LLC</v>
      </c>
      <c r="C6667" s="1" t="str">
        <f>"622-4 S OGDEN AVE HEFFNER HTS LOT 71"</f>
        <v>622-4 S OGDEN AVE HEFFNER HTS LOT 71</v>
      </c>
      <c r="D6667" s="1">
        <v>1191.75</v>
      </c>
    </row>
    <row r="6668" spans="1:4" x14ac:dyDescent="0.3">
      <c r="A6668" s="1" t="str">
        <f>"59017717100"</f>
        <v>59017717100</v>
      </c>
      <c r="B6668" s="1" t="str">
        <f>"KEGG KYLE H, MINDIGO TIFFANY"</f>
        <v>KEGG KYLE H, MINDIGO TIFFANY</v>
      </c>
      <c r="C6668" s="1" t="str">
        <f>"SILVER FOX DRIVE FOXBORO VILLAGE 3 LOT 86"</f>
        <v>SILVER FOX DRIVE FOXBORO VILLAGE 3 LOT 86</v>
      </c>
      <c r="D6668" s="1">
        <v>8104.84</v>
      </c>
    </row>
    <row r="6669" spans="1:4" x14ac:dyDescent="0.3">
      <c r="A6669" s="1" t="str">
        <f>"01019442900"</f>
        <v>01019442900</v>
      </c>
      <c r="B6669" s="1" t="str">
        <f>"KEGLER TIA C"</f>
        <v>KEGLER TIA C</v>
      </c>
      <c r="C6669" s="1" t="str">
        <f>"1374B LAKE SHORE DR HIDDEN LAKE CONDO PH3 UNIT 151 BLDG 10"</f>
        <v>1374B LAKE SHORE DR HIDDEN LAKE CONDO PH3 UNIT 151 BLDG 10</v>
      </c>
      <c r="D6669" s="1">
        <v>107.23</v>
      </c>
    </row>
    <row r="6670" spans="1:4" x14ac:dyDescent="0.3">
      <c r="A6670" s="1" t="str">
        <f>"61018011500"</f>
        <v>61018011500</v>
      </c>
      <c r="B6670" s="1" t="str">
        <f>"KEHLER ERIC N, KEHLER DIANE L"</f>
        <v>KEHLER ERIC N, KEHLER DIANE L</v>
      </c>
      <c r="C6670" s="1" t="str">
        <f>"DEER CREEK DR DEER CREEK SEC 1 LOT 26"</f>
        <v>DEER CREEK DR DEER CREEK SEC 1 LOT 26</v>
      </c>
      <c r="D6670" s="1">
        <v>9491.0300000000007</v>
      </c>
    </row>
    <row r="6671" spans="1:4" x14ac:dyDescent="0.3">
      <c r="A6671" s="1" t="str">
        <f>"07001474300"</f>
        <v>07001474300</v>
      </c>
      <c r="B6671" s="1" t="str">
        <f>"KEHOE LIBERTY S"</f>
        <v>KEHOE LIBERTY S</v>
      </c>
      <c r="C6671" s="1" t="str">
        <f>"ARLINGTON CROSSING        CONDOMINIUM 13TH AMD      UNIT 204                 "</f>
        <v xml:space="preserve">ARLINGTON CROSSING        CONDOMINIUM 13TH AMD      UNIT 204                 </v>
      </c>
      <c r="D6671" s="1">
        <v>482.48</v>
      </c>
    </row>
    <row r="6672" spans="1:4" x14ac:dyDescent="0.3">
      <c r="A6672" s="1" t="str">
        <f>"01021552000"</f>
        <v>01021552000</v>
      </c>
      <c r="B6672" s="1" t="str">
        <f>"KEIDEL ROSEMARIE B"</f>
        <v>KEIDEL ROSEMARIE B</v>
      </c>
      <c r="C6672" s="1" t="str">
        <f>"COSMO ALLEY GENESIS SUBDIVISION LOT 1  .209 ACRES"</f>
        <v>COSMO ALLEY GENESIS SUBDIVISION LOT 1  .209 ACRES</v>
      </c>
      <c r="D6672" s="1">
        <v>113.45</v>
      </c>
    </row>
    <row r="6673" spans="1:4" x14ac:dyDescent="0.3">
      <c r="A6673" s="1" t="str">
        <f>"01022783700"</f>
        <v>01022783700</v>
      </c>
      <c r="B6673" s="1" t="str">
        <f>"KEITA INVESTMENT &amp; MANAGEMENT PROPERTIES LLC"</f>
        <v>KEITA INVESTMENT &amp; MANAGEMENT PROPERTIES LLC</v>
      </c>
      <c r="C6673" s="1" t="str">
        <f>"6680 MAPLE CANYON AV N HOME ACRE PK AMD 2 LT 163 &amp; 8'SS LT 164"</f>
        <v>6680 MAPLE CANYON AV N HOME ACRE PK AMD 2 LT 163 &amp; 8'SS LT 164</v>
      </c>
      <c r="D6673" s="1">
        <v>3174.35</v>
      </c>
    </row>
    <row r="6674" spans="1:4" x14ac:dyDescent="0.3">
      <c r="A6674" s="1" t="str">
        <f>"01005964700"</f>
        <v>01005964700</v>
      </c>
      <c r="B6674" s="1" t="str">
        <f>"KEITA INVESTMENT AND MANAGEMENT LLC"</f>
        <v>KEITA INVESTMENT AND MANAGEMENT LLC</v>
      </c>
      <c r="C6674" s="1" t="str">
        <f>"1497 WEBER RD LINDEN LOT 49"</f>
        <v>1497 WEBER RD LINDEN LOT 49</v>
      </c>
      <c r="D6674" s="1">
        <v>2982.26</v>
      </c>
    </row>
    <row r="6675" spans="1:4" x14ac:dyDescent="0.3">
      <c r="A6675" s="1" t="str">
        <f>"01012713700"</f>
        <v>01012713700</v>
      </c>
      <c r="B6675" s="1" t="str">
        <f>"KEITH GREGORY M TR"</f>
        <v>KEITH GREGORY M TR</v>
      </c>
      <c r="C6675" s="1" t="str">
        <f>"3239 OBERLIN PL CRANBROOK LOT 56"</f>
        <v>3239 OBERLIN PL CRANBROOK LOT 56</v>
      </c>
      <c r="D6675" s="1">
        <v>5850.75</v>
      </c>
    </row>
    <row r="6676" spans="1:4" x14ac:dyDescent="0.3">
      <c r="A6676" s="1" t="str">
        <f>"19000063200"</f>
        <v>19000063200</v>
      </c>
      <c r="B6676" s="1" t="str">
        <f>"KEITH JESSE L"</f>
        <v>KEITH JESSE L</v>
      </c>
      <c r="C6676" s="1" t="str">
        <f>"2486 PARKWOOD AVE DENUNE E LINDEN 5TH 155"</f>
        <v>2486 PARKWOOD AVE DENUNE E LINDEN 5TH 155</v>
      </c>
      <c r="D6676" s="1">
        <v>1026.75</v>
      </c>
    </row>
    <row r="6677" spans="1:4" x14ac:dyDescent="0.3">
      <c r="A6677" s="1" t="str">
        <f>"61018882500"</f>
        <v>61018882500</v>
      </c>
      <c r="B6677" s="1" t="str">
        <f>"KEITH TERESA"</f>
        <v>KEITH TERESA</v>
      </c>
      <c r="C6677" s="1" t="str">
        <f>"1952 LARAMIE DR WESTERN HILLS COND 2 UNIT 14"</f>
        <v>1952 LARAMIE DR WESTERN HILLS COND 2 UNIT 14</v>
      </c>
      <c r="D6677" s="1">
        <v>2686.37</v>
      </c>
    </row>
    <row r="6678" spans="1:4" x14ac:dyDescent="0.3">
      <c r="A6678" s="1" t="str">
        <f>"01007509000"</f>
        <v>01007509000</v>
      </c>
      <c r="B6678" s="1" t="str">
        <f>"KELETA SIMONA ABEL"</f>
        <v>KELETA SIMONA ABEL</v>
      </c>
      <c r="C6678" s="1" t="str">
        <f>"GRASMERE AVE GRASMERE GARDENS LOT 327"</f>
        <v>GRASMERE AVE GRASMERE GARDENS LOT 327</v>
      </c>
      <c r="D6678" s="1">
        <v>661.93</v>
      </c>
    </row>
    <row r="6679" spans="1:4" x14ac:dyDescent="0.3">
      <c r="A6679" s="1" t="str">
        <f>"01007449400"</f>
        <v>01007449400</v>
      </c>
      <c r="B6679" s="1" t="str">
        <f>"KELETA YIFTERELLA H"</f>
        <v>KELETA YIFTERELLA H</v>
      </c>
      <c r="C6679" s="1" t="str">
        <f>"LORETTA AVE HIGHWAY PARK LOT 96"</f>
        <v>LORETTA AVE HIGHWAY PARK LOT 96</v>
      </c>
      <c r="D6679" s="1">
        <v>98.08</v>
      </c>
    </row>
    <row r="6680" spans="1:4" x14ac:dyDescent="0.3">
      <c r="A6680" s="1" t="str">
        <f>"01002299200"</f>
        <v>01002299200</v>
      </c>
      <c r="B6680" s="1" t="str">
        <f>"KELLEM RONALD A, KELLEM MARTHA A"</f>
        <v>KELLEM RONALD A, KELLEM MARTHA A</v>
      </c>
      <c r="C6680" s="1" t="str">
        <f>"1150 LEXINGTON AVE S A SHOEMAKER LOT 171"</f>
        <v>1150 LEXINGTON AVE S A SHOEMAKER LOT 171</v>
      </c>
      <c r="D6680" s="1">
        <v>1100</v>
      </c>
    </row>
    <row r="6681" spans="1:4" x14ac:dyDescent="0.3">
      <c r="A6681" s="1" t="str">
        <f>"09000056900"</f>
        <v>09000056900</v>
      </c>
      <c r="B6681" s="1" t="str">
        <f>"KELLER DONNA M, KLLER TERESA M"</f>
        <v>KELLER DONNA M, KLLER TERESA M</v>
      </c>
      <c r="C6681" s="1" t="str">
        <f>"COLLINGWOOD AVE S1/2 LOWRIE BROS LOT 224"</f>
        <v>COLLINGWOOD AVE S1/2 LOWRIE BROS LOT 224</v>
      </c>
      <c r="D6681" s="1">
        <v>2932.24</v>
      </c>
    </row>
    <row r="6682" spans="1:4" x14ac:dyDescent="0.3">
      <c r="A6682" s="1" t="str">
        <f>"06000665700"</f>
        <v>06000665700</v>
      </c>
      <c r="B6682" s="1" t="str">
        <f>"KELLER MICHAEL J TOD"</f>
        <v>KELLER MICHAEL J TOD</v>
      </c>
      <c r="C6682" s="1" t="str">
        <f>"CANTWELL CT BROOK FARM SEC 2 LOT 171"</f>
        <v>CANTWELL CT BROOK FARM SEC 2 LOT 171</v>
      </c>
      <c r="D6682" s="1">
        <v>5595.66</v>
      </c>
    </row>
    <row r="6683" spans="1:4" x14ac:dyDescent="0.3">
      <c r="A6683" s="1" t="str">
        <f>"07001097300"</f>
        <v>07001097300</v>
      </c>
      <c r="B6683" s="1" t="str">
        <f>"KELLER SANDRA LEIGH"</f>
        <v>KELLER SANDRA LEIGH</v>
      </c>
      <c r="C6683" s="1" t="str">
        <f>"4230 LYON DR REEDBURY LOT 15"</f>
        <v>4230 LYON DR REEDBURY LOT 15</v>
      </c>
      <c r="D6683" s="1">
        <v>14354.66</v>
      </c>
    </row>
    <row r="6684" spans="1:4" x14ac:dyDescent="0.3">
      <c r="A6684" s="1" t="str">
        <f>"10000133200"</f>
        <v>10000133200</v>
      </c>
      <c r="B6684" s="1" t="str">
        <f>"KELLER VIRGINIA D"</f>
        <v>KELLER VIRGINIA D</v>
      </c>
      <c r="C6684" s="1" t="str">
        <f>"495 PARK OVERLOOK DR COLONIAL HILLS NO 2 LOT 78 PT RES B"</f>
        <v>495 PARK OVERLOOK DR COLONIAL HILLS NO 2 LOT 78 PT RES B</v>
      </c>
      <c r="D6684" s="1">
        <v>282.2</v>
      </c>
    </row>
    <row r="6685" spans="1:4" x14ac:dyDescent="0.3">
      <c r="A6685" s="1" t="str">
        <f>"27300859900"</f>
        <v>27300859900</v>
      </c>
      <c r="B6685" s="1" t="str">
        <f>"KELLEY BRIAN T, PHAM BRIAN"</f>
        <v>KELLEY BRIAN T, PHAM BRIAN</v>
      </c>
      <c r="C6685" s="1" t="str">
        <f>"SUMMIT VIEW RD 3.554 ACRES R19 T2 S2"</f>
        <v>SUMMIT VIEW RD 3.554 ACRES R19 T2 S2</v>
      </c>
      <c r="D6685" s="1">
        <v>1241.0999999999999</v>
      </c>
    </row>
    <row r="6686" spans="1:4" x14ac:dyDescent="0.3">
      <c r="A6686" s="1" t="str">
        <f>"01004602600"</f>
        <v>01004602600</v>
      </c>
      <c r="B6686" s="1" t="str">
        <f>"KELLEY JOSHUA"</f>
        <v>KELLEY JOSHUA</v>
      </c>
      <c r="C6686" s="1" t="str">
        <f>"434 CENTRAL AVE CENTRAL AVE LOT 19"</f>
        <v>434 CENTRAL AVE CENTRAL AVE LOT 19</v>
      </c>
      <c r="D6686" s="1">
        <v>2462.13</v>
      </c>
    </row>
    <row r="6687" spans="1:4" x14ac:dyDescent="0.3">
      <c r="A6687" s="1" t="str">
        <f>"01007329600"</f>
        <v>01007329600</v>
      </c>
      <c r="B6687" s="1" t="str">
        <f>"KELLEY ROY"</f>
        <v>KELLEY ROY</v>
      </c>
      <c r="C6687" s="1" t="str">
        <f>"RICHMOND LOT 220 "</f>
        <v xml:space="preserve">RICHMOND LOT 220 </v>
      </c>
      <c r="D6687" s="1">
        <v>2198.69</v>
      </c>
    </row>
    <row r="6688" spans="1:4" x14ac:dyDescent="0.3">
      <c r="A6688" s="1" t="str">
        <f>"01002780000"</f>
        <v>01002780000</v>
      </c>
      <c r="B6688" s="1" t="str">
        <f>"KELLEY ROY JR"</f>
        <v>KELLEY ROY JR</v>
      </c>
      <c r="C6688" s="1" t="str">
        <f>"COLE ST REAR LINEN PLC LOT 87-8"</f>
        <v>COLE ST REAR LINEN PLC LOT 87-8</v>
      </c>
      <c r="D6688" s="1">
        <v>2735.54</v>
      </c>
    </row>
    <row r="6689" spans="1:4" x14ac:dyDescent="0.3">
      <c r="A6689" s="1" t="str">
        <f>"01005337000"</f>
        <v>01005337000</v>
      </c>
      <c r="B6689" s="1" t="str">
        <f>"KELLEY ROY JR"</f>
        <v>KELLEY ROY JR</v>
      </c>
      <c r="C6689" s="1" t="str">
        <f>"375 ST CLAIR AVE GARRISON PARK PLACE LOT 218"</f>
        <v>375 ST CLAIR AVE GARRISON PARK PLACE LOT 218</v>
      </c>
      <c r="D6689" s="1">
        <v>3106.22</v>
      </c>
    </row>
    <row r="6690" spans="1:4" x14ac:dyDescent="0.3">
      <c r="A6690" s="1" t="str">
        <f>"01009649100"</f>
        <v>01009649100</v>
      </c>
      <c r="B6690" s="1" t="str">
        <f>"KELLEY ROY JR"</f>
        <v>KELLEY ROY JR</v>
      </c>
      <c r="C6690" s="1" t="str">
        <f>"HAMILTON SCHOOL LOT 11 "</f>
        <v xml:space="preserve">HAMILTON SCHOOL LOT 11 </v>
      </c>
      <c r="D6690" s="1">
        <v>1433.44</v>
      </c>
    </row>
    <row r="6691" spans="1:4" x14ac:dyDescent="0.3">
      <c r="A6691" s="1" t="str">
        <f>"01016238100"</f>
        <v>01016238100</v>
      </c>
      <c r="B6691" s="1" t="str">
        <f>"KELLY AMY L"</f>
        <v>KELLY AMY L</v>
      </c>
      <c r="C6691" s="1" t="str">
        <f>"KIMBERLY VILLAS CON PHASE IV UNIT D BLDG 34"</f>
        <v>KIMBERLY VILLAS CON PHASE IV UNIT D BLDG 34</v>
      </c>
      <c r="D6691" s="1">
        <v>1248.4100000000001</v>
      </c>
    </row>
    <row r="6692" spans="1:4" x14ac:dyDescent="0.3">
      <c r="A6692" s="1" t="str">
        <f>"01011293900"</f>
        <v>01011293900</v>
      </c>
      <c r="B6692" s="1" t="str">
        <f>"KELLY FRANCES L CO-TR, KELLY JUNIOR G CO-TR"</f>
        <v>KELLY FRANCES L CO-TR, KELLY JUNIOR G CO-TR</v>
      </c>
      <c r="C6692" s="1" t="str">
        <f>"3325 LEWIS RD PARSONS &amp; WILLIAMS RD LOT 28"</f>
        <v>3325 LEWIS RD PARSONS &amp; WILLIAMS RD LOT 28</v>
      </c>
      <c r="D6692" s="1">
        <v>229.03</v>
      </c>
    </row>
    <row r="6693" spans="1:4" x14ac:dyDescent="0.3">
      <c r="A6693" s="1" t="str">
        <f>"01011294300"</f>
        <v>01011294300</v>
      </c>
      <c r="B6693" s="1" t="str">
        <f>"KELLY FRANCES L CO-TR, KELLY JUNIOR G CO-TR"</f>
        <v>KELLY FRANCES L CO-TR, KELLY JUNIOR G CO-TR</v>
      </c>
      <c r="C6693" s="1" t="str">
        <f>"LEWIS RD PARSONS &amp; WILLIAMS RD LOT 29"</f>
        <v>LEWIS RD PARSONS &amp; WILLIAMS RD LOT 29</v>
      </c>
      <c r="D6693" s="1">
        <v>51.9</v>
      </c>
    </row>
    <row r="6694" spans="1:4" x14ac:dyDescent="0.3">
      <c r="A6694" s="1" t="str">
        <f>"01014706500"</f>
        <v>01014706500</v>
      </c>
      <c r="B6694" s="1" t="str">
        <f>"KELLY JENNIFER J"</f>
        <v>KELLY JENNIFER J</v>
      </c>
      <c r="C6694" s="1" t="str">
        <f>"FOREST PK EAST SEC 3 LOT 456 "</f>
        <v xml:space="preserve">FOREST PK EAST SEC 3 LOT 456 </v>
      </c>
      <c r="D6694" s="1">
        <v>3896.63</v>
      </c>
    </row>
    <row r="6695" spans="1:4" x14ac:dyDescent="0.3">
      <c r="A6695" s="1" t="str">
        <f>"59019464600"</f>
        <v>59019464600</v>
      </c>
      <c r="B6695" s="1" t="str">
        <f>"KELLY JOANNE S TR"</f>
        <v>KELLY JOANNE S TR</v>
      </c>
      <c r="C6695" s="1" t="str">
        <f>"BANDON CT BALLYMEAD DUB SEC 1 LOT 7"</f>
        <v>BANDON CT BALLYMEAD DUB SEC 1 LOT 7</v>
      </c>
      <c r="D6695" s="1">
        <v>480.84</v>
      </c>
    </row>
    <row r="6696" spans="1:4" x14ac:dyDescent="0.3">
      <c r="A6696" s="1" t="str">
        <f>"06000646900"</f>
        <v>06000646900</v>
      </c>
      <c r="B6696" s="1" t="str">
        <f>"KELLY JOHNNY ADAM"</f>
        <v>KELLY JOHNNY ADAM</v>
      </c>
      <c r="C6696" s="1" t="str">
        <f>"6559 BARTLETT RD R21 T12 S13 1/2S20 0.823 ACRE"</f>
        <v>6559 BARTLETT RD R21 T12 S13 1/2S20 0.823 ACRE</v>
      </c>
      <c r="D6696" s="1">
        <v>1780.05</v>
      </c>
    </row>
    <row r="6697" spans="1:4" x14ac:dyDescent="0.3">
      <c r="A6697" s="1" t="str">
        <f>"25415161900"</f>
        <v>25415161900</v>
      </c>
      <c r="B6697" s="1" t="str">
        <f>"KELLY PATRICK O TOD"</f>
        <v>KELLY PATRICK O TOD</v>
      </c>
      <c r="C6697" s="1" t="str">
        <f>"449 ROSSLYN AVENUE TREMONT GRDNS 2 LOTS 275-278"</f>
        <v>449 ROSSLYN AVENUE TREMONT GRDNS 2 LOTS 275-278</v>
      </c>
      <c r="D6697" s="1">
        <v>903.86</v>
      </c>
    </row>
    <row r="6698" spans="1:4" x14ac:dyDescent="0.3">
      <c r="A6698" s="1" t="str">
        <f>"51024185600"</f>
        <v>51024185600</v>
      </c>
      <c r="B6698" s="1" t="str">
        <f>"KELLY PAUL D"</f>
        <v>KELLY PAUL D</v>
      </c>
      <c r="C6698" s="1" t="str">
        <f>"NAUTICAL DRIVE HAMILTON LAKES SECTION 1 LOT 30"</f>
        <v>NAUTICAL DRIVE HAMILTON LAKES SECTION 1 LOT 30</v>
      </c>
      <c r="D6698" s="1">
        <v>192.36</v>
      </c>
    </row>
    <row r="6699" spans="1:4" x14ac:dyDescent="0.3">
      <c r="A6699" s="1" t="str">
        <f>"04001594400"</f>
        <v>04001594400</v>
      </c>
      <c r="B6699" s="1" t="str">
        <f>"KELLY PAUL DAVID, KELLY BARBARA A"</f>
        <v>KELLY PAUL DAVID, KELLY BARBARA A</v>
      </c>
      <c r="C6699" s="1" t="str">
        <f>"HOLTON RUN SECTION 6 LOT 126"</f>
        <v>HOLTON RUN SECTION 6 LOT 126</v>
      </c>
      <c r="D6699" s="1">
        <v>338.58</v>
      </c>
    </row>
    <row r="6700" spans="1:4" x14ac:dyDescent="0.3">
      <c r="A6700" s="1" t="str">
        <f>"01007942300"</f>
        <v>01007942300</v>
      </c>
      <c r="B6700" s="1" t="str">
        <f>"KELLY PAUL J"</f>
        <v>KELLY PAUL J</v>
      </c>
      <c r="C6700" s="1" t="str">
        <f>"23RD AVE 14FT ES 124 &amp;34FT WS LOT 125 LINMOOR LT 124-125"</f>
        <v>23RD AVE 14FT ES 124 &amp;34FT WS LOT 125 LINMOOR LT 124-125</v>
      </c>
      <c r="D6700" s="1">
        <v>1241.08</v>
      </c>
    </row>
    <row r="6701" spans="1:4" x14ac:dyDescent="0.3">
      <c r="A6701" s="1" t="str">
        <f>"01006897600"</f>
        <v>01006897600</v>
      </c>
      <c r="B6701" s="1" t="str">
        <f>"KELLY PAUL, KELLY LEONARD"</f>
        <v>KELLY PAUL, KELLY LEONARD</v>
      </c>
      <c r="C6701" s="1" t="str">
        <f>"CHESTERSHIRE RD WILSHIRE HTS LOT 9 BLK 25"</f>
        <v>CHESTERSHIRE RD WILSHIRE HTS LOT 9 BLK 25</v>
      </c>
      <c r="D6701" s="1">
        <v>168.93</v>
      </c>
    </row>
    <row r="6702" spans="1:4" x14ac:dyDescent="0.3">
      <c r="A6702" s="1" t="str">
        <f>"01011301600"</f>
        <v>01011301600</v>
      </c>
      <c r="B6702" s="1" t="str">
        <f>"KELLY SCOTT TR"</f>
        <v>KELLY SCOTT TR</v>
      </c>
      <c r="C6702" s="1" t="str">
        <f>"LEIWS RD PARSONS &amp; WILLIAMS RD LOT 31"</f>
        <v>LEIWS RD PARSONS &amp; WILLIAMS RD LOT 31</v>
      </c>
      <c r="D6702" s="1">
        <v>51.9</v>
      </c>
    </row>
    <row r="6703" spans="1:4" x14ac:dyDescent="0.3">
      <c r="A6703" s="1" t="str">
        <f>"10000306400"</f>
        <v>10000306400</v>
      </c>
      <c r="B6703" s="1" t="str">
        <f>"KELMA LLC"</f>
        <v>KELMA LLC</v>
      </c>
      <c r="C6703" s="1" t="str">
        <f>"5617 N HIGH ST DAVIS ESTATE LOT 2"</f>
        <v>5617 N HIGH ST DAVIS ESTATE LOT 2</v>
      </c>
      <c r="D6703" s="1">
        <v>8466.39</v>
      </c>
    </row>
    <row r="6704" spans="1:4" x14ac:dyDescent="0.3">
      <c r="A6704" s="1" t="str">
        <f>"21300068000"</f>
        <v>21300068000</v>
      </c>
      <c r="B6704" s="1" t="str">
        <f>"KELSO DANIEL J, KELSO PATRICIA A"</f>
        <v>KELSO DANIEL J, KELSO PATRICIA A</v>
      </c>
      <c r="C6704" s="1" t="str">
        <f>"ESTEL RD BROOKSIDE ESTATES 1 LOT 40"</f>
        <v>ESTEL RD BROOKSIDE ESTATES 1 LOT 40</v>
      </c>
      <c r="D6704" s="1">
        <v>605.97</v>
      </c>
    </row>
    <row r="6705" spans="1:4" x14ac:dyDescent="0.3">
      <c r="A6705" s="1" t="str">
        <f>"10000014800"</f>
        <v>10000014800</v>
      </c>
      <c r="B6705" s="1" t="str">
        <f>"KELSO DANIEL, KRAL CRISTI"</f>
        <v>KELSO DANIEL, KRAL CRISTI</v>
      </c>
      <c r="C6705" s="1" t="str">
        <f>"581 FOX LANE PT LOT 3 DETRICK "</f>
        <v xml:space="preserve">581 FOX LANE PT LOT 3 DETRICK </v>
      </c>
      <c r="D6705" s="1">
        <v>768.35</v>
      </c>
    </row>
    <row r="6706" spans="1:4" x14ac:dyDescent="0.3">
      <c r="A6706" s="1" t="str">
        <f>"01006248700"</f>
        <v>01006248700</v>
      </c>
      <c r="B6706" s="1" t="str">
        <f>"KELSO MYLAN"</f>
        <v>KELSO MYLAN</v>
      </c>
      <c r="C6706" s="1" t="str">
        <f>"1863 E RICH ST REAR COLLOM LOT 1 "</f>
        <v xml:space="preserve">1863 E RICH ST REAR COLLOM LOT 1 </v>
      </c>
      <c r="D6706" s="1">
        <v>2431.06</v>
      </c>
    </row>
    <row r="6707" spans="1:4" x14ac:dyDescent="0.3">
      <c r="A6707" s="1" t="str">
        <f>"27301245300"</f>
        <v>27301245300</v>
      </c>
      <c r="B6707" s="1" t="str">
        <f>"KEMPER STEWART C TR"</f>
        <v>KEMPER STEWART C TR</v>
      </c>
      <c r="C6707" s="1" t="str">
        <f>"GREYSTONE MEWS CONDOMINIUM 16TH AMD UNIT 129"</f>
        <v>GREYSTONE MEWS CONDOMINIUM 16TH AMD UNIT 129</v>
      </c>
      <c r="D6707" s="1">
        <v>606.23</v>
      </c>
    </row>
    <row r="6708" spans="1:4" x14ac:dyDescent="0.3">
      <c r="A6708" s="1" t="str">
        <f>"01011978700"</f>
        <v>01011978700</v>
      </c>
      <c r="B6708" s="1" t="str">
        <f>"KEN SOPHORN"</f>
        <v>KEN SOPHORN</v>
      </c>
      <c r="C6708" s="1" t="str">
        <f>"KINGSFORD RD WESTGATE TERR LOT 105"</f>
        <v>KINGSFORD RD WESTGATE TERR LOT 105</v>
      </c>
      <c r="D6708" s="1">
        <v>2429.9899999999998</v>
      </c>
    </row>
    <row r="6709" spans="1:4" x14ac:dyDescent="0.3">
      <c r="A6709" s="1" t="str">
        <f>"13000215700"</f>
        <v>13000215700</v>
      </c>
      <c r="B6709" s="1" t="str">
        <f>"KENDALL KAY A, TWEEDY WILLIAM"</f>
        <v>KENDALL KAY A, TWEEDY WILLIAM</v>
      </c>
      <c r="C6709" s="1" t="str">
        <f>"SALE ROAD NORTH LINDEN 3 58 "</f>
        <v xml:space="preserve">SALE ROAD NORTH LINDEN 3 58 </v>
      </c>
      <c r="D6709" s="1">
        <v>2431.04</v>
      </c>
    </row>
    <row r="6710" spans="1:4" x14ac:dyDescent="0.3">
      <c r="A6710" s="1" t="str">
        <f>"13000238800"</f>
        <v>13000238800</v>
      </c>
      <c r="B6710" s="1" t="str">
        <f>"KENDALL LORI D TR, WATTS PATRICIA E"</f>
        <v>KENDALL LORI D TR, WATTS PATRICIA E</v>
      </c>
      <c r="C6710" s="1" t="str">
        <f>"1350 COOKE ROAD 2.013 ACRES LOT 9 "</f>
        <v xml:space="preserve">1350 COOKE ROAD 2.013 ACRES LOT 9 </v>
      </c>
      <c r="D6710" s="1">
        <v>9581.4599999999991</v>
      </c>
    </row>
    <row r="6711" spans="1:4" x14ac:dyDescent="0.3">
      <c r="A6711" s="1" t="str">
        <f>"01009238800"</f>
        <v>01009238800</v>
      </c>
      <c r="B6711" s="1" t="str">
        <f>"KENDRICK JAMES H SR"</f>
        <v>KENDRICK JAMES H SR</v>
      </c>
      <c r="C6711" s="1" t="str">
        <f>"12TH AVE CASSADY-PEAKE MEADOWS LOT 147"</f>
        <v>12TH AVE CASSADY-PEAKE MEADOWS LOT 147</v>
      </c>
      <c r="D6711" s="1">
        <v>63.5</v>
      </c>
    </row>
    <row r="6712" spans="1:4" x14ac:dyDescent="0.3">
      <c r="A6712" s="1" t="str">
        <f>"18500241300"</f>
        <v>18500241300</v>
      </c>
      <c r="B6712" s="1" t="str">
        <f>"KENG DOEUN K"</f>
        <v>KENG DOEUN K</v>
      </c>
      <c r="C6712" s="1" t="str">
        <f>"BIXWOOD COURT SOUTH BIXBY RIDGE SUBDIVISION PHASE 2 LOT 83"</f>
        <v>BIXWOOD COURT SOUTH BIXBY RIDGE SUBDIVISION PHASE 2 LOT 83</v>
      </c>
      <c r="D6712" s="1">
        <v>3104.38</v>
      </c>
    </row>
    <row r="6713" spans="1:4" x14ac:dyDescent="0.3">
      <c r="A6713" s="1" t="str">
        <f>"17000286400"</f>
        <v>17000286400</v>
      </c>
      <c r="B6713" s="1" t="str">
        <f>"KENIMER BRIAN J, KENIMER VICKIE"</f>
        <v>KENIMER BRIAN J, KENIMER VICKIE</v>
      </c>
      <c r="C6713" s="1" t="str">
        <f>"KELTONHURST COURT KITSMILLER'S CROSSING SECTION 3 PART 3 LOT 114"</f>
        <v>KELTONHURST COURT KITSMILLER'S CROSSING SECTION 3 PART 3 LOT 114</v>
      </c>
      <c r="D6713" s="1">
        <v>590.04</v>
      </c>
    </row>
    <row r="6714" spans="1:4" x14ac:dyDescent="0.3">
      <c r="A6714" s="1" t="str">
        <f>"61029425500"</f>
        <v>61029425500</v>
      </c>
      <c r="B6714" s="1" t="str">
        <f>"KENJAN PROPERTIES LLC"</f>
        <v>KENJAN PROPERTIES LLC</v>
      </c>
      <c r="C6714" s="1" t="str">
        <f>"RAVINES AT FLINT PARK CONDOMINIUMS                PHASE XXIII 23RD AMD UNIT 7988 BLDG 21"</f>
        <v>RAVINES AT FLINT PARK CONDOMINIUMS                PHASE XXIII 23RD AMD UNIT 7988 BLDG 21</v>
      </c>
      <c r="D6714" s="1">
        <v>1341.91</v>
      </c>
    </row>
    <row r="6715" spans="1:4" x14ac:dyDescent="0.3">
      <c r="A6715" s="1" t="str">
        <f>"01029458200"</f>
        <v>01029458200</v>
      </c>
      <c r="B6715" s="1" t="str">
        <f>"KENNEDY BARBARA J TR"</f>
        <v>KENNEDY BARBARA J TR</v>
      </c>
      <c r="C6715" s="1" t="str">
        <f>"EDGEWATER PLACE INVESTMENT CONDOMINIUM UNIT 331 BLDG 7 "</f>
        <v xml:space="preserve">EDGEWATER PLACE INVESTMENT CONDOMINIUM UNIT 331 BLDG 7 </v>
      </c>
      <c r="D6715" s="1">
        <v>867.23</v>
      </c>
    </row>
    <row r="6716" spans="1:4" x14ac:dyDescent="0.3">
      <c r="A6716" s="1" t="str">
        <f>"01029224400"</f>
        <v>01029224400</v>
      </c>
      <c r="B6716" s="1" t="str">
        <f>"KENNEDY BARBARA K"</f>
        <v>KENNEDY BARBARA K</v>
      </c>
      <c r="C6716" s="1" t="str">
        <f>"SUMMERLYN SECTION 3 PART 1 LOT 114 "</f>
        <v xml:space="preserve">SUMMERLYN SECTION 3 PART 1 LOT 114 </v>
      </c>
      <c r="D6716" s="1">
        <v>2696.14</v>
      </c>
    </row>
    <row r="6717" spans="1:4" x14ac:dyDescent="0.3">
      <c r="A6717" s="1" t="str">
        <f>"06000422800"</f>
        <v>06000422800</v>
      </c>
      <c r="B6717" s="1" t="str">
        <f>"KENNEDY SHERRY L"</f>
        <v>KENNEDY SHERRY L</v>
      </c>
      <c r="C6717" s="1" t="str">
        <f>"BRICE RD ROSETREE LOT 51"</f>
        <v>BRICE RD ROSETREE LOT 51</v>
      </c>
      <c r="D6717" s="1">
        <v>4029.5</v>
      </c>
    </row>
    <row r="6718" spans="1:4" x14ac:dyDescent="0.3">
      <c r="A6718" s="1" t="str">
        <f>"61023435300"</f>
        <v>61023435300</v>
      </c>
      <c r="B6718" s="1" t="str">
        <f>"KENNY DAVID"</f>
        <v>KENNY DAVID</v>
      </c>
      <c r="C6718" s="1" t="str">
        <f>"895 CHARLESTON WAY CARRIAGE OAKS CONDO 6TH AMD UNIT 21B"</f>
        <v>895 CHARLESTON WAY CARRIAGE OAKS CONDO 6TH AMD UNIT 21B</v>
      </c>
      <c r="D6718" s="1">
        <v>2730.26</v>
      </c>
    </row>
    <row r="6719" spans="1:4" x14ac:dyDescent="0.3">
      <c r="A6719" s="1" t="str">
        <f>"01004447500"</f>
        <v>01004447500</v>
      </c>
      <c r="B6719" s="1" t="str">
        <f>"KENT CRAIG T TR, CROTTY ERIN E TR"</f>
        <v>KENT CRAIG T TR, CROTTY ERIN E TR</v>
      </c>
      <c r="C6719" s="1" t="str">
        <f>"797 SELVACH AVE SELBACH LOT 27"</f>
        <v>797 SELVACH AVE SELBACH LOT 27</v>
      </c>
      <c r="D6719" s="1">
        <v>549.78</v>
      </c>
    </row>
    <row r="6720" spans="1:4" x14ac:dyDescent="0.3">
      <c r="A6720" s="1" t="str">
        <f>"22000209900"</f>
        <v>22000209900</v>
      </c>
      <c r="B6720" s="1" t="str">
        <f>"KENT JANE, KENT KEVIN"</f>
        <v>KENT JANE, KENT KEVIN</v>
      </c>
      <c r="C6720" s="1" t="str">
        <f>"WALNUT STREET 5.010 ACRES "</f>
        <v xml:space="preserve">WALNUT STREET 5.010 ACRES </v>
      </c>
      <c r="D6720" s="1">
        <v>11.75</v>
      </c>
    </row>
    <row r="6721" spans="1:4" x14ac:dyDescent="0.3">
      <c r="A6721" s="1" t="str">
        <f>"01003799900"</f>
        <v>01003799900</v>
      </c>
      <c r="B6721" s="1" t="str">
        <f>"KENT MARCIA"</f>
        <v>KENT MARCIA</v>
      </c>
      <c r="C6721" s="1" t="str">
        <f>"CAPITOL ST 15X39 6X13FT SE ONGS RESERVE"</f>
        <v>CAPITOL ST 15X39 6X13FT SE ONGS RESERVE</v>
      </c>
      <c r="D6721" s="1">
        <v>18.18</v>
      </c>
    </row>
    <row r="6722" spans="1:4" x14ac:dyDescent="0.3">
      <c r="A6722" s="1" t="str">
        <f>"01003459600"</f>
        <v>01003459600</v>
      </c>
      <c r="B6722" s="1" t="str">
        <f>"KENT MARCIA E"</f>
        <v>KENT MARCIA E</v>
      </c>
      <c r="C6722" s="1" t="str">
        <f>"2283 BROAD ST 19 FT E S OF 1 JAS P ONG LOT 1"</f>
        <v>2283 BROAD ST 19 FT E S OF 1 JAS P ONG LOT 1</v>
      </c>
      <c r="D6722" s="1">
        <v>860.76</v>
      </c>
    </row>
    <row r="6723" spans="1:4" x14ac:dyDescent="0.3">
      <c r="A6723" s="1" t="str">
        <f>"05000976100"</f>
        <v>05000976100</v>
      </c>
      <c r="B6723" s="1" t="str">
        <f>"KENT MICHAEL D, KENT ALISON J"</f>
        <v>KENT MICHAEL D, KENT ALISON J</v>
      </c>
      <c r="C6723" s="1" t="str">
        <f>"CASSEY STREET LAKEWOOD SECTION 5 LOT 341"</f>
        <v>CASSEY STREET LAKEWOOD SECTION 5 LOT 341</v>
      </c>
      <c r="D6723" s="1">
        <v>5212.6000000000004</v>
      </c>
    </row>
    <row r="6724" spans="1:4" x14ac:dyDescent="0.3">
      <c r="A6724" s="1" t="str">
        <f>"01011441700"</f>
        <v>01011441700</v>
      </c>
      <c r="B6724" s="1" t="str">
        <f>"KEONAVA PHETSAMONE, KEONAVA LOTH"</f>
        <v>KEONAVA PHETSAMONE, KEONAVA LOTH</v>
      </c>
      <c r="C6724" s="1" t="str">
        <f>"MARION RD MARION PARK LOT 25-26"</f>
        <v>MARION RD MARION PARK LOT 25-26</v>
      </c>
      <c r="D6724" s="1">
        <v>2126.15</v>
      </c>
    </row>
    <row r="6725" spans="1:4" x14ac:dyDescent="0.3">
      <c r="A6725" s="1" t="str">
        <f>"01008390500"</f>
        <v>01008390500</v>
      </c>
      <c r="B6725" s="1" t="str">
        <f>"KEPPLER DEBORAH, KEPPLER PAUL F"</f>
        <v>KEPPLER DEBORAH, KEPPLER PAUL F</v>
      </c>
      <c r="C6725" s="1" t="str">
        <f>"JEFFREY PLC L21&amp;20FT ESL 22 BEECHWOLD LOT 21-22"</f>
        <v>JEFFREY PLC L21&amp;20FT ESL 22 BEECHWOLD LOT 21-22</v>
      </c>
      <c r="D6725" s="1">
        <v>453.5</v>
      </c>
    </row>
    <row r="6726" spans="1:4" x14ac:dyDescent="0.3">
      <c r="A6726" s="1" t="str">
        <f>"01015730400"</f>
        <v>01015730400</v>
      </c>
      <c r="B6726" s="1" t="str">
        <f>"KEREN IKE M"</f>
        <v>KEREN IKE M</v>
      </c>
      <c r="C6726" s="1" t="str">
        <f>"LORRAINE AV THE GABLES WEST LOT 30"</f>
        <v>LORRAINE AV THE GABLES WEST LOT 30</v>
      </c>
      <c r="D6726" s="1">
        <v>263.2</v>
      </c>
    </row>
    <row r="6727" spans="1:4" x14ac:dyDescent="0.3">
      <c r="A6727" s="1" t="str">
        <f>"02500309600"</f>
        <v>02500309600</v>
      </c>
      <c r="B6727" s="1" t="str">
        <f>"KERMUE YARSHAR M"</f>
        <v>KERMUE YARSHAR M</v>
      </c>
      <c r="C6727" s="1" t="str">
        <f>"474 S DENWOOD DRIVE BRENTWOOD ESTATES SEC 2 213"</f>
        <v>474 S DENWOOD DRIVE BRENTWOOD ESTATES SEC 2 213</v>
      </c>
      <c r="D6727" s="1">
        <v>6492.9</v>
      </c>
    </row>
    <row r="6728" spans="1:4" x14ac:dyDescent="0.3">
      <c r="A6728" s="1" t="str">
        <f>"01014991700"</f>
        <v>01014991700</v>
      </c>
      <c r="B6728" s="1" t="str">
        <f>"KERNS DARREL W, KERNS ALICIA M"</f>
        <v>KERNS DARREL W, KERNS ALICIA M</v>
      </c>
      <c r="C6728" s="1" t="str">
        <f>"GYPSY LANE SKYWAE HEIGHTS SEC 2 LOT 69"</f>
        <v>GYPSY LANE SKYWAE HEIGHTS SEC 2 LOT 69</v>
      </c>
      <c r="D6728" s="1">
        <v>201.41</v>
      </c>
    </row>
    <row r="6729" spans="1:4" x14ac:dyDescent="0.3">
      <c r="A6729" s="1" t="str">
        <f>"01016556500"</f>
        <v>01016556500</v>
      </c>
      <c r="B6729" s="1" t="str">
        <f>"KERNS SANDRA K"</f>
        <v>KERNS SANDRA K</v>
      </c>
      <c r="C6729" s="1" t="str">
        <f>"PLANTATION LAKES CONDOMINIUM BLDG 5 UNIT A"</f>
        <v>PLANTATION LAKES CONDOMINIUM BLDG 5 UNIT A</v>
      </c>
      <c r="D6729" s="1">
        <v>406.55</v>
      </c>
    </row>
    <row r="6730" spans="1:4" x14ac:dyDescent="0.3">
      <c r="A6730" s="1" t="str">
        <f>"61019305500"</f>
        <v>61019305500</v>
      </c>
      <c r="B6730" s="1" t="str">
        <f>"KERR BARBARA A"</f>
        <v>KERR BARBARA A</v>
      </c>
      <c r="C6730" s="1" t="str">
        <f>"WOODSPRING DR WOODBRIDGE GREEN 2 LOT 118"</f>
        <v>WOODSPRING DR WOODBRIDGE GREEN 2 LOT 118</v>
      </c>
      <c r="D6730" s="1">
        <v>355.91</v>
      </c>
    </row>
    <row r="6731" spans="1:4" x14ac:dyDescent="0.3">
      <c r="A6731" s="1" t="str">
        <f>"56018074000"</f>
        <v>56018074000</v>
      </c>
      <c r="B6731" s="1" t="str">
        <f>"KERR TYLER"</f>
        <v>KERR TYLER</v>
      </c>
      <c r="C6731" s="1" t="str">
        <f>"FARM BROOK LANE WILSON GLEN LOT 7"</f>
        <v>FARM BROOK LANE WILSON GLEN LOT 7</v>
      </c>
      <c r="D6731" s="1">
        <v>2098.62</v>
      </c>
    </row>
    <row r="6732" spans="1:4" x14ac:dyDescent="0.3">
      <c r="A6732" s="1" t="str">
        <f>"01007516200"</f>
        <v>01007516200</v>
      </c>
      <c r="B6732" s="1" t="str">
        <f>"KERSCH DAVID C"</f>
        <v>KERSCH DAVID C</v>
      </c>
      <c r="C6732" s="1" t="str">
        <f>"HOWEY AVE GRASMERE GARDENS LOT 399"</f>
        <v>HOWEY AVE GRASMERE GARDENS LOT 399</v>
      </c>
      <c r="D6732" s="1">
        <v>1468.91</v>
      </c>
    </row>
    <row r="6733" spans="1:4" x14ac:dyDescent="0.3">
      <c r="A6733" s="1" t="str">
        <f>"01009050600"</f>
        <v>01009050600</v>
      </c>
      <c r="B6733" s="1" t="str">
        <f>"KERSCHENSTEINER LOGAN HOLLY"</f>
        <v>KERSCHENSTEINER LOGAN HOLLY</v>
      </c>
      <c r="C6733" s="1" t="str">
        <f>"LOWELL RD EASTMINSTER LOT 283 &amp; PT VAC AL"</f>
        <v>LOWELL RD EASTMINSTER LOT 283 &amp; PT VAC AL</v>
      </c>
      <c r="D6733" s="1">
        <v>156.03</v>
      </c>
    </row>
    <row r="6734" spans="1:4" x14ac:dyDescent="0.3">
      <c r="A6734" s="1" t="str">
        <f>"01016688700"</f>
        <v>01016688700</v>
      </c>
      <c r="B6734" s="1" t="str">
        <f>"KES HOLDINGS LLC"</f>
        <v>KES HOLDINGS LLC</v>
      </c>
      <c r="C6734" s="1" t="str">
        <f>"2135 SCHENLEY DRIVE AMVET HOMESTEAD 2 LOT 15 BLK M"</f>
        <v>2135 SCHENLEY DRIVE AMVET HOMESTEAD 2 LOT 15 BLK M</v>
      </c>
      <c r="D6734" s="1">
        <v>2468.4</v>
      </c>
    </row>
    <row r="6735" spans="1:4" x14ac:dyDescent="0.3">
      <c r="A6735" s="1" t="str">
        <f>"08000535500"</f>
        <v>08000535500</v>
      </c>
      <c r="B6735" s="1" t="str">
        <f>"KESARWANI INDU"</f>
        <v>KESARWANI INDU</v>
      </c>
      <c r="C6735" s="1" t="str">
        <f>"HERITAGE CONDOMINIUM BLDG 5 UNIT 1-C"</f>
        <v>HERITAGE CONDOMINIUM BLDG 5 UNIT 1-C</v>
      </c>
      <c r="D6735" s="1">
        <v>3381.84</v>
      </c>
    </row>
    <row r="6736" spans="1:4" x14ac:dyDescent="0.3">
      <c r="A6736" s="1" t="str">
        <f>"10000202300"</f>
        <v>10000202300</v>
      </c>
      <c r="B6736" s="1" t="str">
        <f>"KESTER GREGORY G"</f>
        <v>KESTER GREGORY G</v>
      </c>
      <c r="C6736" s="1" t="str">
        <f>"297 STAFFORD AVE WORTHINGTON PARK 1 LOT 24"</f>
        <v>297 STAFFORD AVE WORTHINGTON PARK 1 LOT 24</v>
      </c>
      <c r="D6736" s="1">
        <v>235.61</v>
      </c>
    </row>
    <row r="6737" spans="1:4" x14ac:dyDescent="0.3">
      <c r="A6737" s="1" t="str">
        <f>"56022770000"</f>
        <v>56022770000</v>
      </c>
      <c r="B6737" s="1" t="str">
        <f>"KESTNER SUSAN G"</f>
        <v>KESTNER SUSAN G</v>
      </c>
      <c r="C6737" s="1" t="str">
        <f>"THE LAKES AT MILL RUN CONDO 1ST AMD BLDG 8 UNIT 3851"</f>
        <v>THE LAKES AT MILL RUN CONDO 1ST AMD BLDG 8 UNIT 3851</v>
      </c>
      <c r="D6737" s="1">
        <v>308.33</v>
      </c>
    </row>
    <row r="6738" spans="1:4" x14ac:dyDescent="0.3">
      <c r="A6738" s="1" t="str">
        <f>"61019024800"</f>
        <v>61019024800</v>
      </c>
      <c r="B6738" s="1" t="str">
        <f>"KETNER JENNIFER"</f>
        <v>KETNER JENNIFER</v>
      </c>
      <c r="C6738" s="1" t="str">
        <f>"7590 PICKETT LANE PICKETT LANE CONDO 3 UNIT 14"</f>
        <v>7590 PICKETT LANE PICKETT LANE CONDO 3 UNIT 14</v>
      </c>
      <c r="D6738" s="1">
        <v>2402.5500000000002</v>
      </c>
    </row>
    <row r="6739" spans="1:4" x14ac:dyDescent="0.3">
      <c r="A6739" s="1" t="str">
        <f>"03000132200"</f>
        <v>03000132200</v>
      </c>
      <c r="B6739" s="1" t="str">
        <f>"KETTE ERMA JEAN"</f>
        <v>KETTE ERMA JEAN</v>
      </c>
      <c r="C6739" s="1" t="str">
        <f>"1444 W 1ST AVE ALLENS LOT 11"</f>
        <v>1444 W 1ST AVE ALLENS LOT 11</v>
      </c>
      <c r="D6739" s="1">
        <v>5276.04</v>
      </c>
    </row>
    <row r="6740" spans="1:4" x14ac:dyDescent="0.3">
      <c r="A6740" s="1" t="str">
        <f>"01016098600"</f>
        <v>01016098600</v>
      </c>
      <c r="B6740" s="1" t="str">
        <f>"KETTERHAGEN JUAN"</f>
        <v>KETTERHAGEN JUAN</v>
      </c>
      <c r="C6740" s="1" t="str">
        <f>"WOODBROOK CR W WOODBROOK VILLAGE CONDO UNIT 20"</f>
        <v>WOODBROOK CR W WOODBROOK VILLAGE CONDO UNIT 20</v>
      </c>
      <c r="D6740" s="1">
        <v>544.24</v>
      </c>
    </row>
    <row r="6741" spans="1:4" x14ac:dyDescent="0.3">
      <c r="A6741" s="1" t="str">
        <f>"01007505600"</f>
        <v>01007505600</v>
      </c>
      <c r="B6741" s="1" t="str">
        <f>"KEYS HARRY O JR, KEYS-GROOMS VALERIE J, KEYS-BINION TANYA L"</f>
        <v>KEYS HARRY O JR, KEYS-GROOMS VALERIE J, KEYS-BINION TANYA L</v>
      </c>
      <c r="C6741" s="1" t="str">
        <f>"JEFFERSON AVE GRASMERE GARDENS 293"</f>
        <v>JEFFERSON AVE GRASMERE GARDENS 293</v>
      </c>
      <c r="D6741" s="1">
        <v>48.9</v>
      </c>
    </row>
    <row r="6742" spans="1:4" x14ac:dyDescent="0.3">
      <c r="A6742" s="1" t="str">
        <f>"01005120800"</f>
        <v>01005120800</v>
      </c>
      <c r="B6742" s="1" t="str">
        <f>"KEYS TO SUCCESS GROUP HOME LLC"</f>
        <v>KEYS TO SUCCESS GROUP HOME LLC</v>
      </c>
      <c r="C6742" s="1" t="str">
        <f>"461 S TERRACE AVE BRONX LOT 205"</f>
        <v>461 S TERRACE AVE BRONX LOT 205</v>
      </c>
      <c r="D6742" s="1">
        <v>363</v>
      </c>
    </row>
    <row r="6743" spans="1:4" x14ac:dyDescent="0.3">
      <c r="A6743" s="1" t="str">
        <f>"01002211700"</f>
        <v>01002211700</v>
      </c>
      <c r="B6743" s="1" t="str">
        <f>"KEYS TO SUCCESS GROUP HOME LLC"</f>
        <v>KEYS TO SUCCESS GROUP HOME LLC</v>
      </c>
      <c r="C6743" s="1" t="str">
        <f>"271 MIDLAND AVE WESTWOOD HTS LOT 162"</f>
        <v>271 MIDLAND AVE WESTWOOD HTS LOT 162</v>
      </c>
      <c r="D6743" s="1">
        <v>853</v>
      </c>
    </row>
    <row r="6744" spans="1:4" x14ac:dyDescent="0.3">
      <c r="A6744" s="1" t="str">
        <f>"01029402700"</f>
        <v>01029402700</v>
      </c>
      <c r="B6744" s="1" t="str">
        <f>"KEYSE MICHAEL"</f>
        <v>KEYSE MICHAEL</v>
      </c>
      <c r="C6744" s="1" t="str">
        <f>"E TWELFTH AVE LEA CREST 20'VAC ALLEY"</f>
        <v>E TWELFTH AVE LEA CREST 20'VAC ALLEY</v>
      </c>
      <c r="D6744" s="1">
        <v>6.05</v>
      </c>
    </row>
    <row r="6745" spans="1:4" x14ac:dyDescent="0.3">
      <c r="A6745" s="1" t="str">
        <f>"01025735100"</f>
        <v>01025735100</v>
      </c>
      <c r="B6745" s="1" t="str">
        <f>"KFC NATIONAL MANAGEMENT CO"</f>
        <v>KFC NATIONAL MANAGEMENT CO</v>
      </c>
      <c r="C6745" s="1" t="str">
        <f>"HOLTZMAN AVE HOLTZMANS SUB 114.01'X 15'VAC AL"</f>
        <v>HOLTZMAN AVE HOLTZMANS SUB 114.01'X 15'VAC AL</v>
      </c>
      <c r="D6745" s="1">
        <v>321.3</v>
      </c>
    </row>
    <row r="6746" spans="1:4" x14ac:dyDescent="0.3">
      <c r="A6746" s="1" t="str">
        <f>"09000457700"</f>
        <v>09000457700</v>
      </c>
      <c r="B6746" s="1" t="str">
        <f>"KFC US PROPERTIES INC"</f>
        <v>KFC US PROPERTIES INC</v>
      </c>
      <c r="C6746" s="1" t="str">
        <f>"4449 E MAIN ST            BERNHARDS 2ND             LOT 337                  "</f>
        <v xml:space="preserve">4449 E MAIN ST            BERNHARDS 2ND             LOT 337                  </v>
      </c>
      <c r="D6746" s="1">
        <v>3496.83</v>
      </c>
    </row>
    <row r="6747" spans="1:4" x14ac:dyDescent="0.3">
      <c r="A6747" s="1" t="str">
        <f>"09000457800"</f>
        <v>09000457800</v>
      </c>
      <c r="B6747" s="1" t="str">
        <f>"KFC US PROPERTIES INC"</f>
        <v>KFC US PROPERTIES INC</v>
      </c>
      <c r="C6747" s="1" t="str">
        <f>"4449 E MAIN ST            BERNHARDS 2ND             LOT 338                  "</f>
        <v xml:space="preserve">4449 E MAIN ST            BERNHARDS 2ND             LOT 338                  </v>
      </c>
      <c r="D6747" s="1">
        <v>17624</v>
      </c>
    </row>
    <row r="6748" spans="1:4" x14ac:dyDescent="0.3">
      <c r="A6748" s="1" t="str">
        <f>"09000457900"</f>
        <v>09000457900</v>
      </c>
      <c r="B6748" s="1" t="str">
        <f>"KFC US PROPERTIES INC"</f>
        <v>KFC US PROPERTIES INC</v>
      </c>
      <c r="C6748" s="1" t="str">
        <f>"4449 E MAIN ST            BERNHARDS 2ND             LOT 339                  "</f>
        <v xml:space="preserve">4449 E MAIN ST            BERNHARDS 2ND             LOT 339                  </v>
      </c>
      <c r="D6748" s="1">
        <v>3220.66</v>
      </c>
    </row>
    <row r="6749" spans="1:4" x14ac:dyDescent="0.3">
      <c r="A6749" s="1" t="str">
        <f>"01007923400"</f>
        <v>01007923400</v>
      </c>
      <c r="B6749" s="1" t="str">
        <f>"KFC US PROPERTIES INC"</f>
        <v>KFC US PROPERTIES INC</v>
      </c>
      <c r="C6749" s="1" t="str">
        <f>"SULLIVANT AVE WESTGATE PARK LOT 720"</f>
        <v>SULLIVANT AVE WESTGATE PARK LOT 720</v>
      </c>
      <c r="D6749" s="1">
        <v>1191.6600000000001</v>
      </c>
    </row>
    <row r="6750" spans="1:4" x14ac:dyDescent="0.3">
      <c r="A6750" s="1" t="str">
        <f>"01007923500"</f>
        <v>01007923500</v>
      </c>
      <c r="B6750" s="1" t="str">
        <f>"KFC US PROPERTIES INC"</f>
        <v>KFC US PROPERTIES INC</v>
      </c>
      <c r="C6750" s="1" t="str">
        <f>"SULLIVANT AVE WESTGATE PARK LOT 721"</f>
        <v>SULLIVANT AVE WESTGATE PARK LOT 721</v>
      </c>
      <c r="D6750" s="1">
        <v>12640.64</v>
      </c>
    </row>
    <row r="6751" spans="1:4" x14ac:dyDescent="0.3">
      <c r="A6751" s="1" t="str">
        <f>"01007923600"</f>
        <v>01007923600</v>
      </c>
      <c r="B6751" s="1" t="str">
        <f>"KFC US PROPERTIES INC"</f>
        <v>KFC US PROPERTIES INC</v>
      </c>
      <c r="C6751" s="1" t="str">
        <f>"SULLIVANT AVE WESTGATE PARK LOT 722"</f>
        <v>SULLIVANT AVE WESTGATE PARK LOT 722</v>
      </c>
      <c r="D6751" s="1">
        <v>1046.18</v>
      </c>
    </row>
    <row r="6752" spans="1:4" x14ac:dyDescent="0.3">
      <c r="A6752" s="1" t="str">
        <f>"01007923700"</f>
        <v>01007923700</v>
      </c>
      <c r="B6752" s="1" t="str">
        <f>"KFC US PROPERTIES INC"</f>
        <v>KFC US PROPERTIES INC</v>
      </c>
      <c r="C6752" s="1" t="str">
        <f>"SULLIVANT AVE WESTGATE PARK PT LOT 723=0.1754 ACRE"</f>
        <v>SULLIVANT AVE WESTGATE PARK PT LOT 723=0.1754 ACRE</v>
      </c>
      <c r="D6752" s="1">
        <v>1415.96</v>
      </c>
    </row>
    <row r="6753" spans="1:4" x14ac:dyDescent="0.3">
      <c r="A6753" s="1" t="str">
        <f>"01001744200"</f>
        <v>01001744200</v>
      </c>
      <c r="B6753" s="1" t="str">
        <f>"KFC US PROPERTIES INC"</f>
        <v>KFC US PROPERTIES INC</v>
      </c>
      <c r="C6753" s="1" t="str">
        <f>"700 E 5TH AVE N E PARK PLACE L 72-73-74-75-76-77"</f>
        <v>700 E 5TH AVE N E PARK PLACE L 72-73-74-75-76-77</v>
      </c>
      <c r="D6753" s="1">
        <v>19196.54</v>
      </c>
    </row>
    <row r="6754" spans="1:4" x14ac:dyDescent="0.3">
      <c r="A6754" s="1" t="str">
        <f>"01000580200"</f>
        <v>01000580200</v>
      </c>
      <c r="B6754" s="1" t="str">
        <f>"KFC US PROPERTIES INC"</f>
        <v>KFC US PROPERTIES INC</v>
      </c>
      <c r="C6754" s="1" t="str">
        <f>"GRANVILLE RD R18 T2 1/4T4 1.079 ACRE"</f>
        <v>GRANVILLE RD R18 T2 1/4T4 1.079 ACRE</v>
      </c>
      <c r="D6754" s="1">
        <v>30123.279999999999</v>
      </c>
    </row>
    <row r="6755" spans="1:4" x14ac:dyDescent="0.3">
      <c r="A6755" s="1" t="str">
        <f>"01007362500"</f>
        <v>01007362500</v>
      </c>
      <c r="B6755" s="1" t="str">
        <f>"KFC US PROPERTIES INC"</f>
        <v>KFC US PROPERTIES INC</v>
      </c>
      <c r="C6755" s="1" t="str">
        <f>"OLENTANGY COMMERCIAL CTR OLENTANGY RVR RD 1.231 AC LOT B"</f>
        <v>OLENTANGY COMMERCIAL CTR OLENTANGY RVR RD 1.231 AC LOT B</v>
      </c>
      <c r="D6755" s="1">
        <v>29702.38</v>
      </c>
    </row>
    <row r="6756" spans="1:4" x14ac:dyDescent="0.3">
      <c r="A6756" s="1" t="str">
        <f>"01004880500"</f>
        <v>01004880500</v>
      </c>
      <c r="B6756" s="1" t="str">
        <f>"KFC US PROPERTIES INC"</f>
        <v>KFC US PROPERTIES INC</v>
      </c>
      <c r="C6756" s="1" t="str">
        <f>"1982 E MAIN ST H HOLTZMAN L 3-4-5 "</f>
        <v xml:space="preserve">1982 E MAIN ST H HOLTZMAN L 3-4-5 </v>
      </c>
      <c r="D6756" s="1">
        <v>15631.91</v>
      </c>
    </row>
    <row r="6757" spans="1:4" x14ac:dyDescent="0.3">
      <c r="A6757" s="1" t="str">
        <f>"57026710600"</f>
        <v>57026710600</v>
      </c>
      <c r="B6757" s="1" t="str">
        <f>"KFC US PROPERTIES INC"</f>
        <v>KFC US PROPERTIES INC</v>
      </c>
      <c r="C6757" s="1" t="str">
        <f>"HARRISBURG PIKE ENTRY 717 0.8203 ACRE"</f>
        <v>HARRISBURG PIKE ENTRY 717 0.8203 ACRE</v>
      </c>
      <c r="D6757" s="1">
        <v>18020.169999999998</v>
      </c>
    </row>
    <row r="6758" spans="1:4" x14ac:dyDescent="0.3">
      <c r="A6758" s="1" t="str">
        <f>"57026926100"</f>
        <v>57026926100</v>
      </c>
      <c r="B6758" s="1" t="str">
        <f>"KFC US PROPERTIES INC"</f>
        <v>KFC US PROPERTIES INC</v>
      </c>
      <c r="C6758" s="1" t="str">
        <f>"GEORGESVILLE RD GEORGESVILLE SQ SUB PT LOT 18=1.112 ACRES"</f>
        <v>GEORGESVILLE RD GEORGESVILLE SQ SUB PT LOT 18=1.112 ACRES</v>
      </c>
      <c r="D6758" s="1">
        <v>31716.14</v>
      </c>
    </row>
    <row r="6759" spans="1:4" x14ac:dyDescent="0.3">
      <c r="A6759" s="1" t="str">
        <f>"04000112200"</f>
        <v>04000112200</v>
      </c>
      <c r="B6759" s="1" t="str">
        <f>"KFC US PROPERTIES INC"</f>
        <v>KFC US PROPERTIES INC</v>
      </c>
      <c r="C6759" s="1" t="str">
        <f>"1970 STRINGTOWN PIKE ENTRY 8231 0.627 ACRE"</f>
        <v>1970 STRINGTOWN PIKE ENTRY 8231 0.627 ACRE</v>
      </c>
      <c r="D6759" s="1">
        <v>24609.75</v>
      </c>
    </row>
    <row r="6760" spans="1:4" x14ac:dyDescent="0.3">
      <c r="A6760" s="1" t="str">
        <f>"24000005400"</f>
        <v>24000005400</v>
      </c>
      <c r="B6760" s="1" t="str">
        <f>"KFC US PROPERTIES INC"</f>
        <v>KFC US PROPERTIES INC</v>
      </c>
      <c r="C6760" s="1" t="str">
        <f>"W BROAD ST LINCOLN VILLAGE PT RES K=0.900 ACRE"</f>
        <v>W BROAD ST LINCOLN VILLAGE PT RES K=0.900 ACRE</v>
      </c>
      <c r="D6760" s="1">
        <v>27423.74</v>
      </c>
    </row>
    <row r="6761" spans="1:4" x14ac:dyDescent="0.3">
      <c r="A6761" s="1" t="str">
        <f>"27300833400"</f>
        <v>27300833400</v>
      </c>
      <c r="B6761" s="1" t="str">
        <f>"KFC US PROPERTIES INC"</f>
        <v>KFC US PROPERTIES INC</v>
      </c>
      <c r="C6761" s="1" t="str">
        <f>"6611 SAWMILL RD MEADOWLAND HTS 1 PT LT 14 &amp; PT RES=0.645AC"</f>
        <v>6611 SAWMILL RD MEADOWLAND HTS 1 PT LT 14 &amp; PT RES=0.645AC</v>
      </c>
      <c r="D6761" s="1">
        <v>40021.65</v>
      </c>
    </row>
    <row r="6762" spans="1:4" x14ac:dyDescent="0.3">
      <c r="A6762" s="1" t="str">
        <f>"59019904800"</f>
        <v>59019904800</v>
      </c>
      <c r="B6762" s="1" t="str">
        <f>"KHABIBOV ELDAR, KHABIBOVA ZAMIRA D"</f>
        <v>KHABIBOV ELDAR, KHABIBOVA ZAMIRA D</v>
      </c>
      <c r="C6762" s="1" t="str">
        <f>"5271 TIMBERLINE RD WOODRUN PLC CONDO PH 2 BLD 20 UNIT 145"</f>
        <v>5271 TIMBERLINE RD WOODRUN PLC CONDO PH 2 BLD 20 UNIT 145</v>
      </c>
      <c r="D6762" s="1">
        <v>2171.1799999999998</v>
      </c>
    </row>
    <row r="6763" spans="1:4" x14ac:dyDescent="0.3">
      <c r="A6763" s="1" t="str">
        <f>"02500143200"</f>
        <v>02500143200</v>
      </c>
      <c r="B6763" s="1" t="str">
        <f>"KHAFAJI SALAM AL"</f>
        <v>KHAFAJI SALAM AL</v>
      </c>
      <c r="C6763" s="1" t="str">
        <f>"196 LINCOLNSHIRE RD ROYAL MANOR 250 "</f>
        <v xml:space="preserve">196 LINCOLNSHIRE RD ROYAL MANOR 250 </v>
      </c>
      <c r="D6763" s="1">
        <v>5458.35</v>
      </c>
    </row>
    <row r="6764" spans="1:4" x14ac:dyDescent="0.3">
      <c r="A6764" s="1" t="str">
        <f>"01026583300"</f>
        <v>01026583300</v>
      </c>
      <c r="B6764" s="1" t="str">
        <f>"KHAIRKHAH RAHIMULLAH, KHAIRKHAH NAZIFA"</f>
        <v>KHAIRKHAH RAHIMULLAH, KHAIRKHAH NAZIFA</v>
      </c>
      <c r="C6764" s="1" t="str">
        <f>"MEADOW DOWNS TRAIL WESTBEND SECTION 3 LOT 120"</f>
        <v>MEADOW DOWNS TRAIL WESTBEND SECTION 3 LOT 120</v>
      </c>
      <c r="D6764" s="1">
        <v>2729.82</v>
      </c>
    </row>
    <row r="6765" spans="1:4" x14ac:dyDescent="0.3">
      <c r="A6765" s="1" t="str">
        <f>"01028800300"</f>
        <v>01028800300</v>
      </c>
      <c r="B6765" s="1" t="str">
        <f>"KHALIL ESLAM"</f>
        <v>KHALIL ESLAM</v>
      </c>
      <c r="C6765" s="1" t="str">
        <f>"TRADITIONS AT ROCKY FORK CONDOMINIUMS 13TH AMD PHASE 14 BLD 12 UNIT 6506"</f>
        <v>TRADITIONS AT ROCKY FORK CONDOMINIUMS 13TH AMD PHASE 14 BLD 12 UNIT 6506</v>
      </c>
      <c r="D6765" s="1">
        <v>4098.3599999999997</v>
      </c>
    </row>
    <row r="6766" spans="1:4" x14ac:dyDescent="0.3">
      <c r="A6766" s="1" t="str">
        <f>"01028025300"</f>
        <v>01028025300</v>
      </c>
      <c r="B6766" s="1" t="str">
        <f>"KHALIL ESLAM F"</f>
        <v>KHALIL ESLAM F</v>
      </c>
      <c r="C6766" s="1" t="str">
        <f>"THE TRADITIONS AT ROCKY FORK CONDOMINIUMS 2ND AMD BLDG 5 UNIT 6432"</f>
        <v>THE TRADITIONS AT ROCKY FORK CONDOMINIUMS 2ND AMD BLDG 5 UNIT 6432</v>
      </c>
      <c r="D6766" s="1">
        <v>4123.8599999999997</v>
      </c>
    </row>
    <row r="6767" spans="1:4" x14ac:dyDescent="0.3">
      <c r="A6767" s="1" t="str">
        <f>"01028026500"</f>
        <v>01028026500</v>
      </c>
      <c r="B6767" s="1" t="str">
        <f>"KHALIL ESLAM F"</f>
        <v>KHALIL ESLAM F</v>
      </c>
      <c r="C6767" s="1" t="str">
        <f>"THE TRADITIONS AT ROCKY FORK CONDOMINIUMS 2ND AMD UNIT G-52(GARAGE)"</f>
        <v>THE TRADITIONS AT ROCKY FORK CONDOMINIUMS 2ND AMD UNIT G-52(GARAGE)</v>
      </c>
      <c r="D6767" s="1">
        <v>184.25</v>
      </c>
    </row>
    <row r="6768" spans="1:4" x14ac:dyDescent="0.3">
      <c r="A6768" s="1" t="str">
        <f>"01013301900"</f>
        <v>01013301900</v>
      </c>
      <c r="B6768" s="1" t="str">
        <f>"KHAMMACHONE ALENA"</f>
        <v>KHAMMACHONE ALENA</v>
      </c>
      <c r="C6768" s="1" t="str">
        <f>"ILENE RD WALNUT BLUFF 1 LOT 164"</f>
        <v>ILENE RD WALNUT BLUFF 1 LOT 164</v>
      </c>
      <c r="D6768" s="1">
        <v>1527.51</v>
      </c>
    </row>
    <row r="6769" spans="1:4" x14ac:dyDescent="0.3">
      <c r="A6769" s="1" t="str">
        <f>"01003630900"</f>
        <v>01003630900</v>
      </c>
      <c r="B6769" s="1" t="str">
        <f>"KHAMMAR JORDAN M"</f>
        <v>KHAMMAR JORDAN M</v>
      </c>
      <c r="C6769" s="1" t="str">
        <f>"436 S WAYNE AVE BELLAIRE EX LOT 330 &amp; AL VAC"</f>
        <v>436 S WAYNE AVE BELLAIRE EX LOT 330 &amp; AL VAC</v>
      </c>
      <c r="D6769" s="1">
        <v>2578.6</v>
      </c>
    </row>
    <row r="6770" spans="1:4" x14ac:dyDescent="0.3">
      <c r="A6770" s="1" t="str">
        <f>"27300787900"</f>
        <v>27300787900</v>
      </c>
      <c r="B6770" s="1" t="str">
        <f>"KHAN AHMED, AKHTER MASHAL"</f>
        <v>KHAN AHMED, AKHTER MASHAL</v>
      </c>
      <c r="C6770" s="1" t="str">
        <f>"HATHAWAY AVENUE BALGRIFFIN SECTION 1 LOT 18"</f>
        <v>HATHAWAY AVENUE BALGRIFFIN SECTION 1 LOT 18</v>
      </c>
      <c r="D6770" s="1">
        <v>10903.98</v>
      </c>
    </row>
    <row r="6771" spans="1:4" x14ac:dyDescent="0.3">
      <c r="A6771" s="1" t="str">
        <f>"56024004500"</f>
        <v>56024004500</v>
      </c>
      <c r="B6771" s="1" t="str">
        <f>"KHAN FARHA"</f>
        <v>KHAN FARHA</v>
      </c>
      <c r="C6771" s="1" t="str">
        <f>"SHELBY LANE HILLIARD GREEN SEC 3 LOT 225 &amp; 3'NE LOT 226"</f>
        <v>SHELBY LANE HILLIARD GREEN SEC 3 LOT 225 &amp; 3'NE LOT 226</v>
      </c>
      <c r="D6771" s="1">
        <v>7441.96</v>
      </c>
    </row>
    <row r="6772" spans="1:4" x14ac:dyDescent="0.3">
      <c r="A6772" s="1" t="str">
        <f>"57016766800"</f>
        <v>57016766800</v>
      </c>
      <c r="B6772" s="1" t="str">
        <f>"KHAN IQRAR ALI, SHAZIBA FNU"</f>
        <v>KHAN IQRAR ALI, SHAZIBA FNU</v>
      </c>
      <c r="C6772" s="1" t="str">
        <f>"GREENE COUNTRIE COUNTRIE SIDE DR LOT 122"</f>
        <v>GREENE COUNTRIE COUNTRIE SIDE DR LOT 122</v>
      </c>
      <c r="D6772" s="1">
        <v>4183.62</v>
      </c>
    </row>
    <row r="6773" spans="1:4" x14ac:dyDescent="0.3">
      <c r="A6773" s="1" t="str">
        <f>"61020176200"</f>
        <v>61020176200</v>
      </c>
      <c r="B6773" s="1" t="str">
        <f>"KHAN LIAKAT A, KHAN TANZILA"</f>
        <v>KHAN LIAKAT A, KHAN TANZILA</v>
      </c>
      <c r="C6773" s="1" t="str">
        <f>"DEER CROSSING LANE RAVINES AT DEERCREEK LOT 15"</f>
        <v>DEER CROSSING LANE RAVINES AT DEERCREEK LOT 15</v>
      </c>
      <c r="D6773" s="1">
        <v>3986.01</v>
      </c>
    </row>
    <row r="6774" spans="1:4" x14ac:dyDescent="0.3">
      <c r="A6774" s="1" t="str">
        <f>"27301133000"</f>
        <v>27301133000</v>
      </c>
      <c r="B6774" s="1" t="str">
        <f>"KHAN MANSOOR A, ANSARI SAMINA"</f>
        <v>KHAN MANSOOR A, ANSARI SAMINA</v>
      </c>
      <c r="C6774" s="1" t="str">
        <f>"WYANDOTTE WOODS BOULEVARD WYANDOTTE WOODS SECTION 5 LOT 155"</f>
        <v>WYANDOTTE WOODS BOULEVARD WYANDOTTE WOODS SECTION 5 LOT 155</v>
      </c>
      <c r="D6774" s="1">
        <v>6664.72</v>
      </c>
    </row>
    <row r="6775" spans="1:4" x14ac:dyDescent="0.3">
      <c r="A6775" s="1" t="str">
        <f>"56022568000"</f>
        <v>56022568000</v>
      </c>
      <c r="B6775" s="1" t="str">
        <f>"KHAN MOAZZAM"</f>
        <v>KHAN MOAZZAM</v>
      </c>
      <c r="C6775" s="1" t="str">
        <f>"HILLIARD VILLAGE CONDOMINIUM 9TH AMD UNIT 45E"</f>
        <v>HILLIARD VILLAGE CONDOMINIUM 9TH AMD UNIT 45E</v>
      </c>
      <c r="D6775" s="1">
        <v>2389.09</v>
      </c>
    </row>
    <row r="6776" spans="1:4" x14ac:dyDescent="0.3">
      <c r="A6776" s="1" t="str">
        <f>"02500982400"</f>
        <v>02500982400</v>
      </c>
      <c r="B6776" s="1" t="str">
        <f>"KHANGA TED EDWARD"</f>
        <v>KHANGA TED EDWARD</v>
      </c>
      <c r="C6776" s="1" t="str">
        <f>"TALL OAKS DR WOODSIDE GREEN SOUTH SEC 5 LOT 331"</f>
        <v>TALL OAKS DR WOODSIDE GREEN SOUTH SEC 5 LOT 331</v>
      </c>
      <c r="D6776" s="1">
        <v>810.88</v>
      </c>
    </row>
    <row r="6777" spans="1:4" x14ac:dyDescent="0.3">
      <c r="A6777" s="1" t="str">
        <f>"01012990500"</f>
        <v>01012990500</v>
      </c>
      <c r="B6777" s="1" t="str">
        <f>"KHD MANAGEMENT COMPANY INC"</f>
        <v>KHD MANAGEMENT COMPANY INC</v>
      </c>
      <c r="C6777" s="1" t="str">
        <f>"REED RD PERRY HTS 2 LPT LOT 17 &amp; .039 AC"</f>
        <v>REED RD PERRY HTS 2 LPT LOT 17 &amp; .039 AC</v>
      </c>
      <c r="D6777" s="1">
        <v>32730.02</v>
      </c>
    </row>
    <row r="6778" spans="1:4" x14ac:dyDescent="0.3">
      <c r="A6778" s="1" t="str">
        <f>"01028027600"</f>
        <v>01028027600</v>
      </c>
      <c r="B6778" s="1" t="str">
        <f>"KHIDEKEL YURY"</f>
        <v>KHIDEKEL YURY</v>
      </c>
      <c r="C6778" s="1" t="str">
        <f>"THE TRADITIONS AT ROCKY FORK CONDOMINIUMS 3RD AMD BLDG 38 UNIT 5731"</f>
        <v>THE TRADITIONS AT ROCKY FORK CONDOMINIUMS 3RD AMD BLDG 38 UNIT 5731</v>
      </c>
      <c r="D6778" s="1">
        <v>4269.41</v>
      </c>
    </row>
    <row r="6779" spans="1:4" x14ac:dyDescent="0.3">
      <c r="A6779" s="1" t="str">
        <f>"01028035700"</f>
        <v>01028035700</v>
      </c>
      <c r="B6779" s="1" t="str">
        <f>"KHIDEKEL YURY"</f>
        <v>KHIDEKEL YURY</v>
      </c>
      <c r="C6779" s="1" t="str">
        <f>"TRADITIONS AT ROCKY FORK CONDOMINIUMS 3RD AMD UNIT G-91 (GARAGE)"</f>
        <v>TRADITIONS AT ROCKY FORK CONDOMINIUMS 3RD AMD UNIT G-91 (GARAGE)</v>
      </c>
      <c r="D6779" s="1">
        <v>184.25</v>
      </c>
    </row>
    <row r="6780" spans="1:4" x14ac:dyDescent="0.3">
      <c r="A6780" s="1" t="str">
        <f>"01014001200"</f>
        <v>01014001200</v>
      </c>
      <c r="B6780" s="1" t="str">
        <f>"KHODADOUST AMID, KHODADOUST AMIR-HOSSEIN, KHODADOUST ABDOLLAH"</f>
        <v>KHODADOUST AMID, KHODADOUST AMIR-HOSSEIN, KHODADOUST ABDOLLAH</v>
      </c>
      <c r="C6780" s="1" t="str">
        <f>"LAURALAND DR S THE KNOLLS SEC 5 LOT 272"</f>
        <v>LAURALAND DR S THE KNOLLS SEC 5 LOT 272</v>
      </c>
      <c r="D6780" s="1">
        <v>7064.74</v>
      </c>
    </row>
    <row r="6781" spans="1:4" x14ac:dyDescent="0.3">
      <c r="A6781" s="1" t="str">
        <f>"04001775900"</f>
        <v>04001775900</v>
      </c>
      <c r="B6781" s="1" t="str">
        <f>"KIAMY SETH ROYAL, KIAMY KAREN MICHELLE"</f>
        <v>KIAMY SETH ROYAL, KIAMY KAREN MICHELLE</v>
      </c>
      <c r="C6781" s="1" t="str">
        <f>"HOLTON RUN SECTION 5 LOT 187"</f>
        <v>HOLTON RUN SECTION 5 LOT 187</v>
      </c>
      <c r="D6781" s="1">
        <v>631.49</v>
      </c>
    </row>
    <row r="6782" spans="1:4" x14ac:dyDescent="0.3">
      <c r="A6782" s="1" t="str">
        <f>"01011936900"</f>
        <v>01011936900</v>
      </c>
      <c r="B6782" s="1" t="str">
        <f>"KIAN RUN PROPERTIES LTD"</f>
        <v>KIAN RUN PROPERTIES LTD</v>
      </c>
      <c r="C6782" s="1" t="str">
        <f>"PHELPS RD SCIOTO VILLAGE LOT 18"</f>
        <v>PHELPS RD SCIOTO VILLAGE LOT 18</v>
      </c>
      <c r="D6782" s="1">
        <v>1035.3599999999999</v>
      </c>
    </row>
    <row r="6783" spans="1:4" x14ac:dyDescent="0.3">
      <c r="A6783" s="1" t="str">
        <f>"01011939200"</f>
        <v>01011939200</v>
      </c>
      <c r="B6783" s="1" t="str">
        <f>"KIAN RUN PROPERTIES LTD"</f>
        <v>KIAN RUN PROPERTIES LTD</v>
      </c>
      <c r="C6783" s="1" t="str">
        <f>"SCIOTO VILLAGE LOT 41 "</f>
        <v xml:space="preserve">SCIOTO VILLAGE LOT 41 </v>
      </c>
      <c r="D6783" s="1">
        <v>2678.13</v>
      </c>
    </row>
    <row r="6784" spans="1:4" x14ac:dyDescent="0.3">
      <c r="A6784" s="1" t="str">
        <f>"01011941900"</f>
        <v>01011941900</v>
      </c>
      <c r="B6784" s="1" t="str">
        <f>"KIAN RUN PROPERTIES LTD"</f>
        <v>KIAN RUN PROPERTIES LTD</v>
      </c>
      <c r="C6784" s="1" t="str">
        <f>"DOLBY DR SCIOTO VILLAGE LOT 68"</f>
        <v>DOLBY DR SCIOTO VILLAGE LOT 68</v>
      </c>
      <c r="D6784" s="1">
        <v>2609.1</v>
      </c>
    </row>
    <row r="6785" spans="1:4" x14ac:dyDescent="0.3">
      <c r="A6785" s="1" t="str">
        <f>"01011954500"</f>
        <v>01011954500</v>
      </c>
      <c r="B6785" s="1" t="str">
        <f>"KIAN RUN PROPERTIES LTD"</f>
        <v>KIAN RUN PROPERTIES LTD</v>
      </c>
      <c r="C6785" s="1" t="str">
        <f>"SHELLY DR SCIOTO VILLAGE LOT 194"</f>
        <v>SHELLY DR SCIOTO VILLAGE LOT 194</v>
      </c>
      <c r="D6785" s="1">
        <v>2768.91</v>
      </c>
    </row>
    <row r="6786" spans="1:4" x14ac:dyDescent="0.3">
      <c r="A6786" s="1" t="str">
        <f>"57017302700"</f>
        <v>57017302700</v>
      </c>
      <c r="B6786" s="1" t="str">
        <f>"KIBBEY MICHAEL G"</f>
        <v>KIBBEY MICHAEL G</v>
      </c>
      <c r="C6786" s="1" t="str">
        <f>"5792-94 IVYGREEN CT RESUB3-8 GREENE CTY LOT 194"</f>
        <v>5792-94 IVYGREEN CT RESUB3-8 GREENE CTY LOT 194</v>
      </c>
      <c r="D6786" s="1">
        <v>3677.36</v>
      </c>
    </row>
    <row r="6787" spans="1:4" x14ac:dyDescent="0.3">
      <c r="A6787" s="1" t="str">
        <f>"19000404700"</f>
        <v>19000404700</v>
      </c>
      <c r="B6787" s="1" t="str">
        <f>"KIBLER TAMARA K"</f>
        <v>KIBLER TAMARA K</v>
      </c>
      <c r="C6787" s="1" t="str">
        <f>"S FERRIS PK DR SEE DUP FOR DES FERRIS PK 27"</f>
        <v>S FERRIS PK DR SEE DUP FOR DES FERRIS PK 27</v>
      </c>
      <c r="D6787" s="1">
        <v>1490.17</v>
      </c>
    </row>
    <row r="6788" spans="1:4" x14ac:dyDescent="0.3">
      <c r="A6788" s="1" t="str">
        <f>"01001939700"</f>
        <v>01001939700</v>
      </c>
      <c r="B6788" s="1" t="str">
        <f>"KICE INVESTMENT CO LLC"</f>
        <v>KICE INVESTMENT CO LLC</v>
      </c>
      <c r="C6788" s="1" t="str">
        <f>"GRANVILLE RD R18 T 2 1/4T4 1.518 ACRES LOT 8"</f>
        <v>GRANVILLE RD R18 T 2 1/4T4 1.518 ACRES LOT 8</v>
      </c>
      <c r="D6788" s="1">
        <v>16075.1</v>
      </c>
    </row>
    <row r="6789" spans="1:4" x14ac:dyDescent="0.3">
      <c r="A6789" s="1" t="str">
        <f>"07000213700"</f>
        <v>07000213700</v>
      </c>
      <c r="B6789" s="1" t="str">
        <f>"KIDD COURTNEY MARIE, HOWE BRADLEY A"</f>
        <v>KIDD COURTNEY MARIE, HOWE BRADLEY A</v>
      </c>
      <c r="C6789" s="1" t="str">
        <f>"COLLEGE HILL LOT 59 - 3' N SIDE LOT 53 &amp; PART VAC ALLEY"</f>
        <v>COLLEGE HILL LOT 59 - 3' N SIDE LOT 53 &amp; PART VAC ALLEY</v>
      </c>
      <c r="D6789" s="1">
        <v>548.45000000000005</v>
      </c>
    </row>
    <row r="6790" spans="1:4" x14ac:dyDescent="0.3">
      <c r="A6790" s="1" t="str">
        <f>"01009846100"</f>
        <v>01009846100</v>
      </c>
      <c r="B6790" s="1" t="str">
        <f>"KIDS CASTLE LEARNING CENTER INC"</f>
        <v>KIDS CASTLE LEARNING CENTER INC</v>
      </c>
      <c r="C6790" s="1" t="str">
        <f>"1845 MOCK RD R18T1 1-4TWP 1-4 3.22ACRES LOT 17-24"</f>
        <v>1845 MOCK RD R18T1 1-4TWP 1-4 3.22ACRES LOT 17-24</v>
      </c>
      <c r="D6790" s="1">
        <v>4712.1400000000003</v>
      </c>
    </row>
    <row r="6791" spans="1:4" x14ac:dyDescent="0.3">
      <c r="A6791" s="1" t="str">
        <f>"01028764200"</f>
        <v>01028764200</v>
      </c>
      <c r="B6791" s="1" t="str">
        <f>"KIDWELL JEFFREY M, KIDWELL KIMBERLY"</f>
        <v>KIDWELL JEFFREY M, KIDWELL KIMBERLY</v>
      </c>
      <c r="C6791" s="1" t="str">
        <f>"WOODS AT SUGAR RUN CONDOMINIUM 3RD AMD UNIT 8-6950"</f>
        <v>WOODS AT SUGAR RUN CONDOMINIUM 3RD AMD UNIT 8-6950</v>
      </c>
      <c r="D6791" s="1">
        <v>2693.43</v>
      </c>
    </row>
    <row r="6792" spans="1:4" x14ac:dyDescent="0.3">
      <c r="A6792" s="1" t="str">
        <f>"56018965100"</f>
        <v>56018965100</v>
      </c>
      <c r="B6792" s="1" t="str">
        <f>"KIENER JOHN P"</f>
        <v>KIENER JOHN P</v>
      </c>
      <c r="C6792" s="1" t="str">
        <f>"BIGBY HOLLOW ST GOLFVIEW WOODS SEC 6 LOT 303"</f>
        <v>BIGBY HOLLOW ST GOLFVIEW WOODS SEC 6 LOT 303</v>
      </c>
      <c r="D6792" s="1">
        <v>215.41</v>
      </c>
    </row>
    <row r="6793" spans="1:4" x14ac:dyDescent="0.3">
      <c r="A6793" s="1" t="str">
        <f>"07000510200"</f>
        <v>07000510200</v>
      </c>
      <c r="B6793" s="1" t="str">
        <f>"KIGHT TIMOTHY BRIAN, KIGHT BRITTNEE LYNN"</f>
        <v>KIGHT TIMOTHY BRIAN, KIGHT BRITTNEE LYNN</v>
      </c>
      <c r="C6793" s="1" t="str">
        <f>"EAST CLEFT DR EAST CLEFT 313 "</f>
        <v xml:space="preserve">EAST CLEFT DR EAST CLEFT 313 </v>
      </c>
      <c r="D6793" s="1">
        <v>10643.68</v>
      </c>
    </row>
    <row r="6794" spans="1:4" x14ac:dyDescent="0.3">
      <c r="A6794" s="1" t="str">
        <f>"27401228500"</f>
        <v>27401228500</v>
      </c>
      <c r="B6794" s="1" t="str">
        <f>"KILCOYNE JAMES JOSEPH, DINICOLA KILCOYNE KAREN"</f>
        <v>KILCOYNE JAMES JOSEPH, DINICOLA KILCOYNE KAREN</v>
      </c>
      <c r="C6794" s="1" t="str">
        <f>"COTTAGES AT BALLANTRAE WOODS CONDOMINIUM 11TH AMD UNIT 86-7020"</f>
        <v>COTTAGES AT BALLANTRAE WOODS CONDOMINIUM 11TH AMD UNIT 86-7020</v>
      </c>
      <c r="D6794" s="1">
        <v>489.55</v>
      </c>
    </row>
    <row r="6795" spans="1:4" x14ac:dyDescent="0.3">
      <c r="A6795" s="1" t="str">
        <f>"01018845600"</f>
        <v>01018845600</v>
      </c>
      <c r="B6795" s="1" t="str">
        <f>"KILGORE JEREMY W"</f>
        <v>KILGORE JEREMY W</v>
      </c>
      <c r="C6795" s="1" t="str">
        <f>"MERRIMAR CIR S HEARTHSTONE CONDO UNIT 1094-G BLDG 18"</f>
        <v>MERRIMAR CIR S HEARTHSTONE CONDO UNIT 1094-G BLDG 18</v>
      </c>
      <c r="D6795" s="1">
        <v>93.93</v>
      </c>
    </row>
    <row r="6796" spans="1:4" x14ac:dyDescent="0.3">
      <c r="A6796" s="1" t="str">
        <f>"01018845200"</f>
        <v>01018845200</v>
      </c>
      <c r="B6796" s="1" t="str">
        <f>"KILGORE JEREMY W"</f>
        <v>KILGORE JEREMY W</v>
      </c>
      <c r="C6796" s="1" t="str">
        <f>"MERRIMAR CIR S HEARTHSTONE CONDO UNIT 1094-C BLDG 18"</f>
        <v>MERRIMAR CIR S HEARTHSTONE CONDO UNIT 1094-C BLDG 18</v>
      </c>
      <c r="D6796" s="1">
        <v>94.16</v>
      </c>
    </row>
    <row r="6797" spans="1:4" x14ac:dyDescent="0.3">
      <c r="A6797" s="1" t="str">
        <f>"01006471800"</f>
        <v>01006471800</v>
      </c>
      <c r="B6797" s="1" t="str">
        <f>"KILGORE MICHAEL"</f>
        <v>KILGORE MICHAEL</v>
      </c>
      <c r="C6797" s="1" t="str">
        <f>"S ROYS AVE BROADVIEW LOT 2 BLK 17"</f>
        <v>S ROYS AVE BROADVIEW LOT 2 BLK 17</v>
      </c>
      <c r="D6797" s="1">
        <v>4091.1</v>
      </c>
    </row>
    <row r="6798" spans="1:4" x14ac:dyDescent="0.3">
      <c r="A6798" s="1" t="str">
        <f>"01001309000"</f>
        <v>01001309000</v>
      </c>
      <c r="B6798" s="1" t="str">
        <f>"KILIAN BELINDA N, THOMAS NICHOLAS W"</f>
        <v>KILIAN BELINDA N, THOMAS NICHOLAS W</v>
      </c>
      <c r="C6798" s="1" t="str">
        <f>"W MOUND ST .092 ACRE "</f>
        <v xml:space="preserve">W MOUND ST .092 ACRE </v>
      </c>
      <c r="D6798" s="1">
        <v>31.1</v>
      </c>
    </row>
    <row r="6799" spans="1:4" x14ac:dyDescent="0.3">
      <c r="A6799" s="1" t="str">
        <f>"04000266100"</f>
        <v>04000266100</v>
      </c>
      <c r="B6799" s="1" t="str">
        <f>"KILMER JASON A"</f>
        <v>KILMER JASON A</v>
      </c>
      <c r="C6799" s="1" t="str">
        <f>"3828 HOMECOMER DRIVE JACKSON HOMES SEC 2 81"</f>
        <v>3828 HOMECOMER DRIVE JACKSON HOMES SEC 2 81</v>
      </c>
      <c r="D6799" s="1">
        <v>3377.99</v>
      </c>
    </row>
    <row r="6800" spans="1:4" x14ac:dyDescent="0.3">
      <c r="A6800" s="1" t="str">
        <f>"05001017900"</f>
        <v>05001017900</v>
      </c>
      <c r="B6800" s="1" t="str">
        <f>"KIM JOON H, KIM AESOOK"</f>
        <v>KIM JOON H, KIM AESOOK</v>
      </c>
      <c r="C6800" s="1" t="str">
        <f>"THE VININGS CONDOMINIUM COMMUNITY 11TH AMD UNIT 5155"</f>
        <v>THE VININGS CONDOMINIUM COMMUNITY 11TH AMD UNIT 5155</v>
      </c>
      <c r="D6800" s="1">
        <v>1100</v>
      </c>
    </row>
    <row r="6801" spans="1:4" x14ac:dyDescent="0.3">
      <c r="A6801" s="1" t="str">
        <f>"06000357600"</f>
        <v>06000357600</v>
      </c>
      <c r="B6801" s="1" t="str">
        <f>"KIM MALSON, CHATMAN SEAN"</f>
        <v>KIM MALSON, CHATMAN SEAN</v>
      </c>
      <c r="C6801" s="1" t="str">
        <f>"ELIOT DR LUDLOW LOT 139"</f>
        <v>ELIOT DR LUDLOW LOT 139</v>
      </c>
      <c r="D6801" s="1">
        <v>4631.72</v>
      </c>
    </row>
    <row r="6802" spans="1:4" x14ac:dyDescent="0.3">
      <c r="A6802" s="1" t="str">
        <f>"60017619400"</f>
        <v>60017619400</v>
      </c>
      <c r="B6802" s="1" t="str">
        <f>"KIMIZUKA KOICHIRO"</f>
        <v>KIMIZUKA KOICHIRO</v>
      </c>
      <c r="C6802" s="1" t="str">
        <f>"COOPER RIDGE RD COOPER RIDGE LOT 60"</f>
        <v>COOPER RIDGE RD COOPER RIDGE LOT 60</v>
      </c>
      <c r="D6802" s="1">
        <v>6886.97</v>
      </c>
    </row>
    <row r="6803" spans="1:4" x14ac:dyDescent="0.3">
      <c r="A6803" s="1" t="str">
        <f>"60017688900"</f>
        <v>60017688900</v>
      </c>
      <c r="B6803" s="1" t="str">
        <f>"KIMIZUKA KOICHIRO"</f>
        <v>KIMIZUKA KOICHIRO</v>
      </c>
      <c r="C6803" s="1" t="str">
        <f>"WILLOW HOLLOW DRIVE STRAWBERRY FARMS 4 LOT 256"</f>
        <v>WILLOW HOLLOW DRIVE STRAWBERRY FARMS 4 LOT 256</v>
      </c>
      <c r="D6803" s="1">
        <v>6763.15</v>
      </c>
    </row>
    <row r="6804" spans="1:4" x14ac:dyDescent="0.3">
      <c r="A6804" s="1" t="str">
        <f>"07000789100"</f>
        <v>07000789100</v>
      </c>
      <c r="B6804" s="1" t="str">
        <f>"KIMNACH JAMES W, KIMNACH NANCY E"</f>
        <v>KIMNACH JAMES W, KIMNACH NANCY E</v>
      </c>
      <c r="C6804" s="1" t="str">
        <f>"2650 RIVER PARK DR RIVERSIDE PK EXT 1 21 B 403"</f>
        <v>2650 RIVER PARK DR RIVERSIDE PK EXT 1 21 B 403</v>
      </c>
      <c r="D6804" s="1">
        <v>529.71</v>
      </c>
    </row>
    <row r="6805" spans="1:4" x14ac:dyDescent="0.3">
      <c r="A6805" s="1" t="str">
        <f>"01009975800"</f>
        <v>01009975800</v>
      </c>
      <c r="B6805" s="1" t="str">
        <f>"KINCAID DWIGHT D, KINCAID GLENNA"</f>
        <v>KINCAID DWIGHT D, KINCAID GLENNA</v>
      </c>
      <c r="C6805" s="1" t="str">
        <f>"MC ALLISTER AVE CARLYLE ESTATES LOT 57"</f>
        <v>MC ALLISTER AVE CARLYLE ESTATES LOT 57</v>
      </c>
      <c r="D6805" s="1">
        <v>3101.82</v>
      </c>
    </row>
    <row r="6806" spans="1:4" x14ac:dyDescent="0.3">
      <c r="A6806" s="1" t="str">
        <f>"17000064200"</f>
        <v>17000064200</v>
      </c>
      <c r="B6806" s="1" t="str">
        <f>"KINCAID GLENNA F"</f>
        <v>KINCAID GLENNA F</v>
      </c>
      <c r="C6806" s="1" t="str">
        <f>"CLARK STATE RD 16-1-1 ACRES 5. LOT 5 URP 31-33-34"</f>
        <v>CLARK STATE RD 16-1-1 ACRES 5. LOT 5 URP 31-33-34</v>
      </c>
      <c r="D6806" s="1">
        <v>18537.68</v>
      </c>
    </row>
    <row r="6807" spans="1:4" x14ac:dyDescent="0.3">
      <c r="A6807" s="1" t="str">
        <f>"09000612700"</f>
        <v>09000612700</v>
      </c>
      <c r="B6807" s="1" t="str">
        <f>"KINCAID NEWMAN E, KINCAID BELINDA D"</f>
        <v>KINCAID NEWMAN E, KINCAID BELINDA D</v>
      </c>
      <c r="C6807" s="1" t="str">
        <f>"370 BEAVER AVE WHITEHALL PARK 227 "</f>
        <v xml:space="preserve">370 BEAVER AVE WHITEHALL PARK 227 </v>
      </c>
      <c r="D6807" s="1">
        <v>120.86</v>
      </c>
    </row>
    <row r="6808" spans="1:4" x14ac:dyDescent="0.3">
      <c r="A6808" s="1" t="str">
        <f>"01001890600"</f>
        <v>01001890600</v>
      </c>
      <c r="B6808" s="1" t="str">
        <f>"KINCH GEORGIA"</f>
        <v>KINCH GEORGIA</v>
      </c>
      <c r="C6808" s="1" t="str">
        <f>"196 GATES ST MITHOFF LOT 144 "</f>
        <v xml:space="preserve">196 GATES ST MITHOFF LOT 144 </v>
      </c>
      <c r="D6808" s="1">
        <v>2371.29</v>
      </c>
    </row>
    <row r="6809" spans="1:4" x14ac:dyDescent="0.3">
      <c r="A6809" s="1" t="str">
        <f>"59016360000"</f>
        <v>59016360000</v>
      </c>
      <c r="B6809" s="1" t="str">
        <f>"KINDER CORY ANNA"</f>
        <v>KINDER CORY ANNA</v>
      </c>
      <c r="C6809" s="1" t="str">
        <f>"SONNINGTON DRIVE OLDE SAWMILL PHASE 1 LOT 52"</f>
        <v>SONNINGTON DRIVE OLDE SAWMILL PHASE 1 LOT 52</v>
      </c>
      <c r="D6809" s="1">
        <v>5009.8999999999996</v>
      </c>
    </row>
    <row r="6810" spans="1:4" x14ac:dyDescent="0.3">
      <c r="A6810" s="1" t="str">
        <f>"01007534800"</f>
        <v>01007534800</v>
      </c>
      <c r="B6810" s="1" t="str">
        <f>"KINDI TNKR LLC"</f>
        <v>KINDI TNKR LLC</v>
      </c>
      <c r="C6810" s="1" t="str">
        <f>"E HUDSON ST HOMESTEAD HTS LOTS 10 &amp; 11"</f>
        <v>E HUDSON ST HOMESTEAD HTS LOTS 10 &amp; 11</v>
      </c>
      <c r="D6810" s="1">
        <v>1409.85</v>
      </c>
    </row>
    <row r="6811" spans="1:4" x14ac:dyDescent="0.3">
      <c r="A6811" s="1" t="str">
        <f>"18500086100"</f>
        <v>18500086100</v>
      </c>
      <c r="B6811" s="1" t="str">
        <f>"KINELL PROPERTIES LLC"</f>
        <v>KINELL PROPERTIES LLC</v>
      </c>
      <c r="C6811" s="1" t="str">
        <f>"HAMILTON RD 3.0 ACRES "</f>
        <v xml:space="preserve">HAMILTON RD 3.0 ACRES </v>
      </c>
      <c r="D6811" s="1">
        <v>3626.42</v>
      </c>
    </row>
    <row r="6812" spans="1:4" x14ac:dyDescent="0.3">
      <c r="A6812" s="1" t="str">
        <f>"01005497500"</f>
        <v>01005497500</v>
      </c>
      <c r="B6812" s="1" t="str">
        <f>"KING CARLA"</f>
        <v>KING CARLA</v>
      </c>
      <c r="C6812" s="1" t="str">
        <f>"SEVENTH AVE CASSADYS 5TH AVE LOT 68"</f>
        <v>SEVENTH AVE CASSADYS 5TH AVE LOT 68</v>
      </c>
      <c r="D6812" s="1">
        <v>41.1</v>
      </c>
    </row>
    <row r="6813" spans="1:4" x14ac:dyDescent="0.3">
      <c r="A6813" s="1" t="str">
        <f>"01004597500"</f>
        <v>01004597500</v>
      </c>
      <c r="B6813" s="1" t="str">
        <f>"KING CARLA L"</f>
        <v>KING CARLA L</v>
      </c>
      <c r="C6813" s="1" t="str">
        <f>"7TH AVE CASSADYS 5TH AVE LOT 66-7"</f>
        <v>7TH AVE CASSADYS 5TH AVE LOT 66-7</v>
      </c>
      <c r="D6813" s="1">
        <v>194.9</v>
      </c>
    </row>
    <row r="6814" spans="1:4" x14ac:dyDescent="0.3">
      <c r="A6814" s="1" t="str">
        <f>"01012028400"</f>
        <v>01012028400</v>
      </c>
      <c r="B6814" s="1" t="str">
        <f>"KING GARY L, KING MARILYN K"</f>
        <v>KING GARY L, KING MARILYN K</v>
      </c>
      <c r="C6814" s="1" t="str">
        <f>"VALLEYVIEW HTS LOT 38 "</f>
        <v xml:space="preserve">VALLEYVIEW HTS LOT 38 </v>
      </c>
      <c r="D6814" s="1">
        <v>884.92</v>
      </c>
    </row>
    <row r="6815" spans="1:4" x14ac:dyDescent="0.3">
      <c r="A6815" s="1" t="str">
        <f>"01013009200"</f>
        <v>01013009200</v>
      </c>
      <c r="B6815" s="1" t="str">
        <f>"KING HATTIE M"</f>
        <v>KING HATTIE M</v>
      </c>
      <c r="C6815" s="1" t="str">
        <f>"REDWOOD RD FOREST PARK LOT 151"</f>
        <v>REDWOOD RD FOREST PARK LOT 151</v>
      </c>
      <c r="D6815" s="1">
        <v>209.72</v>
      </c>
    </row>
    <row r="6816" spans="1:4" x14ac:dyDescent="0.3">
      <c r="A6816" s="1" t="str">
        <f>"10000115400"</f>
        <v>10000115400</v>
      </c>
      <c r="B6816" s="1" t="str">
        <f>"KING J KEVIN, KING MOLLY K"</f>
        <v>KING J KEVIN, KING MOLLY K</v>
      </c>
      <c r="C6816" s="1" t="str">
        <f>"420 MEDICK WAY LOT 41 MEDICK ESTATES"</f>
        <v>420 MEDICK WAY LOT 41 MEDICK ESTATES</v>
      </c>
      <c r="D6816" s="1">
        <v>845.18</v>
      </c>
    </row>
    <row r="6817" spans="1:4" x14ac:dyDescent="0.3">
      <c r="A6817" s="1" t="str">
        <f>"01012453600"</f>
        <v>01012453600</v>
      </c>
      <c r="B6817" s="1" t="str">
        <f>"KING KENNETH C"</f>
        <v>KING KENNETH C</v>
      </c>
      <c r="C6817" s="1" t="str">
        <f>"HEALY DR WALNUT VILLAGE 2 LOT 173"</f>
        <v>HEALY DR WALNUT VILLAGE 2 LOT 173</v>
      </c>
      <c r="D6817" s="1">
        <v>1106.47</v>
      </c>
    </row>
    <row r="6818" spans="1:4" x14ac:dyDescent="0.3">
      <c r="A6818" s="1" t="str">
        <f>"01009942700"</f>
        <v>01009942700</v>
      </c>
      <c r="B6818" s="1" t="str">
        <f>"KING LATOYA"</f>
        <v>KING LATOYA</v>
      </c>
      <c r="C6818" s="1" t="str">
        <f>"25TH AVE HOMESTEAD HTS 3 LOT 14"</f>
        <v>25TH AVE HOMESTEAD HTS 3 LOT 14</v>
      </c>
      <c r="D6818" s="1">
        <v>1747.66</v>
      </c>
    </row>
    <row r="6819" spans="1:4" x14ac:dyDescent="0.3">
      <c r="A6819" s="1" t="str">
        <f>"01009942800"</f>
        <v>01009942800</v>
      </c>
      <c r="B6819" s="1" t="str">
        <f>"KING LATOYA"</f>
        <v>KING LATOYA</v>
      </c>
      <c r="C6819" s="1" t="str">
        <f>"25TH AVE HOMESTEAD HTS 3 LOT 15"</f>
        <v>25TH AVE HOMESTEAD HTS 3 LOT 15</v>
      </c>
      <c r="D6819" s="1">
        <v>1372.58</v>
      </c>
    </row>
    <row r="6820" spans="1:4" x14ac:dyDescent="0.3">
      <c r="A6820" s="1" t="str">
        <f>"53021893100"</f>
        <v>53021893100</v>
      </c>
      <c r="B6820" s="1" t="str">
        <f>"KING MADISON PROPERTIES LLC"</f>
        <v>KING MADISON PROPERTIES LLC</v>
      </c>
      <c r="C6820" s="1" t="str">
        <f>"BRICE ROAD R21 T12 S25 1/2S44 1.418 ACRES"</f>
        <v>BRICE ROAD R21 T12 S25 1/2S44 1.418 ACRES</v>
      </c>
      <c r="D6820" s="1">
        <v>25401.7</v>
      </c>
    </row>
    <row r="6821" spans="1:4" x14ac:dyDescent="0.3">
      <c r="A6821" s="1" t="str">
        <f>"60017744800"</f>
        <v>60017744800</v>
      </c>
      <c r="B6821" s="1" t="str">
        <f>"KING MICHAEL S, SANCHEZ JUDY LEE"</f>
        <v>KING MICHAEL S, SANCHEZ JUDY LEE</v>
      </c>
      <c r="C6821" s="1" t="str">
        <f>"TOWNCRIER PLC CHERRYBOTTOM VIL 3 LOT 173"</f>
        <v>TOWNCRIER PLC CHERRYBOTTOM VIL 3 LOT 173</v>
      </c>
      <c r="D6821" s="1">
        <v>283.45999999999998</v>
      </c>
    </row>
    <row r="6822" spans="1:4" x14ac:dyDescent="0.3">
      <c r="A6822" s="1" t="str">
        <f>"01000708900"</f>
        <v>01000708900</v>
      </c>
      <c r="B6822" s="1" t="str">
        <f>"KING MICHAEL, KING CAROL"</f>
        <v>KING MICHAEL, KING CAROL</v>
      </c>
      <c r="C6822" s="1" t="str">
        <f>"237 INNIS AVE LOT 4 CARL K OTT PT 1/2 SEC 43"</f>
        <v>237 INNIS AVE LOT 4 CARL K OTT PT 1/2 SEC 43</v>
      </c>
      <c r="D6822" s="1">
        <v>3888.59</v>
      </c>
    </row>
    <row r="6823" spans="1:4" x14ac:dyDescent="0.3">
      <c r="A6823" s="1" t="str">
        <f>"14000501000"</f>
        <v>14000501000</v>
      </c>
      <c r="B6823" s="1" t="str">
        <f>"KING ROBIN VIRGINIA"</f>
        <v>KING ROBIN VIRGINIA</v>
      </c>
      <c r="C6823" s="1" t="str">
        <f>"869 JOSEPHINE AVE ROSARY 2 19 BLK 10"</f>
        <v>869 JOSEPHINE AVE ROSARY 2 19 BLK 10</v>
      </c>
      <c r="D6823" s="1">
        <v>1200.5899999999999</v>
      </c>
    </row>
    <row r="6824" spans="1:4" x14ac:dyDescent="0.3">
      <c r="A6824" s="1" t="str">
        <f>"22200102600"</f>
        <v>22200102600</v>
      </c>
      <c r="B6824" s="1" t="str">
        <f>"KING STEPHEN, KING DEBRA"</f>
        <v>KING STEPHEN, KING DEBRA</v>
      </c>
      <c r="C6824" s="1" t="str">
        <f>"7626 N GOODRICH SQ NEW ALBANY COUNTRY CLUB SEC 3 LOT 90"</f>
        <v>7626 N GOODRICH SQ NEW ALBANY COUNTRY CLUB SEC 3 LOT 90</v>
      </c>
      <c r="D6824" s="1">
        <v>772.76</v>
      </c>
    </row>
    <row r="6825" spans="1:4" x14ac:dyDescent="0.3">
      <c r="A6825" s="1" t="str">
        <f>"60016468100"</f>
        <v>60016468100</v>
      </c>
      <c r="B6825" s="1" t="str">
        <f>"KING SUE ELLEN TR"</f>
        <v>KING SUE ELLEN TR</v>
      </c>
      <c r="C6825" s="1" t="str">
        <f>"PEPPERTREE CONDM SEC TWO BLDG 3 UNIT 43"</f>
        <v>PEPPERTREE CONDM SEC TWO BLDG 3 UNIT 43</v>
      </c>
      <c r="D6825" s="1">
        <v>2558.7399999999998</v>
      </c>
    </row>
    <row r="6826" spans="1:4" x14ac:dyDescent="0.3">
      <c r="A6826" s="1" t="str">
        <f>"01018876700"</f>
        <v>01018876700</v>
      </c>
      <c r="B6826" s="1" t="str">
        <f>"KINGS COURT 1781B LLC"</f>
        <v>KINGS COURT 1781B LLC</v>
      </c>
      <c r="C6826" s="1" t="str">
        <f>"1781 B KINGS CT WINDGATE VILL CONDO UNIT 44 BLD 8"</f>
        <v>1781 B KINGS CT WINDGATE VILL CONDO UNIT 44 BLD 8</v>
      </c>
      <c r="D6826" s="1">
        <v>191.08</v>
      </c>
    </row>
    <row r="6827" spans="1:4" x14ac:dyDescent="0.3">
      <c r="A6827" s="1" t="str">
        <f>"02000479900"</f>
        <v>02000479900</v>
      </c>
      <c r="B6827" s="1" t="str">
        <f>"KINGSLEY NANCY J TTEE"</f>
        <v>KINGSLEY NANCY J TTEE</v>
      </c>
      <c r="C6827" s="1" t="str">
        <f>"THE ALEXANDER             CONDOMINIUM               UNIT E4                  "</f>
        <v xml:space="preserve">THE ALEXANDER             CONDOMINIUM               UNIT E4                  </v>
      </c>
      <c r="D6827" s="1">
        <v>497.92</v>
      </c>
    </row>
    <row r="6828" spans="1:4" x14ac:dyDescent="0.3">
      <c r="A6828" s="1" t="str">
        <f>"02000480000"</f>
        <v>02000480000</v>
      </c>
      <c r="B6828" s="1" t="str">
        <f>"KINGSLEY NANCY J TTEE"</f>
        <v>KINGSLEY NANCY J TTEE</v>
      </c>
      <c r="C6828" s="1" t="str">
        <f>"THE ALEXANDER             CONDOMINIUM               UNIT E5                  "</f>
        <v xml:space="preserve">THE ALEXANDER             CONDOMINIUM               UNIT E5                  </v>
      </c>
      <c r="D6828" s="1">
        <v>497.92</v>
      </c>
    </row>
    <row r="6829" spans="1:4" x14ac:dyDescent="0.3">
      <c r="A6829" s="1" t="str">
        <f>"02000485500"</f>
        <v>02000485500</v>
      </c>
      <c r="B6829" s="1" t="str">
        <f>"KINGSLEY NANCY J TTEE"</f>
        <v>KINGSLEY NANCY J TTEE</v>
      </c>
      <c r="C6829" s="1" t="str">
        <f>"THE ALEXANDER             CONDOMINIUM 9TH AMD       PENTHOUSE 6              "</f>
        <v xml:space="preserve">THE ALEXANDER             CONDOMINIUM 9TH AMD       PENTHOUSE 6              </v>
      </c>
      <c r="D6829" s="1">
        <v>22013.279999999999</v>
      </c>
    </row>
    <row r="6830" spans="1:4" x14ac:dyDescent="0.3">
      <c r="A6830" s="1" t="str">
        <f>"61012111000"</f>
        <v>61012111000</v>
      </c>
      <c r="B6830" s="1" t="str">
        <f>"KINGSMILL OPPORTUNITY FUND INVESTMENT CO LLC"</f>
        <v>KINGSMILL OPPORTUNITY FUND INVESTMENT CO LLC</v>
      </c>
      <c r="C6830" s="1" t="str">
        <f>"KINGSMILL PW BUSCH CORP CENTER 3.0976 AC   LOT C"</f>
        <v>KINGSMILL PW BUSCH CORP CENTER 3.0976 AC   LOT C</v>
      </c>
      <c r="D6830" s="1">
        <v>44164.34</v>
      </c>
    </row>
    <row r="6831" spans="1:4" x14ac:dyDescent="0.3">
      <c r="A6831" s="1" t="str">
        <f>"13000081200"</f>
        <v>13000081200</v>
      </c>
      <c r="B6831" s="1" t="str">
        <f>"KINGSTAR INVESTMENTS LLC"</f>
        <v>KINGSTAR INVESTMENTS LLC</v>
      </c>
      <c r="C6831" s="1" t="str">
        <f>"CHESAPEAKE AVE LINCOLN HTS LOT 62 &amp; PT VAC ALS"</f>
        <v>CHESAPEAKE AVE LINCOLN HTS LOT 62 &amp; PT VAC ALS</v>
      </c>
      <c r="D6831" s="1">
        <v>1568.12</v>
      </c>
    </row>
    <row r="6832" spans="1:4" x14ac:dyDescent="0.3">
      <c r="A6832" s="1" t="str">
        <f>"13000455600"</f>
        <v>13000455600</v>
      </c>
      <c r="B6832" s="1" t="str">
        <f>"KINGSTAR INVESTMENTS LLC"</f>
        <v>KINGSTAR INVESTMENTS LLC</v>
      </c>
      <c r="C6832" s="1" t="str">
        <f>"1523 CHESAPEAKE AVE LINCOLN HTS LOT 63 &amp; 4.0'EL NE VAC AL"</f>
        <v>1523 CHESAPEAKE AVE LINCOLN HTS LOT 63 &amp; 4.0'EL NE VAC AL</v>
      </c>
      <c r="D6832" s="1">
        <v>607.07000000000005</v>
      </c>
    </row>
    <row r="6833" spans="1:4" x14ac:dyDescent="0.3">
      <c r="A6833" s="1" t="str">
        <f>"15000030200"</f>
        <v>15000030200</v>
      </c>
      <c r="B6833" s="1" t="str">
        <f>"KINISON JERRY W"</f>
        <v>KINISON JERRY W</v>
      </c>
      <c r="C6833" s="1" t="str">
        <f>"3639 LOCKBOURNE RD .90 ACRES R22 T4 S15"</f>
        <v>3639 LOCKBOURNE RD .90 ACRES R22 T4 S15</v>
      </c>
      <c r="D6833" s="1">
        <v>1151.17</v>
      </c>
    </row>
    <row r="6834" spans="1:4" x14ac:dyDescent="0.3">
      <c r="A6834" s="1" t="str">
        <f>"07000601400"</f>
        <v>07000601400</v>
      </c>
      <c r="B6834" s="1" t="str">
        <f>"KINNEAR DEREK C, CUTILLO LAUREN M"</f>
        <v>KINNEAR DEREK C, CUTILLO LAUREN M</v>
      </c>
      <c r="C6834" s="1" t="str">
        <f>"WESTBURY DR 6.33FTNS OF 24&amp;87.33FT SS L23 WESTWOOD ACRES 23-24"</f>
        <v>WESTBURY DR 6.33FTNS OF 24&amp;87.33FT SS L23 WESTWOOD ACRES 23-24</v>
      </c>
      <c r="D6834" s="1">
        <v>1185.28</v>
      </c>
    </row>
    <row r="6835" spans="1:4" x14ac:dyDescent="0.3">
      <c r="A6835" s="1" t="str">
        <f>"01000394700"</f>
        <v>01000394700</v>
      </c>
      <c r="B6835" s="1" t="str">
        <f>"KINNEAR SHELLEY"</f>
        <v>KINNEAR SHELLEY</v>
      </c>
      <c r="C6835" s="1" t="str">
        <f>"238 BARTHMAN AVE CARL K OTTS LOT 25"</f>
        <v>238 BARTHMAN AVE CARL K OTTS LOT 25</v>
      </c>
      <c r="D6835" s="1">
        <v>1221.7</v>
      </c>
    </row>
    <row r="6836" spans="1:4" x14ac:dyDescent="0.3">
      <c r="A6836" s="1" t="str">
        <f>"57021910000"</f>
        <v>57021910000</v>
      </c>
      <c r="B6836" s="1" t="str">
        <f>"KINSER NATHAN G"</f>
        <v>KINSER NATHAN G</v>
      </c>
      <c r="C6836" s="1" t="str">
        <f>"MID DAY DRIVE WESTWOODS VILLAGE SECTION 2 LOT 60"</f>
        <v>MID DAY DRIVE WESTWOODS VILLAGE SECTION 2 LOT 60</v>
      </c>
      <c r="D6836" s="1">
        <v>2128.87</v>
      </c>
    </row>
    <row r="6837" spans="1:4" x14ac:dyDescent="0.3">
      <c r="A6837" s="1" t="str">
        <f>"01009657400"</f>
        <v>01009657400</v>
      </c>
      <c r="B6837" s="1" t="str">
        <f>"KINSEY BROOKE, COLLIER SUSAN LE, COLLIER JANE LE"</f>
        <v>KINSEY BROOKE, COLLIER SUSAN LE, COLLIER JANE LE</v>
      </c>
      <c r="C6837" s="1" t="str">
        <f>"SPRINGS DR INDIAN SPRINGS INDIANOLA L9 BLK C"</f>
        <v>SPRINGS DR INDIAN SPRINGS INDIANOLA L9 BLK C</v>
      </c>
      <c r="D6837" s="1">
        <v>2072.02</v>
      </c>
    </row>
    <row r="6838" spans="1:4" x14ac:dyDescent="0.3">
      <c r="A6838" s="1" t="str">
        <f>"03000041100"</f>
        <v>03000041100</v>
      </c>
      <c r="B6838" s="1" t="str">
        <f>"KIPP GARY L, KIPP SANDRA J"</f>
        <v>KIPP GARY L, KIPP SANDRA J</v>
      </c>
      <c r="C6838" s="1" t="str">
        <f>"1359 MULFORD RD LOT 60 NORTHWEST BLVD 2"</f>
        <v>1359 MULFORD RD LOT 60 NORTHWEST BLVD 2</v>
      </c>
      <c r="D6838" s="1">
        <v>493.93</v>
      </c>
    </row>
    <row r="6839" spans="1:4" x14ac:dyDescent="0.3">
      <c r="A6839" s="1" t="str">
        <f>"01006885300"</f>
        <v>01006885300</v>
      </c>
      <c r="B6839" s="1" t="str">
        <f>"KIRBY HEATH ANDREW, KIRBY CYNTHIA"</f>
        <v>KIRBY HEATH ANDREW, KIRBY CYNTHIA</v>
      </c>
      <c r="C6839" s="1" t="str">
        <f>"WILTSHIRE RD ALL 7&amp; 62-3FT NS 8 WILSHIRE HTS LOTS 7-8 BLK 21"</f>
        <v>WILTSHIRE RD ALL 7&amp; 62-3FT NS 8 WILSHIRE HTS LOTS 7-8 BLK 21</v>
      </c>
      <c r="D6839" s="1">
        <v>1456.88</v>
      </c>
    </row>
    <row r="6840" spans="1:4" x14ac:dyDescent="0.3">
      <c r="A6840" s="1" t="str">
        <f>"27300237200"</f>
        <v>27300237200</v>
      </c>
      <c r="B6840" s="1" t="str">
        <f>"KIRBY JOANN, KIRBY JAMES"</f>
        <v>KIRBY JOANN, KIRBY JAMES</v>
      </c>
      <c r="C6840" s="1" t="str">
        <f>"5989 KIRKWALL CT MUIRFIELD VIL 23 PT1 LOT 1144"</f>
        <v>5989 KIRKWALL CT MUIRFIELD VIL 23 PT1 LOT 1144</v>
      </c>
      <c r="D6840" s="1">
        <v>206.28</v>
      </c>
    </row>
    <row r="6841" spans="1:4" x14ac:dyDescent="0.3">
      <c r="A6841" s="1" t="str">
        <f>"10000561900"</f>
        <v>10000561900</v>
      </c>
      <c r="B6841" s="1" t="str">
        <f>"KIRBY KRISTEEN K TR, KIRBY PATRICK C TR"</f>
        <v>KIRBY KRISTEEN K TR, KIRBY PATRICK C TR</v>
      </c>
      <c r="C6841" s="1" t="str">
        <f>"170 WHIELDON LANE BAINBRIDGE COND UNIT 23"</f>
        <v>170 WHIELDON LANE BAINBRIDGE COND UNIT 23</v>
      </c>
      <c r="D6841" s="1">
        <v>536.58000000000004</v>
      </c>
    </row>
    <row r="6842" spans="1:4" x14ac:dyDescent="0.3">
      <c r="A6842" s="1" t="str">
        <f>"01014503800"</f>
        <v>01014503800</v>
      </c>
      <c r="B6842" s="1" t="str">
        <f>"KIRBY STEVEN H, KIRBY MARCIA R"</f>
        <v>KIRBY STEVEN H, KIRBY MARCIA R</v>
      </c>
      <c r="C6842" s="1" t="str">
        <f>"1879 COGHILL DR NORTHLAND VILL EAST LOT 54"</f>
        <v>1879 COGHILL DR NORTHLAND VILL EAST LOT 54</v>
      </c>
      <c r="D6842" s="1">
        <v>68.53</v>
      </c>
    </row>
    <row r="6843" spans="1:4" x14ac:dyDescent="0.3">
      <c r="A6843" s="1" t="str">
        <f>"59020997300"</f>
        <v>59020997300</v>
      </c>
      <c r="B6843" s="1" t="str">
        <f>"KIRCHHOFF FLORIAN, ROGERS CAROLINE"</f>
        <v>KIRCHHOFF FLORIAN, ROGERS CAROLINE</v>
      </c>
      <c r="C6843" s="1" t="str">
        <f>"SHROCKTON STREET SUMMIT VIEW WOODS SEC 1 LOT 68"</f>
        <v>SHROCKTON STREET SUMMIT VIEW WOODS SEC 1 LOT 68</v>
      </c>
      <c r="D6843" s="1">
        <v>4178.04</v>
      </c>
    </row>
    <row r="6844" spans="1:4" x14ac:dyDescent="0.3">
      <c r="A6844" s="1" t="str">
        <f>"15000085400"</f>
        <v>15000085400</v>
      </c>
      <c r="B6844" s="1" t="str">
        <f>"KIRK DEBORAH K, KIRK GARY E"</f>
        <v>KIRK DEBORAH K, KIRK GARY E</v>
      </c>
      <c r="C6844" s="1" t="str">
        <f>"TODD AVE 248 WALNUT HTS"</f>
        <v>TODD AVE 248 WALNUT HTS</v>
      </c>
      <c r="D6844" s="1">
        <v>483.34</v>
      </c>
    </row>
    <row r="6845" spans="1:4" x14ac:dyDescent="0.3">
      <c r="A6845" s="1" t="str">
        <f>"15000059900"</f>
        <v>15000059900</v>
      </c>
      <c r="B6845" s="1" t="str">
        <f>"KIRK DEBORAH K, KIRK GARY E"</f>
        <v>KIRK DEBORAH K, KIRK GARY E</v>
      </c>
      <c r="C6845" s="1" t="str">
        <f>"TODD AVE LOT 247 WALNUT HTS"</f>
        <v>TODD AVE LOT 247 WALNUT HTS</v>
      </c>
      <c r="D6845" s="1">
        <v>483.34</v>
      </c>
    </row>
    <row r="6846" spans="1:4" x14ac:dyDescent="0.3">
      <c r="A6846" s="1" t="str">
        <f>"15000059700"</f>
        <v>15000059700</v>
      </c>
      <c r="B6846" s="1" t="str">
        <f>"KIRK DEBORAH K, KIRK GARY E"</f>
        <v>KIRK DEBORAH K, KIRK GARY E</v>
      </c>
      <c r="C6846" s="1" t="str">
        <f>"2039 TODD AVE SCIOTO DR WALNUT HTS LOT 245"</f>
        <v>2039 TODD AVE SCIOTO DR WALNUT HTS LOT 245</v>
      </c>
      <c r="D6846" s="1">
        <v>1850.83</v>
      </c>
    </row>
    <row r="6847" spans="1:4" x14ac:dyDescent="0.3">
      <c r="A6847" s="1" t="str">
        <f>"15000059800"</f>
        <v>15000059800</v>
      </c>
      <c r="B6847" s="1" t="str">
        <f>"KIRK DEBORAH K, KIRK GARY E"</f>
        <v>KIRK DEBORAH K, KIRK GARY E</v>
      </c>
      <c r="C6847" s="1" t="str">
        <f>"TODD AVE LOT 246 WALNUT HTS"</f>
        <v>TODD AVE LOT 246 WALNUT HTS</v>
      </c>
      <c r="D6847" s="1">
        <v>483.34</v>
      </c>
    </row>
    <row r="6848" spans="1:4" x14ac:dyDescent="0.3">
      <c r="A6848" s="1" t="str">
        <f>"08001117500"</f>
        <v>08001117500</v>
      </c>
      <c r="B6848" s="1" t="str">
        <f>"KIRK DEBORAH O"</f>
        <v>KIRK DEBORAH O</v>
      </c>
      <c r="C6848" s="1" t="str">
        <f>"PIN OAK COURT SPRING GROVE NORTH SEC 1 PHASE 1 LOT 12"</f>
        <v>PIN OAK COURT SPRING GROVE NORTH SEC 1 PHASE 1 LOT 12</v>
      </c>
      <c r="D6848" s="1">
        <v>791.72</v>
      </c>
    </row>
    <row r="6849" spans="1:4" x14ac:dyDescent="0.3">
      <c r="A6849" s="1" t="str">
        <f>"01011148200"</f>
        <v>01011148200</v>
      </c>
      <c r="B6849" s="1" t="str">
        <f>"KIRK JAMES A"</f>
        <v>KIRK JAMES A</v>
      </c>
      <c r="C6849" s="1" t="str">
        <f>"MAPLEWOOD RD 261 W1/2 HOME AVRES LOT 25"</f>
        <v>MAPLEWOOD RD 261 W1/2 HOME AVRES LOT 25</v>
      </c>
      <c r="D6849" s="1">
        <v>348.9</v>
      </c>
    </row>
    <row r="6850" spans="1:4" x14ac:dyDescent="0.3">
      <c r="A6850" s="1" t="str">
        <f>"23200005800"</f>
        <v>23200005800</v>
      </c>
      <c r="B6850" s="1" t="str">
        <f>"KIRK KEN"</f>
        <v>KIRK KEN</v>
      </c>
      <c r="C6850" s="1" t="str">
        <f>"NORTON RD 2.769 ACRES "</f>
        <v xml:space="preserve">NORTON RD 2.769 ACRES </v>
      </c>
      <c r="D6850" s="1">
        <v>2422.4899999999998</v>
      </c>
    </row>
    <row r="6851" spans="1:4" x14ac:dyDescent="0.3">
      <c r="A6851" s="1" t="str">
        <f>"01009099100"</f>
        <v>01009099100</v>
      </c>
      <c r="B6851" s="1" t="str">
        <f>"KIRK MARY"</f>
        <v>KIRK MARY</v>
      </c>
      <c r="C6851" s="1" t="str">
        <f>"KELLNER RD EASTMOOR LOT 408 "</f>
        <v xml:space="preserve">KELLNER RD EASTMOOR LOT 408 </v>
      </c>
      <c r="D6851" s="1">
        <v>126.19</v>
      </c>
    </row>
    <row r="6852" spans="1:4" x14ac:dyDescent="0.3">
      <c r="A6852" s="1" t="str">
        <f>"52016878300"</f>
        <v>52016878300</v>
      </c>
      <c r="B6852" s="1" t="str">
        <f>"KIRKES MARC E, KIRKES CAROL S"</f>
        <v>KIRKES MARC E, KIRKES CAROL S</v>
      </c>
      <c r="C6852" s="1" t="str">
        <f>"SPERRY AVE VIRGINIA TERRACE LOT 44"</f>
        <v>SPERRY AVE VIRGINIA TERRACE LOT 44</v>
      </c>
      <c r="D6852" s="1">
        <v>197.09</v>
      </c>
    </row>
    <row r="6853" spans="1:4" x14ac:dyDescent="0.3">
      <c r="A6853" s="1" t="str">
        <f>"01015765600"</f>
        <v>01015765600</v>
      </c>
      <c r="B6853" s="1" t="str">
        <f>"KIRKPATRICK MARY J"</f>
        <v>KIRKPATRICK MARY J</v>
      </c>
      <c r="C6853" s="1" t="str">
        <f>"SHARON WOODS BLVD SHARON WOODS SECT 7 LOT 585"</f>
        <v>SHARON WOODS BLVD SHARON WOODS SECT 7 LOT 585</v>
      </c>
      <c r="D6853" s="1">
        <v>4728.57</v>
      </c>
    </row>
    <row r="6854" spans="1:4" x14ac:dyDescent="0.3">
      <c r="A6854" s="1" t="str">
        <f>"02500518200"</f>
        <v>02500518200</v>
      </c>
      <c r="B6854" s="1" t="str">
        <f>"KIRTON TREYTON, HARPER JESSICA"</f>
        <v>KIRTON TREYTON, HARPER JESSICA</v>
      </c>
      <c r="C6854" s="1" t="str">
        <f>"798 RIVA RIDGE BLVD SARATOGA ESTATES S 1 LOT 53"</f>
        <v>798 RIVA RIDGE BLVD SARATOGA ESTATES S 1 LOT 53</v>
      </c>
      <c r="D6854" s="1">
        <v>27</v>
      </c>
    </row>
    <row r="6855" spans="1:4" x14ac:dyDescent="0.3">
      <c r="A6855" s="1" t="str">
        <f>"01008686700"</f>
        <v>01008686700</v>
      </c>
      <c r="B6855" s="1" t="str">
        <f>"KISH ALEXANDER"</f>
        <v>KISH ALEXANDER</v>
      </c>
      <c r="C6855" s="1" t="str">
        <f>"ALDRICH RD ROSEMARY SOUTH AMD LOT 2"</f>
        <v>ALDRICH RD ROSEMARY SOUTH AMD LOT 2</v>
      </c>
      <c r="D6855" s="1">
        <v>281.33999999999997</v>
      </c>
    </row>
    <row r="6856" spans="1:4" x14ac:dyDescent="0.3">
      <c r="A6856" s="1" t="str">
        <f>"01005854600"</f>
        <v>01005854600</v>
      </c>
      <c r="B6856" s="1" t="str">
        <f>"KISH MAGDOLNA"</f>
        <v>KISH MAGDOLNA</v>
      </c>
      <c r="C6856" s="1" t="str">
        <f>"TORRENCE RD WOODLAND CRES 170"</f>
        <v>TORRENCE RD WOODLAND CRES 170</v>
      </c>
      <c r="D6856" s="1">
        <v>217.37</v>
      </c>
    </row>
    <row r="6857" spans="1:4" x14ac:dyDescent="0.3">
      <c r="A6857" s="1" t="str">
        <f>"01017339900"</f>
        <v>01017339900</v>
      </c>
      <c r="B6857" s="1" t="str">
        <f>"KISIELEWSKI PATRICIA A, KISIELEWSKI PETER K"</f>
        <v>KISIELEWSKI PATRICIA A, KISIELEWSKI PETER K</v>
      </c>
      <c r="C6857" s="1" t="str">
        <f>"STONEHENGE CONDOMINIUM BLDG 17 UNIT 3648"</f>
        <v>STONEHENGE CONDOMINIUM BLDG 17 UNIT 3648</v>
      </c>
      <c r="D6857" s="1">
        <v>82.85</v>
      </c>
    </row>
    <row r="6858" spans="1:4" x14ac:dyDescent="0.3">
      <c r="A6858" s="1" t="str">
        <f>"02501180900"</f>
        <v>02501180900</v>
      </c>
      <c r="B6858" s="1" t="str">
        <f>"KISKER BARBARA K TR"</f>
        <v>KISKER BARBARA K TR</v>
      </c>
      <c r="C6858" s="1" t="str">
        <f>"CHALLIS SPRING DR LOT 243 PK HARRISON POND VILLAGES AT ROCKY FORK SEC 8 PT 1"</f>
        <v>CHALLIS SPRING DR LOT 243 PK HARRISON POND VILLAGES AT ROCKY FORK SEC 8 PT 1</v>
      </c>
      <c r="D6858" s="1">
        <v>557.98</v>
      </c>
    </row>
    <row r="6859" spans="1:4" x14ac:dyDescent="0.3">
      <c r="A6859" s="1" t="str">
        <f>"18000527600"</f>
        <v>18000527600</v>
      </c>
      <c r="B6859" s="1" t="str">
        <f>"KISNER TROY V, KISNER KATHLEEN V"</f>
        <v>KISNER TROY V, KISNER KATHLEEN V</v>
      </c>
      <c r="C6859" s="1" t="str">
        <f>"RICHARDSON RD R21 T10 S10 12.4232 ACRES"</f>
        <v>RICHARDSON RD R21 T10 S10 12.4232 ACRES</v>
      </c>
      <c r="D6859" s="1">
        <v>298.86</v>
      </c>
    </row>
    <row r="6860" spans="1:4" x14ac:dyDescent="0.3">
      <c r="A6860" s="1" t="str">
        <f>"27300836200"</f>
        <v>27300836200</v>
      </c>
      <c r="B6860" s="1" t="str">
        <f>"KISTNER STEPHANIE MARIE, KISTNER STEVE"</f>
        <v>KISTNER STEPHANIE MARIE, KISTNER STEVE</v>
      </c>
      <c r="C6860" s="1" t="str">
        <f>"MARTIN RD R19 T2 1/4T3 1.044 AC LOT 2-11"</f>
        <v>MARTIN RD R19 T2 1/4T3 1.044 AC LOT 2-11</v>
      </c>
      <c r="D6860" s="1">
        <v>11546.9</v>
      </c>
    </row>
    <row r="6861" spans="1:4" x14ac:dyDescent="0.3">
      <c r="A6861" s="1" t="str">
        <f>"06000205900"</f>
        <v>06000205900</v>
      </c>
      <c r="B6861" s="1" t="str">
        <f>"KITCHEN KEN J"</f>
        <v>KITCHEN KEN J</v>
      </c>
      <c r="C6861" s="1" t="str">
        <f>"RETTON RD HERBERT C HUBER PLAT 36 SEC 2  117"</f>
        <v>RETTON RD HERBERT C HUBER PLAT 36 SEC 2  117</v>
      </c>
      <c r="D6861" s="1">
        <v>170.85</v>
      </c>
    </row>
    <row r="6862" spans="1:4" x14ac:dyDescent="0.3">
      <c r="A6862" s="1" t="str">
        <f>"01002973500"</f>
        <v>01002973500</v>
      </c>
      <c r="B6862" s="1" t="str">
        <f>"KITTANEH AZZAM M"</f>
        <v>KITTANEH AZZAM M</v>
      </c>
      <c r="C6862" s="1" t="str">
        <f>"221 AVONDALE AVE &amp; 1004 W RICH W PARK LOT 159"</f>
        <v>221 AVONDALE AVE &amp; 1004 W RICH W PARK LOT 159</v>
      </c>
      <c r="D6862" s="1">
        <v>484.77</v>
      </c>
    </row>
    <row r="6863" spans="1:4" x14ac:dyDescent="0.3">
      <c r="A6863" s="1" t="str">
        <f>"05000670500"</f>
        <v>05000670500</v>
      </c>
      <c r="B6863" s="1" t="str">
        <f>"KITTANEH AZZAM, KITTANEH BASMA"</f>
        <v>KITTANEH AZZAM, KITTANEH BASMA</v>
      </c>
      <c r="C6863" s="1" t="str">
        <f>"BRITTON FARMS SECTION 2 PHASE 2 LOT 150"</f>
        <v>BRITTON FARMS SECTION 2 PHASE 2 LOT 150</v>
      </c>
      <c r="D6863" s="1">
        <v>12164.09</v>
      </c>
    </row>
    <row r="6864" spans="1:4" x14ac:dyDescent="0.3">
      <c r="A6864" s="1" t="str">
        <f>"10000573000"</f>
        <v>10000573000</v>
      </c>
      <c r="B6864" s="1" t="str">
        <f>"KITTREDGE DAVID D, KITTREDGE DEBORAH H"</f>
        <v>KITTREDGE DAVID D, KITTREDGE DEBORAH H</v>
      </c>
      <c r="C6864" s="1" t="str">
        <f>"250 ST ANTOINE PART 12 UN 10C VILLE CHARMANTE COND"</f>
        <v>250 ST ANTOINE PART 12 UN 10C VILLE CHARMANTE COND</v>
      </c>
      <c r="D6864" s="1">
        <v>314.67</v>
      </c>
    </row>
    <row r="6865" spans="1:4" x14ac:dyDescent="0.3">
      <c r="A6865" s="1" t="str">
        <f>"27300453600"</f>
        <v>27300453600</v>
      </c>
      <c r="B6865" s="1" t="str">
        <f>"KITTRELL THADDEUS A, KITTRELL JESSICA R"</f>
        <v>KITTRELL THADDEUS A, KITTRELL JESSICA R</v>
      </c>
      <c r="C6865" s="1" t="str">
        <f>"5051 BRAND RD 5 ACRES OQ 889 ENTRY 2543"</f>
        <v>5051 BRAND RD 5 ACRES OQ 889 ENTRY 2543</v>
      </c>
      <c r="D6865" s="1">
        <v>1758.45</v>
      </c>
    </row>
    <row r="6866" spans="1:4" x14ac:dyDescent="0.3">
      <c r="A6866" s="1" t="str">
        <f>"19100272200"</f>
        <v>19100272200</v>
      </c>
      <c r="B6866" s="1" t="str">
        <f>"KITZMILLER DORIS J TR"</f>
        <v>KITZMILLER DORIS J TR</v>
      </c>
      <c r="C6866" s="1" t="str">
        <f>"AGLER RD R17 T1 1-4T1 2.0 ACRES"</f>
        <v>AGLER RD R17 T1 1-4T1 2.0 ACRES</v>
      </c>
      <c r="D6866" s="1">
        <v>7491.45</v>
      </c>
    </row>
    <row r="6867" spans="1:4" x14ac:dyDescent="0.3">
      <c r="A6867" s="1" t="str">
        <f>"22200030500"</f>
        <v>22200030500</v>
      </c>
      <c r="B6867" s="1" t="str">
        <f>"KITZMILLER DORIS J TR"</f>
        <v>KITZMILLER DORIS J TR</v>
      </c>
      <c r="C6867" s="1" t="str">
        <f>"4994 JOHNSTOWN RD R16 T2 1-4TWP 3 ACRES 1.690 LOT 4"</f>
        <v>4994 JOHNSTOWN RD R16 T2 1-4TWP 3 ACRES 1.690 LOT 4</v>
      </c>
      <c r="D6867" s="1">
        <v>429.87</v>
      </c>
    </row>
    <row r="6868" spans="1:4" x14ac:dyDescent="0.3">
      <c r="A6868" s="1" t="str">
        <f>"01002145800"</f>
        <v>01002145800</v>
      </c>
      <c r="B6868" s="1" t="str">
        <f>"KJB HOME LLC"</f>
        <v>KJB HOME LLC</v>
      </c>
      <c r="C6868" s="1" t="str">
        <f>"112 SCHULTZ AVE BELMONT LOT 124"</f>
        <v>112 SCHULTZ AVE BELMONT LOT 124</v>
      </c>
      <c r="D6868" s="1">
        <v>707.18</v>
      </c>
    </row>
    <row r="6869" spans="1:4" x14ac:dyDescent="0.3">
      <c r="A6869" s="1" t="str">
        <f>"01001008600"</f>
        <v>01001008600</v>
      </c>
      <c r="B6869" s="1" t="str">
        <f>"KJB HOMES LLC"</f>
        <v>KJB HOMES LLC</v>
      </c>
      <c r="C6869" s="1" t="str">
        <f>"1373 MELROSE AVE LINDEN GARDENS PT LOT 8"</f>
        <v>1373 MELROSE AVE LINDEN GARDENS PT LOT 8</v>
      </c>
      <c r="D6869" s="1">
        <v>1039.1500000000001</v>
      </c>
    </row>
    <row r="6870" spans="1:4" x14ac:dyDescent="0.3">
      <c r="A6870" s="1" t="str">
        <f>"01008314100"</f>
        <v>01008314100</v>
      </c>
      <c r="B6870" s="1" t="str">
        <f>"KJB HOMES LLC"</f>
        <v>KJB HOMES LLC</v>
      </c>
      <c r="C6870" s="1" t="str">
        <f>"COMO AVE CHELSEA LOT 91"</f>
        <v>COMO AVE CHELSEA LOT 91</v>
      </c>
      <c r="D6870" s="1">
        <v>814.12</v>
      </c>
    </row>
    <row r="6871" spans="1:4" x14ac:dyDescent="0.3">
      <c r="A6871" s="1" t="str">
        <f>"01008314600"</f>
        <v>01008314600</v>
      </c>
      <c r="B6871" s="1" t="str">
        <f>"KJB HOMES LLC"</f>
        <v>KJB HOMES LLC</v>
      </c>
      <c r="C6871" s="1" t="str">
        <f>"ELMORE AVE ELMORE LOT 430"</f>
        <v>ELMORE AVE ELMORE LOT 430</v>
      </c>
      <c r="D6871" s="1">
        <v>400.86</v>
      </c>
    </row>
    <row r="6872" spans="1:4" x14ac:dyDescent="0.3">
      <c r="A6872" s="1" t="str">
        <f>"01009664900"</f>
        <v>01009664900</v>
      </c>
      <c r="B6872" s="1" t="str">
        <f>"KJB HOMES LLC"</f>
        <v>KJB HOMES LLC</v>
      </c>
      <c r="C6872" s="1" t="str">
        <f>"GERBERT RD WH DAIVES LOT 11"</f>
        <v>GERBERT RD WH DAIVES LOT 11</v>
      </c>
      <c r="D6872" s="1">
        <v>1077.0899999999999</v>
      </c>
    </row>
    <row r="6873" spans="1:4" x14ac:dyDescent="0.3">
      <c r="A6873" s="1" t="str">
        <f>"01009945700"</f>
        <v>01009945700</v>
      </c>
      <c r="B6873" s="1" t="str">
        <f>"KJB HOMES LLC"</f>
        <v>KJB HOMES LLC</v>
      </c>
      <c r="C6873" s="1" t="str">
        <f>"25TH AVE HOMESTEAD HTS NO3 LOT 44"</f>
        <v>25TH AVE HOMESTEAD HTS NO3 LOT 44</v>
      </c>
      <c r="D6873" s="1">
        <v>885.18</v>
      </c>
    </row>
    <row r="6874" spans="1:4" x14ac:dyDescent="0.3">
      <c r="A6874" s="1" t="str">
        <f>"01009670500"</f>
        <v>01009670500</v>
      </c>
      <c r="B6874" s="1" t="str">
        <f>"KJB HOMES LLC"</f>
        <v>KJB HOMES LLC</v>
      </c>
      <c r="C6874" s="1" t="str">
        <f>"WM H DAVIS LOT 147 "</f>
        <v xml:space="preserve">WM H DAVIS LOT 147 </v>
      </c>
      <c r="D6874" s="1">
        <v>796.68</v>
      </c>
    </row>
    <row r="6875" spans="1:4" x14ac:dyDescent="0.3">
      <c r="A6875" s="1" t="str">
        <f>"01010355600"</f>
        <v>01010355600</v>
      </c>
      <c r="B6875" s="1" t="str">
        <f>"KJB HOMES LLC"</f>
        <v>KJB HOMES LLC</v>
      </c>
      <c r="C6875" s="1" t="str">
        <f>"HOMESTEAD DR WM H DAVIS LOT 138"</f>
        <v>HOMESTEAD DR WM H DAVIS LOT 138</v>
      </c>
      <c r="D6875" s="1">
        <v>1002.79</v>
      </c>
    </row>
    <row r="6876" spans="1:4" x14ac:dyDescent="0.3">
      <c r="A6876" s="1" t="str">
        <f>"01005869400"</f>
        <v>01005869400</v>
      </c>
      <c r="B6876" s="1" t="str">
        <f>"KJB HOMES LLC"</f>
        <v>KJB HOMES LLC</v>
      </c>
      <c r="C6876" s="1" t="str">
        <f>"1578 MYRTLE AVE WALDON ADD LOT 130 "</f>
        <v xml:space="preserve">1578 MYRTLE AVE WALDON ADD LOT 130 </v>
      </c>
      <c r="D6876" s="1">
        <v>1062.1600000000001</v>
      </c>
    </row>
    <row r="6877" spans="1:4" x14ac:dyDescent="0.3">
      <c r="A6877" s="1" t="str">
        <f>"01007665700"</f>
        <v>01007665700</v>
      </c>
      <c r="B6877" s="1" t="str">
        <f>"KJB HOMES LLC"</f>
        <v>KJB HOMES LLC</v>
      </c>
      <c r="C6877" s="1" t="str">
        <f>"DUXBERRY AVE HOMESTEADHEIGHTS 2 LOT 89"</f>
        <v>DUXBERRY AVE HOMESTEADHEIGHTS 2 LOT 89</v>
      </c>
      <c r="D6877" s="1">
        <v>804.08</v>
      </c>
    </row>
    <row r="6878" spans="1:4" x14ac:dyDescent="0.3">
      <c r="A6878" s="1" t="str">
        <f>"01007396000"</f>
        <v>01007396000</v>
      </c>
      <c r="B6878" s="1" t="str">
        <f>"KJB HOMES LLC"</f>
        <v>KJB HOMES LLC</v>
      </c>
      <c r="C6878" s="1" t="str">
        <f>"HOMECROFT DR HOMECROFT LOT 203"</f>
        <v>HOMECROFT DR HOMECROFT LOT 203</v>
      </c>
      <c r="D6878" s="1">
        <v>663.94</v>
      </c>
    </row>
    <row r="6879" spans="1:4" x14ac:dyDescent="0.3">
      <c r="A6879" s="1" t="str">
        <f>"01007972800"</f>
        <v>01007972800</v>
      </c>
      <c r="B6879" s="1" t="str">
        <f>"KJB HOMES LLC"</f>
        <v>KJB HOMES LLC</v>
      </c>
      <c r="C6879" s="1" t="str">
        <f>"MANHATTAN AVE &amp; 1213 WEBER RD HARRISON VILLA LOT 22-23"</f>
        <v>MANHATTAN AVE &amp; 1213 WEBER RD HARRISON VILLA LOT 22-23</v>
      </c>
      <c r="D6879" s="1">
        <v>663.94</v>
      </c>
    </row>
    <row r="6880" spans="1:4" x14ac:dyDescent="0.3">
      <c r="A6880" s="1" t="str">
        <f>"01007546400"</f>
        <v>01007546400</v>
      </c>
      <c r="B6880" s="1" t="str">
        <f>"KJB HOMES LLC"</f>
        <v>KJB HOMES LLC</v>
      </c>
      <c r="C6880" s="1" t="str">
        <f>"HOMESTEAD DR HOMESTEAD HTS LOT 127"</f>
        <v>HOMESTEAD DR HOMESTEAD HTS LOT 127</v>
      </c>
      <c r="D6880" s="1">
        <v>866.7</v>
      </c>
    </row>
    <row r="6881" spans="1:4" x14ac:dyDescent="0.3">
      <c r="A6881" s="1" t="str">
        <f>"01000297400"</f>
        <v>01000297400</v>
      </c>
      <c r="B6881" s="1" t="str">
        <f>"KJB HOMES LLC"</f>
        <v>KJB HOMES LLC</v>
      </c>
      <c r="C6881" s="1" t="str">
        <f>"1418 BRIARWOOD AVE WALDON LOT 264"</f>
        <v>1418 BRIARWOOD AVE WALDON LOT 264</v>
      </c>
      <c r="D6881" s="1">
        <v>663.94</v>
      </c>
    </row>
    <row r="6882" spans="1:4" x14ac:dyDescent="0.3">
      <c r="A6882" s="1" t="str">
        <f>"01007488500"</f>
        <v>01007488500</v>
      </c>
      <c r="B6882" s="1" t="str">
        <f>"KJB HOMES LLC"</f>
        <v>KJB HOMES LLC</v>
      </c>
      <c r="C6882" s="1" t="str">
        <f>"HAMILTON AVE GRASMERE GDNS LOT 119"</f>
        <v>HAMILTON AVE GRASMERE GDNS LOT 119</v>
      </c>
      <c r="D6882" s="1">
        <v>477.86</v>
      </c>
    </row>
    <row r="6883" spans="1:4" x14ac:dyDescent="0.3">
      <c r="A6883" s="1" t="str">
        <f>"01004201100"</f>
        <v>01004201100</v>
      </c>
      <c r="B6883" s="1" t="str">
        <f>"KJB HOMES LLC"</f>
        <v>KJB HOMES LLC</v>
      </c>
      <c r="C6883" s="1" t="str">
        <f>"92 SCHULTZ AVE 26.25 FT NS LOT 120 BELMONT LOT 120"</f>
        <v>92 SCHULTZ AVE 26.25 FT NS LOT 120 BELMONT LOT 120</v>
      </c>
      <c r="D6883" s="1">
        <v>658.63</v>
      </c>
    </row>
    <row r="6884" spans="1:4" x14ac:dyDescent="0.3">
      <c r="A6884" s="1" t="str">
        <f>"01000337600"</f>
        <v>01000337600</v>
      </c>
      <c r="B6884" s="1" t="str">
        <f>"KJB HOMES LLC"</f>
        <v>KJB HOMES LLC</v>
      </c>
      <c r="C6884" s="1" t="str">
        <f>"27 N SCHULTZ AVE BELMONT LOT 198"</f>
        <v>27 N SCHULTZ AVE BELMONT LOT 198</v>
      </c>
      <c r="D6884" s="1">
        <v>900.86</v>
      </c>
    </row>
    <row r="6885" spans="1:4" x14ac:dyDescent="0.3">
      <c r="A6885" s="1" t="str">
        <f>"01012702500"</f>
        <v>01012702500</v>
      </c>
      <c r="B6885" s="1" t="str">
        <f>"KJB HOMES LLC"</f>
        <v>KJB HOMES LLC</v>
      </c>
      <c r="C6885" s="1" t="str">
        <f>"KINSEY DR NORTHRIDGE MANOR AMD LOT 89"</f>
        <v>KINSEY DR NORTHRIDGE MANOR AMD LOT 89</v>
      </c>
      <c r="D6885" s="1">
        <v>1849.49</v>
      </c>
    </row>
    <row r="6886" spans="1:4" x14ac:dyDescent="0.3">
      <c r="A6886" s="1" t="str">
        <f>"01012620900"</f>
        <v>01012620900</v>
      </c>
      <c r="B6886" s="1" t="str">
        <f>"KJB HOMES LLC"</f>
        <v>KJB HOMES LLC</v>
      </c>
      <c r="C6886" s="1" t="str">
        <f>"BROOKCLIFF AVE BRENTWOOD LOT 111"</f>
        <v>BROOKCLIFF AVE BRENTWOOD LOT 111</v>
      </c>
      <c r="D6886" s="1">
        <v>752.43</v>
      </c>
    </row>
    <row r="6887" spans="1:4" x14ac:dyDescent="0.3">
      <c r="A6887" s="1" t="str">
        <f>"01016691700"</f>
        <v>01016691700</v>
      </c>
      <c r="B6887" s="1" t="str">
        <f>"KJB HOMES LLC"</f>
        <v>KJB HOMES LLC</v>
      </c>
      <c r="C6887" s="1" t="str">
        <f>"1938 JERMAIN DRIVE AMVET HOMESTEAD 2 LOT 1 BLK N"</f>
        <v>1938 JERMAIN DRIVE AMVET HOMESTEAD 2 LOT 1 BLK N</v>
      </c>
      <c r="D6887" s="1">
        <v>752.18</v>
      </c>
    </row>
    <row r="6888" spans="1:4" x14ac:dyDescent="0.3">
      <c r="A6888" s="1" t="str">
        <f>"01015238600"</f>
        <v>01015238600</v>
      </c>
      <c r="B6888" s="1" t="str">
        <f>"KJB HOMES LLC"</f>
        <v>KJB HOMES LLC</v>
      </c>
      <c r="C6888" s="1" t="str">
        <f>"GRAYFAIRS LANE HYDE PARK PLAT 2 LOT 218"</f>
        <v>GRAYFAIRS LANE HYDE PARK PLAT 2 LOT 218</v>
      </c>
      <c r="D6888" s="1">
        <v>1461.89</v>
      </c>
    </row>
    <row r="6889" spans="1:4" x14ac:dyDescent="0.3">
      <c r="A6889" s="1" t="str">
        <f>"19000405900"</f>
        <v>19000405900</v>
      </c>
      <c r="B6889" s="1" t="str">
        <f>"KJB HOMES LLC"</f>
        <v>KJB HOMES LLC</v>
      </c>
      <c r="C6889" s="1" t="str">
        <f>"S FERRIS PK DR FERRIS PK 39 "</f>
        <v xml:space="preserve">S FERRIS PK DR FERRIS PK 39 </v>
      </c>
      <c r="D6889" s="1">
        <v>1102.44</v>
      </c>
    </row>
    <row r="6890" spans="1:4" x14ac:dyDescent="0.3">
      <c r="A6890" s="1" t="str">
        <f>"19000406500"</f>
        <v>19000406500</v>
      </c>
      <c r="B6890" s="1" t="str">
        <f>"KJB HOMES LLC"</f>
        <v>KJB HOMES LLC</v>
      </c>
      <c r="C6890" s="1" t="str">
        <f>"N FERRIS PK DR FERRIS PK 45 "</f>
        <v xml:space="preserve">N FERRIS PK DR FERRIS PK 45 </v>
      </c>
      <c r="D6890" s="1">
        <v>1363.82</v>
      </c>
    </row>
    <row r="6891" spans="1:4" x14ac:dyDescent="0.3">
      <c r="A6891" s="1" t="str">
        <f>"01013670900"</f>
        <v>01013670900</v>
      </c>
      <c r="B6891" s="1" t="str">
        <f>"KJB HOMES LLC"</f>
        <v>KJB HOMES LLC</v>
      </c>
      <c r="C6891" s="1" t="str">
        <f>"ENDERLY DR ARGYLE PARK LOT 93"</f>
        <v>ENDERLY DR ARGYLE PARK LOT 93</v>
      </c>
      <c r="D6891" s="1">
        <v>752.18</v>
      </c>
    </row>
    <row r="6892" spans="1:4" x14ac:dyDescent="0.3">
      <c r="A6892" s="1" t="str">
        <f>"01016675100"</f>
        <v>01016675100</v>
      </c>
      <c r="B6892" s="1" t="str">
        <f>"KJB HOMES LLC"</f>
        <v>KJB HOMES LLC</v>
      </c>
      <c r="C6892" s="1" t="str">
        <f>"1948 DEVONSHIRE RD AMVET HOMESTEAD 2 LOT 11 BLK H"</f>
        <v>1948 DEVONSHIRE RD AMVET HOMESTEAD 2 LOT 11 BLK H</v>
      </c>
      <c r="D6892" s="1">
        <v>592.71</v>
      </c>
    </row>
    <row r="6893" spans="1:4" x14ac:dyDescent="0.3">
      <c r="A6893" s="1" t="str">
        <f>"01016188100"</f>
        <v>01016188100</v>
      </c>
      <c r="B6893" s="1" t="str">
        <f>"KJB HOMES LLC"</f>
        <v>KJB HOMES LLC</v>
      </c>
      <c r="C6893" s="1" t="str">
        <f>"HINGHAM LANE FRAMINGHAM LOT 55"</f>
        <v>HINGHAM LANE FRAMINGHAM LOT 55</v>
      </c>
      <c r="D6893" s="1">
        <v>1657.39</v>
      </c>
    </row>
    <row r="6894" spans="1:4" x14ac:dyDescent="0.3">
      <c r="A6894" s="1" t="str">
        <f>"01002180800"</f>
        <v>01002180800</v>
      </c>
      <c r="B6894" s="1" t="str">
        <f>"KKG HOMES LLC"</f>
        <v>KKG HOMES LLC</v>
      </c>
      <c r="C6894" s="1" t="str">
        <f>"PRINCETON AVE. FRANKLIN LOT 42"</f>
        <v>PRINCETON AVE. FRANKLIN LOT 42</v>
      </c>
      <c r="D6894" s="1">
        <v>334.49</v>
      </c>
    </row>
    <row r="6895" spans="1:4" x14ac:dyDescent="0.3">
      <c r="A6895" s="1" t="str">
        <f>"01001236400"</f>
        <v>01001236400</v>
      </c>
      <c r="B6895" s="1" t="str">
        <f>"KLA COLUMBUS MANAGEMENT LLC"</f>
        <v>KLA COLUMBUS MANAGEMENT LLC</v>
      </c>
      <c r="C6895" s="1" t="str">
        <f>"211 E WHITTIER JAEGER &amp; WEILER LOT 5"</f>
        <v>211 E WHITTIER JAEGER &amp; WEILER LOT 5</v>
      </c>
      <c r="D6895" s="1">
        <v>11661.49</v>
      </c>
    </row>
    <row r="6896" spans="1:4" x14ac:dyDescent="0.3">
      <c r="A6896" s="1" t="str">
        <f>"01004605400"</f>
        <v>01004605400</v>
      </c>
      <c r="B6896" s="1" t="str">
        <f>"KLCO DONALD S"</f>
        <v>KLCO DONALD S</v>
      </c>
      <c r="C6896" s="1" t="str">
        <f>"225 E NORTH BROADWAY WS LOT 36&amp;ES 35&amp;SS VAC OAKLAND"</f>
        <v>225 E NORTH BROADWAY WS LOT 36&amp;ES 35&amp;SS VAC OAKLAND</v>
      </c>
      <c r="D6896" s="1">
        <v>7352.82</v>
      </c>
    </row>
    <row r="6897" spans="1:4" x14ac:dyDescent="0.3">
      <c r="A6897" s="1" t="str">
        <f>"01002740200"</f>
        <v>01002740200</v>
      </c>
      <c r="B6897" s="1" t="str">
        <f>"KLEAR WAY LLC"</f>
        <v>KLEAR WAY LLC</v>
      </c>
      <c r="C6897" s="1" t="str">
        <f>"2000 E 5TH AVE PARSONS LOT 97"</f>
        <v>2000 E 5TH AVE PARSONS LOT 97</v>
      </c>
      <c r="D6897" s="1">
        <v>325.04000000000002</v>
      </c>
    </row>
    <row r="6898" spans="1:4" x14ac:dyDescent="0.3">
      <c r="A6898" s="1" t="str">
        <f>"01008041100"</f>
        <v>01008041100</v>
      </c>
      <c r="B6898" s="1" t="str">
        <f>"KLEIT OUMAR"</f>
        <v>KLEIT OUMAR</v>
      </c>
      <c r="C6898" s="1" t="str">
        <f>"SEYMOUR AVE LENOX 149 "</f>
        <v xml:space="preserve">SEYMOUR AVE LENOX 149 </v>
      </c>
      <c r="D6898" s="1">
        <v>2142.35</v>
      </c>
    </row>
    <row r="6899" spans="1:4" x14ac:dyDescent="0.3">
      <c r="A6899" s="1" t="str">
        <f>"60016390300"</f>
        <v>60016390300</v>
      </c>
      <c r="B6899" s="1" t="str">
        <f>"KLEMPNAUER NAN"</f>
        <v>KLEMPNAUER NAN</v>
      </c>
      <c r="C6899" s="1" t="str">
        <f>"PEPPERTREE CONDO SEC 1 BLDG 13 UNIT 32"</f>
        <v>PEPPERTREE CONDO SEC 1 BLDG 13 UNIT 32</v>
      </c>
      <c r="D6899" s="1">
        <v>2932.84</v>
      </c>
    </row>
    <row r="6900" spans="1:4" x14ac:dyDescent="0.3">
      <c r="A6900" s="1" t="str">
        <f>"08000094300"</f>
        <v>08000094300</v>
      </c>
      <c r="B6900" s="1" t="str">
        <f>"KLESCH IAN, KLESCH JOY"</f>
        <v>KLESCH IAN, KLESCH JOY</v>
      </c>
      <c r="C6900" s="1" t="str">
        <f>"70 S VINE ST REGAL TRACT 198'NL &amp; 70'WL&amp;51.5'EL IRR"</f>
        <v>70 S VINE ST REGAL TRACT 198'NL &amp; 70'WL&amp;51.5'EL IRR</v>
      </c>
      <c r="D6900" s="1">
        <v>3862.21</v>
      </c>
    </row>
    <row r="6901" spans="1:4" x14ac:dyDescent="0.3">
      <c r="A6901" s="1" t="str">
        <f>"01016656700"</f>
        <v>01016656700</v>
      </c>
      <c r="B6901" s="1" t="str">
        <f>"KLINE SUSAN K, KLINE DEBRA L"</f>
        <v>KLINE SUSAN K, KLINE DEBRA L</v>
      </c>
      <c r="C6901" s="1" t="str">
        <f>"WILLOWICK CONDO PHASE II BLDG 16 UNIT C"</f>
        <v>WILLOWICK CONDO PHASE II BLDG 16 UNIT C</v>
      </c>
      <c r="D6901" s="1">
        <v>204.16</v>
      </c>
    </row>
    <row r="6902" spans="1:4" x14ac:dyDescent="0.3">
      <c r="A6902" s="1" t="str">
        <f>"16000246400"</f>
        <v>16000246400</v>
      </c>
      <c r="B6902" s="1" t="str">
        <f>"KLINGENSMITH MAX, KLINGENSMITH DIANA S"</f>
        <v>KLINGENSMITH MAX, KLINGENSMITH DIANA S</v>
      </c>
      <c r="C6902" s="1" t="str">
        <f>"HIBBS RD ENTRY 1105-6115 5.001 ACRES"</f>
        <v>HIBBS RD ENTRY 1105-6115 5.001 ACRES</v>
      </c>
      <c r="D6902" s="1">
        <v>3815.6</v>
      </c>
    </row>
    <row r="6903" spans="1:4" x14ac:dyDescent="0.3">
      <c r="A6903" s="1" t="str">
        <f>"22200463500"</f>
        <v>22200463500</v>
      </c>
      <c r="B6903" s="1" t="str">
        <f>"KLINGERMAN KEVIN TTEE (THE K2 REAL ESTATE TRUST)"</f>
        <v>KLINGERMAN KEVIN TTEE (THE K2 REAL ESTATE TRUST)</v>
      </c>
      <c r="C6903" s="1" t="str">
        <f>"HIGHGROVE FARMS LOT 3A "</f>
        <v xml:space="preserve">HIGHGROVE FARMS LOT 3A </v>
      </c>
      <c r="D6903" s="1">
        <v>3374.82</v>
      </c>
    </row>
    <row r="6904" spans="1:4" x14ac:dyDescent="0.3">
      <c r="A6904" s="1" t="str">
        <f>"08000292000"</f>
        <v>08000292000</v>
      </c>
      <c r="B6904" s="1" t="str">
        <f>"KLM PROPERTIES OH II LLC"</f>
        <v>KLM PROPERTIES OH II LLC</v>
      </c>
      <c r="C6904" s="1" t="str">
        <f>"523 S STATE ST            R17 T 2-1/4T 2            .7217 ACRE  LOT-4        "</f>
        <v xml:space="preserve">523 S STATE ST            R17 T 2-1/4T 2            .7217 ACRE  LOT-4        </v>
      </c>
      <c r="D6904" s="1">
        <v>31739.96</v>
      </c>
    </row>
    <row r="6905" spans="1:4" x14ac:dyDescent="0.3">
      <c r="A6905" s="1" t="str">
        <f>"01006998800"</f>
        <v>01006998800</v>
      </c>
      <c r="B6905" s="1" t="str">
        <f>"KLOPFENSTEIN DAVID A"</f>
        <v>KLOPFENSTEIN DAVID A</v>
      </c>
      <c r="C6905" s="1" t="str">
        <f>"MELROSE AVE ACRES .218 COURT SUB LOT 3-5"</f>
        <v>MELROSE AVE ACRES .218 COURT SUB LOT 3-5</v>
      </c>
      <c r="D6905" s="1">
        <v>90.48</v>
      </c>
    </row>
    <row r="6906" spans="1:4" x14ac:dyDescent="0.3">
      <c r="A6906" s="1" t="str">
        <f>"27300421600"</f>
        <v>27300421600</v>
      </c>
      <c r="B6906" s="1" t="str">
        <f>"KLUNK TIMOTHY D, KLUNK ASHLEY K"</f>
        <v>KLUNK TIMOTHY D, KLUNK ASHLEY K</v>
      </c>
      <c r="C6906" s="1" t="str">
        <f>"DUNLEARY DRIVE DONEGAL CLIFFS SEC 6 LOT 160"</f>
        <v>DUNLEARY DRIVE DONEGAL CLIFFS SEC 6 LOT 160</v>
      </c>
      <c r="D6906" s="1">
        <v>579.44000000000005</v>
      </c>
    </row>
    <row r="6907" spans="1:4" x14ac:dyDescent="0.3">
      <c r="A6907" s="1" t="str">
        <f>"05000167700"</f>
        <v>05000167700</v>
      </c>
      <c r="B6907" s="1" t="str">
        <f>"KNAPP BRETT D"</f>
        <v>KNAPP BRETT D</v>
      </c>
      <c r="C6907" s="1" t="str">
        <f>"3639 WESTBROOK DRIVE HILLIARDS HTS 4 LOT 41"</f>
        <v>3639 WESTBROOK DRIVE HILLIARDS HTS 4 LOT 41</v>
      </c>
      <c r="D6907" s="1">
        <v>264.51</v>
      </c>
    </row>
    <row r="6908" spans="1:4" x14ac:dyDescent="0.3">
      <c r="A6908" s="1" t="str">
        <f>"01011922400"</f>
        <v>01011922400</v>
      </c>
      <c r="B6908" s="1" t="str">
        <f>"KNAPPER FREDA L"</f>
        <v>KNAPPER FREDA L</v>
      </c>
      <c r="C6908" s="1" t="str">
        <f>"SOUTHFIELD LOT 248 "</f>
        <v xml:space="preserve">SOUTHFIELD LOT 248 </v>
      </c>
      <c r="D6908" s="1">
        <v>757</v>
      </c>
    </row>
    <row r="6909" spans="1:4" x14ac:dyDescent="0.3">
      <c r="A6909" s="1" t="str">
        <f>"01012195800"</f>
        <v>01012195800</v>
      </c>
      <c r="B6909" s="1" t="str">
        <f>"KNEICE SHARON J TOD"</f>
        <v>KNEICE SHARON J TOD</v>
      </c>
      <c r="C6909" s="1" t="str">
        <f>"CLARENDON AVE RAINBOW LOT 255"</f>
        <v>CLARENDON AVE RAINBOW LOT 255</v>
      </c>
      <c r="D6909" s="1">
        <v>317.64999999999998</v>
      </c>
    </row>
    <row r="6910" spans="1:4" x14ac:dyDescent="0.3">
      <c r="A6910" s="1" t="str">
        <f>"56021515000"</f>
        <v>56021515000</v>
      </c>
      <c r="B6910" s="1" t="str">
        <f>"KNELLER DAVID M"</f>
        <v>KNELLER DAVID M</v>
      </c>
      <c r="C6910" s="1" t="str">
        <f>"HILLIARD HEIGHTS CONDOMINIUM UNIT 10F"</f>
        <v>HILLIARD HEIGHTS CONDOMINIUM UNIT 10F</v>
      </c>
      <c r="D6910" s="1">
        <v>3762.02</v>
      </c>
    </row>
    <row r="6911" spans="1:4" x14ac:dyDescent="0.3">
      <c r="A6911" s="1" t="str">
        <f>"56021258200"</f>
        <v>56021258200</v>
      </c>
      <c r="B6911" s="1" t="str">
        <f>"KNEPPER MAX A JR"</f>
        <v>KNEPPER MAX A JR</v>
      </c>
      <c r="C6911" s="1" t="str">
        <f>"BISMARK DRIVE CROSS CREEK VILLAGE LOT 140"</f>
        <v>BISMARK DRIVE CROSS CREEK VILLAGE LOT 140</v>
      </c>
      <c r="D6911" s="1">
        <v>607.95000000000005</v>
      </c>
    </row>
    <row r="6912" spans="1:4" x14ac:dyDescent="0.3">
      <c r="A6912" s="1" t="str">
        <f>"07001343000"</f>
        <v>07001343000</v>
      </c>
      <c r="B6912" s="1" t="str">
        <f>"KNIGHT DALE A TTEE"</f>
        <v>KNIGHT DALE A TTEE</v>
      </c>
      <c r="C6912" s="1" t="str">
        <f>"BRADFORD BEND COND UNIT 4 "</f>
        <v xml:space="preserve">BRADFORD BEND COND UNIT 4 </v>
      </c>
      <c r="D6912" s="1">
        <v>3043.26</v>
      </c>
    </row>
    <row r="6913" spans="1:4" x14ac:dyDescent="0.3">
      <c r="A6913" s="1" t="str">
        <f>"10000500200"</f>
        <v>10000500200</v>
      </c>
      <c r="B6913" s="1" t="str">
        <f>"KNIGHT JAMES R, KNIGHT KATHLEEN S"</f>
        <v>KNIGHT JAMES R, KNIGHT KATHLEEN S</v>
      </c>
      <c r="C6913" s="1" t="str">
        <f>"267 GREENGLADE AVE OLENTANGY HILLS PLAT NO 2 LOT 161"</f>
        <v>267 GREENGLADE AVE OLENTANGY HILLS PLAT NO 2 LOT 161</v>
      </c>
      <c r="D6913" s="1">
        <v>530.54999999999995</v>
      </c>
    </row>
    <row r="6914" spans="1:4" x14ac:dyDescent="0.3">
      <c r="A6914" s="1" t="str">
        <f>"01012045000"</f>
        <v>01012045000</v>
      </c>
      <c r="B6914" s="1" t="str">
        <f>"KNIGHT SHARON D"</f>
        <v>KNIGHT SHARON D</v>
      </c>
      <c r="C6914" s="1" t="str">
        <f>"1599 WILTON AVE THUNDERBIRD ACRES LOT 148"</f>
        <v>1599 WILTON AVE THUNDERBIRD ACRES LOT 148</v>
      </c>
      <c r="D6914" s="1">
        <v>2382.4899999999998</v>
      </c>
    </row>
    <row r="6915" spans="1:4" x14ac:dyDescent="0.3">
      <c r="A6915" s="1" t="str">
        <f>"08000931800"</f>
        <v>08000931800</v>
      </c>
      <c r="B6915" s="1" t="str">
        <f>"KNIGHTON MAJA M, KNIGHTON DOUGLAS W"</f>
        <v>KNIGHTON MAJA M, KNIGHTON DOUGLAS W</v>
      </c>
      <c r="C6915" s="1" t="str">
        <f>"NORTH HEMPSTEAD RD WOODS AT SPRING GROVE PH 1 LOT 11"</f>
        <v>NORTH HEMPSTEAD RD WOODS AT SPRING GROVE PH 1 LOT 11</v>
      </c>
      <c r="D6915" s="1">
        <v>421.64</v>
      </c>
    </row>
    <row r="6916" spans="1:4" x14ac:dyDescent="0.3">
      <c r="A6916" s="1" t="str">
        <f>"01012181700"</f>
        <v>01012181700</v>
      </c>
      <c r="B6916" s="1" t="str">
        <f>"KNIPP TIMOTHY"</f>
        <v>KNIPP TIMOTHY</v>
      </c>
      <c r="C6916" s="1" t="str">
        <f>"WHITETHORNE AVE RAINBOW LOT 103"</f>
        <v>WHITETHORNE AVE RAINBOW LOT 103</v>
      </c>
      <c r="D6916" s="1">
        <v>743.7</v>
      </c>
    </row>
    <row r="6917" spans="1:4" x14ac:dyDescent="0.3">
      <c r="A6917" s="1" t="str">
        <f>"04000167000"</f>
        <v>04000167000</v>
      </c>
      <c r="B6917" s="1" t="str">
        <f>"KNISLEY PATRICK EUGENE"</f>
        <v>KNISLEY PATRICK EUGENE</v>
      </c>
      <c r="C6917" s="1" t="str">
        <f>"4142 BROOKGROVE DR BROOKGROVE LOT 150 "</f>
        <v xml:space="preserve">4142 BROOKGROVE DR BROOKGROVE LOT 150 </v>
      </c>
      <c r="D6917" s="1">
        <v>4222.8</v>
      </c>
    </row>
    <row r="6918" spans="1:4" x14ac:dyDescent="0.3">
      <c r="A6918" s="1" t="str">
        <f>"01030856400"</f>
        <v>01030856400</v>
      </c>
      <c r="B6918" s="1" t="str">
        <f>"KNISLEY STEVEN"</f>
        <v>KNISLEY STEVEN</v>
      </c>
      <c r="C6918" s="1" t="str">
        <f>"GENTEEL DR ALLMON RUN SECTION 1 LOT 39"</f>
        <v>GENTEEL DR ALLMON RUN SECTION 1 LOT 39</v>
      </c>
      <c r="D6918" s="1">
        <v>3558.21</v>
      </c>
    </row>
    <row r="6919" spans="1:4" x14ac:dyDescent="0.3">
      <c r="A6919" s="1" t="str">
        <f>"05001106300"</f>
        <v>05001106300</v>
      </c>
      <c r="B6919" s="1" t="str">
        <f>"KNISS DOUGLAS A TTEE"</f>
        <v>KNISS DOUGLAS A TTEE</v>
      </c>
      <c r="C6919" s="1" t="str">
        <f>"VILLAGE AT TREMONT CLUB   CONDOMINIUM 16TH AMD      UNIT 50-4630             "</f>
        <v xml:space="preserve">VILLAGE AT TREMONT CLUB   CONDOMINIUM 16TH AMD      UNIT 50-4630             </v>
      </c>
      <c r="D6919" s="1">
        <v>395.22</v>
      </c>
    </row>
    <row r="6920" spans="1:4" x14ac:dyDescent="0.3">
      <c r="A6920" s="1" t="str">
        <f>"27300759000"</f>
        <v>27300759000</v>
      </c>
      <c r="B6920" s="1" t="str">
        <f>"KNITTLE SCOTT W, KNITTLE GRACE A"</f>
        <v>KNITTLE SCOTT W, KNITTLE GRACE A</v>
      </c>
      <c r="C6920" s="1" t="str">
        <f>"KILLBRITTAIN LANE WELLINGTON PLACE SECTION 2 LOT 36"</f>
        <v>KILLBRITTAIN LANE WELLINGTON PLACE SECTION 2 LOT 36</v>
      </c>
      <c r="D6920" s="1">
        <v>657.83</v>
      </c>
    </row>
    <row r="6921" spans="1:4" x14ac:dyDescent="0.3">
      <c r="A6921" s="1" t="str">
        <f>"09000015800"</f>
        <v>09000015800</v>
      </c>
      <c r="B6921" s="1" t="str">
        <f>"KNOBLAUCH MARIAN S, KNOBLAUCH BRIAN E, SCHERER BARBARA J"</f>
        <v>KNOBLAUCH MARIAN S, KNOBLAUCH BRIAN E, SCHERER BARBARA J</v>
      </c>
      <c r="C6921" s="1" t="str">
        <f>"515 ROBINWOOD AVE LOWRIE BROS S1/2 LOT 280"</f>
        <v>515 ROBINWOOD AVE LOWRIE BROS S1/2 LOT 280</v>
      </c>
      <c r="D6921" s="1">
        <v>2621.58</v>
      </c>
    </row>
    <row r="6922" spans="1:4" x14ac:dyDescent="0.3">
      <c r="A6922" s="1" t="str">
        <f>"01016206700"</f>
        <v>01016206700</v>
      </c>
      <c r="B6922" s="1" t="str">
        <f>"KNORWOOD ROSE"</f>
        <v>KNORWOOD ROSE</v>
      </c>
      <c r="C6922" s="1" t="str">
        <f>"HINGHAM LANE FRAMINGHAM LOT 241"</f>
        <v>HINGHAM LANE FRAMINGHAM LOT 241</v>
      </c>
      <c r="D6922" s="1">
        <v>1043.68</v>
      </c>
    </row>
    <row r="6923" spans="1:4" x14ac:dyDescent="0.3">
      <c r="A6923" s="1" t="str">
        <f>"01016185700"</f>
        <v>01016185700</v>
      </c>
      <c r="B6923" s="1" t="str">
        <f>"KNORWOOD ROSE, KNORWOOD WILLIAM"</f>
        <v>KNORWOOD ROSE, KNORWOOD WILLIAM</v>
      </c>
      <c r="C6923" s="1" t="str">
        <f>"IPSWICK CIRCLE FRAMINGHAM LOT 31"</f>
        <v>IPSWICK CIRCLE FRAMINGHAM LOT 31</v>
      </c>
      <c r="D6923" s="1">
        <v>968.08</v>
      </c>
    </row>
    <row r="6924" spans="1:4" x14ac:dyDescent="0.3">
      <c r="A6924" s="1" t="str">
        <f>"01018912700"</f>
        <v>01018912700</v>
      </c>
      <c r="B6924" s="1" t="str">
        <f>"KNOTT ELIZABETH M"</f>
        <v>KNOTT ELIZABETH M</v>
      </c>
      <c r="C6924" s="1" t="str">
        <f>"COLHASSET LA VILLAGE GREENE CONDO BLDG 6 UNIT 1766"</f>
        <v>COLHASSET LA VILLAGE GREENE CONDO BLDG 6 UNIT 1766</v>
      </c>
      <c r="D6924" s="1">
        <v>1697.17</v>
      </c>
    </row>
    <row r="6925" spans="1:4" x14ac:dyDescent="0.3">
      <c r="A6925" s="1" t="str">
        <f>"20000048400"</f>
        <v>20000048400</v>
      </c>
      <c r="B6925" s="1" t="str">
        <f>"KNOTTYPINEACRES LLC"</f>
        <v>KNOTTYPINEACRES LLC</v>
      </c>
      <c r="C6925" s="1" t="str">
        <f>"HAYDEN RUN RD ENTRY 3012 8.294 ACRES"</f>
        <v>HAYDEN RUN RD ENTRY 3012 8.294 ACRES</v>
      </c>
      <c r="D6925" s="1">
        <v>21001.16</v>
      </c>
    </row>
    <row r="6926" spans="1:4" x14ac:dyDescent="0.3">
      <c r="A6926" s="1" t="str">
        <f>"01006119800"</f>
        <v>01006119800</v>
      </c>
      <c r="B6926" s="1" t="str">
        <f>"KNOX ELVA M"</f>
        <v>KNOX ELVA M</v>
      </c>
      <c r="C6926" s="1" t="str">
        <f>"1547 DUXBERRY AVE INNIS CREST LOT 161"</f>
        <v>1547 DUXBERRY AVE INNIS CREST LOT 161</v>
      </c>
      <c r="D6926" s="1">
        <v>3.43</v>
      </c>
    </row>
    <row r="6927" spans="1:4" x14ac:dyDescent="0.3">
      <c r="A6927" s="1" t="str">
        <f>"04000973200"</f>
        <v>04000973200</v>
      </c>
      <c r="B6927" s="1" t="str">
        <f>"KNUTSON BOBBY JAMES"</f>
        <v>KNUTSON BOBBY JAMES</v>
      </c>
      <c r="C6927" s="1" t="str">
        <f>"GREAT HUNTER DRIVE INDIAN TRAILS SECTION 11 LOT 502"</f>
        <v>GREAT HUNTER DRIVE INDIAN TRAILS SECTION 11 LOT 502</v>
      </c>
      <c r="D6927" s="1">
        <v>2716.99</v>
      </c>
    </row>
    <row r="6928" spans="1:4" x14ac:dyDescent="0.3">
      <c r="A6928" s="1" t="str">
        <f>"59020647700"</f>
        <v>59020647700</v>
      </c>
      <c r="B6928" s="1" t="str">
        <f>"KOCAK BRIAN F, KOCAK BRENDA J"</f>
        <v>KOCAK BRIAN F, KOCAK BRENDA J</v>
      </c>
      <c r="C6928" s="1" t="str">
        <f>"RIVERSIDE DRIVE QUARRY ON THE SCIOTO (RESUB LOT18) RES 28"</f>
        <v>RIVERSIDE DRIVE QUARRY ON THE SCIOTO (RESUB LOT18) RES 28</v>
      </c>
      <c r="D6928" s="1">
        <v>4.42</v>
      </c>
    </row>
    <row r="6929" spans="1:4" x14ac:dyDescent="0.3">
      <c r="A6929" s="1" t="str">
        <f>"59023092600"</f>
        <v>59023092600</v>
      </c>
      <c r="B6929" s="1" t="str">
        <f>"KOCH BARBARA L TTEE, KOCH KENNETH H TTEE"</f>
        <v>KOCH BARBARA L TTEE, KOCH KENNETH H TTEE</v>
      </c>
      <c r="C6929" s="1" t="str">
        <f>"HAYDEN FALLS CONDO 2 3RD AMD BLDG 14 UNIT 3099"</f>
        <v>HAYDEN FALLS CONDO 2 3RD AMD BLDG 14 UNIT 3099</v>
      </c>
      <c r="D6929" s="1">
        <v>325.12</v>
      </c>
    </row>
    <row r="6930" spans="1:4" x14ac:dyDescent="0.3">
      <c r="A6930" s="1" t="str">
        <f>"01018299700"</f>
        <v>01018299700</v>
      </c>
      <c r="B6930" s="1" t="str">
        <f>"KOCH JEFFREY"</f>
        <v>KOCH JEFFREY</v>
      </c>
      <c r="C6930" s="1" t="str">
        <f>"SCOTLAND YARD CONDO UNIT 1581   BLDG 9 "</f>
        <v xml:space="preserve">SCOTLAND YARD CONDO UNIT 1581   BLDG 9 </v>
      </c>
      <c r="D6930" s="1">
        <v>708.15</v>
      </c>
    </row>
    <row r="6931" spans="1:4" x14ac:dyDescent="0.3">
      <c r="A6931" s="1" t="str">
        <f>"16100073200"</f>
        <v>16100073200</v>
      </c>
      <c r="B6931" s="1" t="str">
        <f>"KOCH JOHN"</f>
        <v>KOCH JOHN</v>
      </c>
      <c r="C6931" s="1" t="str">
        <f>"3503 1ST AVE URBANCREST 72 BLK 15"</f>
        <v>3503 1ST AVE URBANCREST 72 BLK 15</v>
      </c>
      <c r="D6931" s="1">
        <v>63.12</v>
      </c>
    </row>
    <row r="6932" spans="1:4" x14ac:dyDescent="0.3">
      <c r="A6932" s="1" t="str">
        <f>"01028904600"</f>
        <v>01028904600</v>
      </c>
      <c r="B6932" s="1" t="str">
        <f>"KOCH KENNNETH H, KOCH BARBARA L"</f>
        <v>KOCH KENNNETH H, KOCH BARBARA L</v>
      </c>
      <c r="C6932" s="1" t="str">
        <f>"BECK PLACE CONDOMINIUM UNIT 11"</f>
        <v>BECK PLACE CONDOMINIUM UNIT 11</v>
      </c>
      <c r="D6932" s="1">
        <v>478.46</v>
      </c>
    </row>
    <row r="6933" spans="1:4" x14ac:dyDescent="0.3">
      <c r="A6933" s="1" t="str">
        <f>"22000164300"</f>
        <v>22000164300</v>
      </c>
      <c r="B6933" s="1" t="str">
        <f>"KOCH LENANNE M"</f>
        <v>KOCH LENANNE M</v>
      </c>
      <c r="C6933" s="1" t="str">
        <f>"PINE MEADOW RD PINE MEADOW SUBDIV LOT 5"</f>
        <v>PINE MEADOW RD PINE MEADOW SUBDIV LOT 5</v>
      </c>
      <c r="D6933" s="1">
        <v>1326.86</v>
      </c>
    </row>
    <row r="6934" spans="1:4" x14ac:dyDescent="0.3">
      <c r="A6934" s="1" t="str">
        <f>"02500273500"</f>
        <v>02500273500</v>
      </c>
      <c r="B6934" s="1" t="str">
        <f>"KOCHERAN BERTA L"</f>
        <v>KOCHERAN BERTA L</v>
      </c>
      <c r="C6934" s="1" t="str">
        <f>"409 PRINCE OF WALES ROYAL MANOR 2 LOT 906"</f>
        <v>409 PRINCE OF WALES ROYAL MANOR 2 LOT 906</v>
      </c>
      <c r="D6934" s="1">
        <v>2814.63</v>
      </c>
    </row>
    <row r="6935" spans="1:4" x14ac:dyDescent="0.3">
      <c r="A6935" s="1" t="str">
        <f>"24000586700"</f>
        <v>24000586700</v>
      </c>
      <c r="B6935" s="1" t="str">
        <f>"KOCHERGIN IGOR, KOCHERGIN ANZHELIKA"</f>
        <v>KOCHERGIN IGOR, KOCHERGIN ANZHELIKA</v>
      </c>
      <c r="C6935" s="1" t="str">
        <f>"GLENFORD VILL CONDMN UNIT 3-A "</f>
        <v xml:space="preserve">GLENFORD VILL CONDMN UNIT 3-A </v>
      </c>
      <c r="D6935" s="1">
        <v>45.14</v>
      </c>
    </row>
    <row r="6936" spans="1:4" x14ac:dyDescent="0.3">
      <c r="A6936" s="1" t="str">
        <f>"57025525900"</f>
        <v>57025525900</v>
      </c>
      <c r="B6936" s="1" t="str">
        <f>"KOCHERGIN IGOR, KOCHERGIN ANZHELIKA D"</f>
        <v>KOCHERGIN IGOR, KOCHERGIN ANZHELIKA D</v>
      </c>
      <c r="C6936" s="1" t="str">
        <f>"WESTBEAR COURT GALLOWAY RIDGE SECTION 4 PART 2 LOT 381"</f>
        <v>WESTBEAR COURT GALLOWAY RIDGE SECTION 4 PART 2 LOT 381</v>
      </c>
      <c r="D6936" s="1">
        <v>93.53</v>
      </c>
    </row>
    <row r="6937" spans="1:4" x14ac:dyDescent="0.3">
      <c r="A6937" s="1" t="str">
        <f>"57023762700"</f>
        <v>57023762700</v>
      </c>
      <c r="B6937" s="1" t="str">
        <f>"KOCZUR DAVID M"</f>
        <v>KOCZUR DAVID M</v>
      </c>
      <c r="C6937" s="1" t="str">
        <f>"GAFFNEY COURT TRABUE WOODS SEC 3 PART 3 LOT 168"</f>
        <v>GAFFNEY COURT TRABUE WOODS SEC 3 PART 3 LOT 168</v>
      </c>
      <c r="D6937" s="1">
        <v>341.58</v>
      </c>
    </row>
    <row r="6938" spans="1:4" x14ac:dyDescent="0.3">
      <c r="A6938" s="1" t="str">
        <f>"02500421900"</f>
        <v>02500421900</v>
      </c>
      <c r="B6938" s="1" t="str">
        <f>"KOEHLER ARNOLD W"</f>
        <v>KOEHLER ARNOLD W</v>
      </c>
      <c r="C6938" s="1" t="str">
        <f>"440 ALLANBY COURT FOXBORO LOT 30"</f>
        <v>440 ALLANBY COURT FOXBORO LOT 30</v>
      </c>
      <c r="D6938" s="1">
        <v>2759.03</v>
      </c>
    </row>
    <row r="6939" spans="1:4" x14ac:dyDescent="0.3">
      <c r="A6939" s="1" t="str">
        <f>"01011042400"</f>
        <v>01011042400</v>
      </c>
      <c r="B6939" s="1" t="str">
        <f>"KOENIG CHARLES A TR"</f>
        <v>KOENIG CHARLES A TR</v>
      </c>
      <c r="C6939" s="1" t="str">
        <f>"KANAWHA AVE SHARON HTS LOT 69"</f>
        <v>KANAWHA AVE SHARON HTS LOT 69</v>
      </c>
      <c r="D6939" s="1">
        <v>2489.7399999999998</v>
      </c>
    </row>
    <row r="6940" spans="1:4" x14ac:dyDescent="0.3">
      <c r="A6940" s="1" t="str">
        <f>"01010100600"</f>
        <v>01010100600</v>
      </c>
      <c r="B6940" s="1" t="str">
        <f>"KOENIG CHARLES A TR"</f>
        <v>KOENIG CHARLES A TR</v>
      </c>
      <c r="C6940" s="1" t="str">
        <f>"CHARLESTON AVE 75 FT EE SHARON HTS LOT 1"</f>
        <v>CHARLESTON AVE 75 FT EE SHARON HTS LOT 1</v>
      </c>
      <c r="D6940" s="1">
        <v>1985.07</v>
      </c>
    </row>
    <row r="6941" spans="1:4" x14ac:dyDescent="0.3">
      <c r="A6941" s="1" t="str">
        <f>"01011469400"</f>
        <v>01011469400</v>
      </c>
      <c r="B6941" s="1" t="str">
        <f>"KOENIG CHARLES A TR"</f>
        <v>KOENIG CHARLES A TR</v>
      </c>
      <c r="C6941" s="1" t="str">
        <f>"HIGH ST 75FT EE SHARON HTS LOT 2"</f>
        <v>HIGH ST 75FT EE SHARON HTS LOT 2</v>
      </c>
      <c r="D6941" s="1">
        <v>711.8</v>
      </c>
    </row>
    <row r="6942" spans="1:4" x14ac:dyDescent="0.3">
      <c r="A6942" s="1" t="str">
        <f>"01011085700"</f>
        <v>01011085700</v>
      </c>
      <c r="B6942" s="1" t="str">
        <f>"KOENIG CHARLES A TR"</f>
        <v>KOENIG CHARLES A TR</v>
      </c>
      <c r="C6942" s="1" t="str">
        <f>"5360 N HIGH ST SHARON HTS 75FT ES LOT 3"</f>
        <v>5360 N HIGH ST SHARON HTS 75FT ES LOT 3</v>
      </c>
      <c r="D6942" s="1">
        <v>762.52</v>
      </c>
    </row>
    <row r="6943" spans="1:4" x14ac:dyDescent="0.3">
      <c r="A6943" s="1" t="str">
        <f>"01011085800"</f>
        <v>01011085800</v>
      </c>
      <c r="B6943" s="1" t="str">
        <f>"KOENIG CHARLES A TR"</f>
        <v>KOENIG CHARLES A TR</v>
      </c>
      <c r="C6943" s="1" t="str">
        <f>"HIGH ST SHARON HTS LOT 4 "</f>
        <v xml:space="preserve">HIGH ST SHARON HTS LOT 4 </v>
      </c>
      <c r="D6943" s="1">
        <v>9250.89</v>
      </c>
    </row>
    <row r="6944" spans="1:4" x14ac:dyDescent="0.3">
      <c r="A6944" s="1" t="str">
        <f>"01012303000"</f>
        <v>01012303000</v>
      </c>
      <c r="B6944" s="1" t="str">
        <f>"KOENIG PATRICK J TTEE, KOENIG SHELLEY M TR"</f>
        <v>KOENIG PATRICK J TTEE, KOENIG SHELLEY M TR</v>
      </c>
      <c r="C6944" s="1" t="str">
        <f>"PERSHING DR CLINTON ESTATES 4 LOT 110"</f>
        <v>PERSHING DR CLINTON ESTATES 4 LOT 110</v>
      </c>
      <c r="D6944" s="1">
        <v>1705.76</v>
      </c>
    </row>
    <row r="6945" spans="1:4" x14ac:dyDescent="0.3">
      <c r="A6945" s="1" t="str">
        <f>"01008911900"</f>
        <v>01008911900</v>
      </c>
      <c r="B6945" s="1" t="str">
        <f>"KOEPPEN DAVID M"</f>
        <v>KOEPPEN DAVID M</v>
      </c>
      <c r="C6945" s="1" t="str">
        <f>"HAMPTON RD MAIN ST TERRACE LOT 212"</f>
        <v>HAMPTON RD MAIN ST TERRACE LOT 212</v>
      </c>
      <c r="D6945" s="1">
        <v>322.11</v>
      </c>
    </row>
    <row r="6946" spans="1:4" x14ac:dyDescent="0.3">
      <c r="A6946" s="1" t="str">
        <f>"01008912000"</f>
        <v>01008912000</v>
      </c>
      <c r="B6946" s="1" t="str">
        <f>"KOEPPEN DAVID M"</f>
        <v>KOEPPEN DAVID M</v>
      </c>
      <c r="C6946" s="1" t="str">
        <f>"HAMPTON RD MAIN ST TERRACE LOT 213"</f>
        <v>HAMPTON RD MAIN ST TERRACE LOT 213</v>
      </c>
      <c r="D6946" s="1">
        <v>1735.93</v>
      </c>
    </row>
    <row r="6947" spans="1:4" x14ac:dyDescent="0.3">
      <c r="A6947" s="1" t="str">
        <f>"04000522400"</f>
        <v>04000522400</v>
      </c>
      <c r="B6947" s="1" t="str">
        <f>"KOETHKE TIMOTHY"</f>
        <v>KOETHKE TIMOTHY</v>
      </c>
      <c r="C6947" s="1" t="str">
        <f>"5620 HOOVER RD ENTRY 6840-1408 0.41 ACRE"</f>
        <v>5620 HOOVER RD ENTRY 6840-1408 0.41 ACRE</v>
      </c>
      <c r="D6947" s="1">
        <v>4660.57</v>
      </c>
    </row>
    <row r="6948" spans="1:4" x14ac:dyDescent="0.3">
      <c r="A6948" s="1" t="str">
        <f>"04000784900"</f>
        <v>04000784900</v>
      </c>
      <c r="B6948" s="1" t="str">
        <f>"KOETHKE TIMOTHY"</f>
        <v>KOETHKE TIMOTHY</v>
      </c>
      <c r="C6948" s="1" t="str">
        <f>"MEADOW GROVE SECTION 9 RESERVE C .109AC"</f>
        <v>MEADOW GROVE SECTION 9 RESERVE C .109AC</v>
      </c>
      <c r="D6948" s="1">
        <v>135.32</v>
      </c>
    </row>
    <row r="6949" spans="1:4" x14ac:dyDescent="0.3">
      <c r="A6949" s="1" t="str">
        <f>"18400314900"</f>
        <v>18400314900</v>
      </c>
      <c r="B6949" s="1" t="str">
        <f>"KOETJE CAROLYN"</f>
        <v>KOETJE CAROLYN</v>
      </c>
      <c r="C6949" s="1" t="str">
        <f>"6162 DIETZ DRIVE VILLAGE AT WESTCHESTER SECTION 12 PH 1 LOT 600"</f>
        <v>6162 DIETZ DRIVE VILLAGE AT WESTCHESTER SECTION 12 PH 1 LOT 600</v>
      </c>
      <c r="D6949" s="1">
        <v>476.75</v>
      </c>
    </row>
    <row r="6950" spans="1:4" x14ac:dyDescent="0.3">
      <c r="A6950" s="1" t="str">
        <f>"01000675000"</f>
        <v>01000675000</v>
      </c>
      <c r="B6950" s="1" t="str">
        <f>"KOETZ JOHN W TR, KOETZ MARY E TR"</f>
        <v>KOETZ JOHN W TR, KOETZ MARY E TR</v>
      </c>
      <c r="C6950" s="1" t="str">
        <f>"105 E WARREN ST           WA NEIL SUMMIT            LOT 42                   "</f>
        <v xml:space="preserve">105 E WARREN ST           WA NEIL SUMMIT            LOT 42                   </v>
      </c>
      <c r="D6950" s="1">
        <v>6369.81</v>
      </c>
    </row>
    <row r="6951" spans="1:4" x14ac:dyDescent="0.3">
      <c r="A6951" s="1" t="str">
        <f>"01004534900"</f>
        <v>01004534900</v>
      </c>
      <c r="B6951" s="1" t="str">
        <f>"KOETZ JOHN W TR, KOETZ MARY E TR"</f>
        <v>KOETZ JOHN W TR, KOETZ MARY E TR</v>
      </c>
      <c r="C6951" s="1" t="str">
        <f>"78-80 THURMAN AVE DESHLER THUMRAN &amp; BENNETT SUB 3"</f>
        <v>78-80 THURMAN AVE DESHLER THUMRAN &amp; BENNETT SUB 3</v>
      </c>
      <c r="D6951" s="1">
        <v>5115.1000000000004</v>
      </c>
    </row>
    <row r="6952" spans="1:4" x14ac:dyDescent="0.3">
      <c r="A6952" s="1" t="str">
        <f>"01001293500"</f>
        <v>01001293500</v>
      </c>
      <c r="B6952" s="1" t="str">
        <f>"KOETZ JOHN W TR, KOETZ MARY E TR"</f>
        <v>KOETZ JOHN W TR, KOETZ MARY E TR</v>
      </c>
      <c r="C6952" s="1" t="str">
        <f>"1076-1078 CITY PK AV DESHLER THURMAN &amp; BENNETT LOT 1-2"</f>
        <v>1076-1078 CITY PK AV DESHLER THURMAN &amp; BENNETT LOT 1-2</v>
      </c>
      <c r="D6952" s="1">
        <v>4714.8599999999997</v>
      </c>
    </row>
    <row r="6953" spans="1:4" x14ac:dyDescent="0.3">
      <c r="A6953" s="1" t="str">
        <f>"01003622700"</f>
        <v>01003622700</v>
      </c>
      <c r="B6953" s="1" t="str">
        <f>"KOHLER DONALD H, LIU XIAOSONG"</f>
        <v>KOHLER DONALD H, LIU XIAOSONG</v>
      </c>
      <c r="C6953" s="1" t="str">
        <f>"1330 BRYDEN RD TAYLOR LOT 3-4"</f>
        <v>1330 BRYDEN RD TAYLOR LOT 3-4</v>
      </c>
      <c r="D6953" s="1">
        <v>6169.29</v>
      </c>
    </row>
    <row r="6954" spans="1:4" x14ac:dyDescent="0.3">
      <c r="A6954" s="1" t="str">
        <f>"11300084600"</f>
        <v>11300084600</v>
      </c>
      <c r="B6954" s="1" t="str">
        <f>"KOHN JANET D"</f>
        <v>KOHN JANET D</v>
      </c>
      <c r="C6954" s="1" t="str">
        <f>"5150 LAKELAND COURT MINERVA PARK 173-174 "</f>
        <v xml:space="preserve">5150 LAKELAND COURT MINERVA PARK 173-174 </v>
      </c>
      <c r="D6954" s="1">
        <v>3536.92</v>
      </c>
    </row>
    <row r="6955" spans="1:4" x14ac:dyDescent="0.3">
      <c r="A6955" s="1" t="str">
        <f>"07000848300"</f>
        <v>07000848300</v>
      </c>
      <c r="B6955" s="1" t="str">
        <f>"KOKOLARI JANE M"</f>
        <v>KOKOLARI JANE M</v>
      </c>
      <c r="C6955" s="1" t="str">
        <f>"2711 VASSAR PL WINDSOR PL EX 1 71 "</f>
        <v xml:space="preserve">2711 VASSAR PL WINDSOR PL EX 1 71 </v>
      </c>
      <c r="D6955" s="1">
        <v>443.44</v>
      </c>
    </row>
    <row r="6956" spans="1:4" x14ac:dyDescent="0.3">
      <c r="A6956" s="1" t="str">
        <f>"61023526900"</f>
        <v>61023526900</v>
      </c>
      <c r="B6956" s="1" t="str">
        <f>"KOLA CHANDRASHEKAR, SINGURU VIJAY KUMAR"</f>
        <v>KOLA CHANDRASHEKAR, SINGURU VIJAY KUMAR</v>
      </c>
      <c r="C6956" s="1" t="str">
        <f>"BARLOW ROAD WORTHINGTON CROSSING SECTION 2 LOT 64"</f>
        <v>BARLOW ROAD WORTHINGTON CROSSING SECTION 2 LOT 64</v>
      </c>
      <c r="D6956" s="1">
        <v>5090.68</v>
      </c>
    </row>
    <row r="6957" spans="1:4" x14ac:dyDescent="0.3">
      <c r="A6957" s="1" t="str">
        <f>"09000004400"</f>
        <v>09000004400</v>
      </c>
      <c r="B6957" s="1" t="str">
        <f>"KOLA PROPERTIES LTD"</f>
        <v>KOLA PROPERTIES LTD</v>
      </c>
      <c r="C6957" s="1" t="str">
        <f>"100 HAMILTON RD ACRES 5.614 FAIRWAY VACATED"</f>
        <v>100 HAMILTON RD ACRES 5.614 FAIRWAY VACATED</v>
      </c>
      <c r="D6957" s="1">
        <v>47746.03</v>
      </c>
    </row>
    <row r="6958" spans="1:4" x14ac:dyDescent="0.3">
      <c r="A6958" s="1" t="str">
        <f>"01015735700"</f>
        <v>01015735700</v>
      </c>
      <c r="B6958" s="1" t="str">
        <f>"KOLBE JAMES J TR, KOLBE SYLVIA F TR"</f>
        <v>KOLBE JAMES J TR, KOLBE SYLVIA F TR</v>
      </c>
      <c r="C6958" s="1" t="str">
        <f>"RAMBLEWOOD AV THE GABLES WEST LOT 83"</f>
        <v>RAMBLEWOOD AV THE GABLES WEST LOT 83</v>
      </c>
      <c r="D6958" s="1">
        <v>249.11</v>
      </c>
    </row>
    <row r="6959" spans="1:4" x14ac:dyDescent="0.3">
      <c r="A6959" s="1" t="str">
        <f>"18000421500"</f>
        <v>18000421500</v>
      </c>
      <c r="B6959" s="1" t="str">
        <f>"KOLMAN DYLAN JACOB"</f>
        <v>KOLMAN DYLAN JACOB</v>
      </c>
      <c r="C6959" s="1" t="str">
        <f>"DUNLOE RD QUALSTAN EAST 1 "</f>
        <v xml:space="preserve">DUNLOE RD QUALSTAN EAST 1 </v>
      </c>
      <c r="D6959" s="1">
        <v>181.01</v>
      </c>
    </row>
    <row r="6960" spans="1:4" x14ac:dyDescent="0.3">
      <c r="A6960" s="1" t="str">
        <f>"02500458600"</f>
        <v>02500458600</v>
      </c>
      <c r="B6960" s="1" t="str">
        <f>"KONDRACKE CHRIS, KONDRACKE BRANDI"</f>
        <v>KONDRACKE CHRIS, KONDRACKE BRANDI</v>
      </c>
      <c r="C6960" s="1" t="str">
        <f>"505 TRESHAM COURT FOXBORO NO 3 LOT 92"</f>
        <v>505 TRESHAM COURT FOXBORO NO 3 LOT 92</v>
      </c>
      <c r="D6960" s="1">
        <v>7436.01</v>
      </c>
    </row>
    <row r="6961" spans="1:4" x14ac:dyDescent="0.3">
      <c r="A6961" s="1" t="str">
        <f>"27301278600"</f>
        <v>27301278600</v>
      </c>
      <c r="B6961" s="1" t="str">
        <f>"KONERU ARAVINDA B, KOLLI SASHI K"</f>
        <v>KONERU ARAVINDA B, KOLLI SASHI K</v>
      </c>
      <c r="C6961" s="1" t="str">
        <f>"RIVIERA SECTION 1 LOT 31"</f>
        <v>RIVIERA SECTION 1 LOT 31</v>
      </c>
      <c r="D6961" s="1">
        <v>973.2</v>
      </c>
    </row>
    <row r="6962" spans="1:4" x14ac:dyDescent="0.3">
      <c r="A6962" s="1" t="str">
        <f>"09000804500"</f>
        <v>09000804500</v>
      </c>
      <c r="B6962" s="1" t="str">
        <f>"KONOMI PROPERTIES LLC"</f>
        <v>KONOMI PROPERTIES LLC</v>
      </c>
      <c r="C6962" s="1" t="str">
        <f>"5250 E MAIN ST .516 ACRES FAIRLANE LOT RES A"</f>
        <v>5250 E MAIN ST .516 ACRES FAIRLANE LOT RES A</v>
      </c>
      <c r="D6962" s="1">
        <v>15465.75</v>
      </c>
    </row>
    <row r="6963" spans="1:4" x14ac:dyDescent="0.3">
      <c r="A6963" s="1" t="str">
        <f>"01026571100"</f>
        <v>01026571100</v>
      </c>
      <c r="B6963" s="1" t="str">
        <f>"KONYA BRADY"</f>
        <v>KONYA BRADY</v>
      </c>
      <c r="C6963" s="1" t="str">
        <f>"853 N PEARL ST            R22 T5 S5                 0.109 ACRE               "</f>
        <v xml:space="preserve">853 N PEARL ST            R22 T5 S5                 0.109 ACRE               </v>
      </c>
      <c r="D6963" s="1">
        <v>1574.49</v>
      </c>
    </row>
    <row r="6964" spans="1:4" x14ac:dyDescent="0.3">
      <c r="A6964" s="1" t="str">
        <f>"03000150900"</f>
        <v>03000150900</v>
      </c>
      <c r="B6964" s="1" t="str">
        <f>"KOOB JUDITH"</f>
        <v>KOOB JUDITH</v>
      </c>
      <c r="C6964" s="1" t="str">
        <f>"1251 OAKLAND AVE 36 FT NS L125 URLINS GRANDVIEW HTS"</f>
        <v>1251 OAKLAND AVE 36 FT NS L125 URLINS GRANDVIEW HTS</v>
      </c>
      <c r="D6964" s="1">
        <v>458.28</v>
      </c>
    </row>
    <row r="6965" spans="1:4" x14ac:dyDescent="0.3">
      <c r="A6965" s="1" t="str">
        <f>"01000771300"</f>
        <v>01000771300</v>
      </c>
      <c r="B6965" s="1" t="str">
        <f>"KOOGLER CHARLES R"</f>
        <v>KOOGLER CHARLES R</v>
      </c>
      <c r="C6965" s="1" t="str">
        <f>"220 S HARRIS AVE WICKLOW EXT LOT 529"</f>
        <v>220 S HARRIS AVE WICKLOW EXT LOT 529</v>
      </c>
      <c r="D6965" s="1">
        <v>1006.63</v>
      </c>
    </row>
    <row r="6966" spans="1:4" x14ac:dyDescent="0.3">
      <c r="A6966" s="1" t="str">
        <f>"57021911000"</f>
        <v>57021911000</v>
      </c>
      <c r="B6966" s="1" t="str">
        <f>"KOONTZ JOHN H TR"</f>
        <v>KOONTZ JOHN H TR</v>
      </c>
      <c r="C6966" s="1" t="str">
        <f>"EASTCREEK DRIVE WESTWOODS VILLAGE SECTION 2 LOT 70"</f>
        <v>EASTCREEK DRIVE WESTWOODS VILLAGE SECTION 2 LOT 70</v>
      </c>
      <c r="D6966" s="1">
        <v>2307</v>
      </c>
    </row>
    <row r="6967" spans="1:4" x14ac:dyDescent="0.3">
      <c r="A6967" s="1" t="str">
        <f>"01022935600"</f>
        <v>01022935600</v>
      </c>
      <c r="B6967" s="1" t="str">
        <f>"KOORS MARY E"</f>
        <v>KOORS MARY E</v>
      </c>
      <c r="C6967" s="1" t="str">
        <f>"AMY GLENN WEST ALBANY SEC 2 LOT 49"</f>
        <v>AMY GLENN WEST ALBANY SEC 2 LOT 49</v>
      </c>
      <c r="D6967" s="1">
        <v>294.42</v>
      </c>
    </row>
    <row r="6968" spans="1:4" x14ac:dyDescent="0.3">
      <c r="A6968" s="1" t="str">
        <f>"04001383300"</f>
        <v>04001383300</v>
      </c>
      <c r="B6968" s="1" t="str">
        <f>"KOPCIAL FRANK, ORIMILIKWE NJIDEKA"</f>
        <v>KOPCIAL FRANK, ORIMILIKWE NJIDEKA</v>
      </c>
      <c r="C6968" s="1" t="str">
        <f>"4807 NICHOLAS POINT DRIVE PINNACLE CLUB SECTION 5 LOT 515"</f>
        <v>4807 NICHOLAS POINT DRIVE PINNACLE CLUB SECTION 5 LOT 515</v>
      </c>
      <c r="D6968" s="1">
        <v>4126.5200000000004</v>
      </c>
    </row>
    <row r="6969" spans="1:4" x14ac:dyDescent="0.3">
      <c r="A6969" s="1" t="str">
        <f>"24000378000"</f>
        <v>24000378000</v>
      </c>
      <c r="B6969" s="1" t="str">
        <f>"KOPP JILL M"</f>
        <v>KOPP JILL M</v>
      </c>
      <c r="C6969" s="1" t="str">
        <f>"NMURRAY HILL RD LINCOLN VILLAGE LOT 640"</f>
        <v>NMURRAY HILL RD LINCOLN VILLAGE LOT 640</v>
      </c>
      <c r="D6969" s="1">
        <v>2707.86</v>
      </c>
    </row>
    <row r="6970" spans="1:4" x14ac:dyDescent="0.3">
      <c r="A6970" s="1" t="str">
        <f>"61029001600"</f>
        <v>61029001600</v>
      </c>
      <c r="B6970" s="1" t="str">
        <f>"KOPPENHOFER JONATHAN"</f>
        <v>KOPPENHOFER JONATHAN</v>
      </c>
      <c r="C6970" s="1" t="str">
        <f>"THE RAVINES AT FLINT PARK CONDOMINIUMS PH X 9TH AMD BLDG 2 UNIT 324"</f>
        <v>THE RAVINES AT FLINT PARK CONDOMINIUMS PH X 9TH AMD BLDG 2 UNIT 324</v>
      </c>
      <c r="D6970" s="1">
        <v>950.9</v>
      </c>
    </row>
    <row r="6971" spans="1:4" x14ac:dyDescent="0.3">
      <c r="A6971" s="1" t="str">
        <f>"07000046300"</f>
        <v>07000046300</v>
      </c>
      <c r="B6971" s="1" t="str">
        <f>"KOR VENTURES LLC"</f>
        <v>KOR VENTURES LLC</v>
      </c>
      <c r="C6971" s="1" t="str">
        <f>"1760 BEDFORD RD UPPER ARLINGTON LOT 3 BLK 22"</f>
        <v>1760 BEDFORD RD UPPER ARLINGTON LOT 3 BLK 22</v>
      </c>
      <c r="D6971" s="1">
        <v>6358.75</v>
      </c>
    </row>
    <row r="6972" spans="1:4" x14ac:dyDescent="0.3">
      <c r="A6972" s="1" t="str">
        <f>"01004154300"</f>
        <v>01004154300</v>
      </c>
      <c r="B6972" s="1" t="str">
        <f>"KOR VENTURES LLC"</f>
        <v>KOR VENTURES LLC</v>
      </c>
      <c r="C6972" s="1" t="str">
        <f>"213 W FIRST AVE NEIL PLC LOT 28"</f>
        <v>213 W FIRST AVE NEIL PLC LOT 28</v>
      </c>
      <c r="D6972" s="1">
        <v>6357.73</v>
      </c>
    </row>
    <row r="6973" spans="1:4" x14ac:dyDescent="0.3">
      <c r="A6973" s="1" t="str">
        <f>"27300643600"</f>
        <v>27300643600</v>
      </c>
      <c r="B6973" s="1" t="str">
        <f>"KOR VENTURES LLC"</f>
        <v>KOR VENTURES LLC</v>
      </c>
      <c r="C6973" s="1" t="str">
        <f>"DONEGAL CLIFFS SECTION 7 PHASE 2 LOT 225"</f>
        <v>DONEGAL CLIFFS SECTION 7 PHASE 2 LOT 225</v>
      </c>
      <c r="D6973" s="1">
        <v>14149.38</v>
      </c>
    </row>
    <row r="6974" spans="1:4" x14ac:dyDescent="0.3">
      <c r="A6974" s="1" t="str">
        <f>"01004464900"</f>
        <v>01004464900</v>
      </c>
      <c r="B6974" s="1" t="str">
        <f>"KORDA DORIS E"</f>
        <v>KORDA DORIS E</v>
      </c>
      <c r="C6974" s="1" t="str">
        <f>"FRANKLIN PK W FRANKLIN PK LOT 20-21 &amp; 16.45'SS LOT 19"</f>
        <v>FRANKLIN PK W FRANKLIN PK LOT 20-21 &amp; 16.45'SS LOT 19</v>
      </c>
      <c r="D6974" s="1">
        <v>16870.79</v>
      </c>
    </row>
    <row r="6975" spans="1:4" x14ac:dyDescent="0.3">
      <c r="A6975" s="1" t="str">
        <f>"01012189500"</f>
        <v>01012189500</v>
      </c>
      <c r="B6975" s="1" t="str">
        <f>"KORM CHENDA, TEP NY"</f>
        <v>KORM CHENDA, TEP NY</v>
      </c>
      <c r="C6975" s="1" t="str">
        <f>"855 MIDLAND AVE RAINBOW LOT 186"</f>
        <v>855 MIDLAND AVE RAINBOW LOT 186</v>
      </c>
      <c r="D6975" s="1">
        <v>100.71</v>
      </c>
    </row>
    <row r="6976" spans="1:4" x14ac:dyDescent="0.3">
      <c r="A6976" s="1" t="str">
        <f>"01006408500"</f>
        <v>01006408500</v>
      </c>
      <c r="B6976" s="1" t="str">
        <f>"KORNEGAY MARLIN"</f>
        <v>KORNEGAY MARLIN</v>
      </c>
      <c r="C6976" s="1" t="str">
        <f>"1606-8 E WHITTIER ST LIVINGSTON WHITTIER GARDENS LOT 82-83"</f>
        <v>1606-8 E WHITTIER ST LIVINGSTON WHITTIER GARDENS LOT 82-83</v>
      </c>
      <c r="D6976" s="1">
        <v>1329.48</v>
      </c>
    </row>
    <row r="6977" spans="1:4" x14ac:dyDescent="0.3">
      <c r="A6977" s="1" t="str">
        <f>"22200403300"</f>
        <v>22200403300</v>
      </c>
      <c r="B6977" s="1" t="str">
        <f>"KOSHKO KEVIN, KOSHKO SARAH"</f>
        <v>KOSHKO KEVIN, KOSHKO SARAH</v>
      </c>
      <c r="C6977" s="1" t="str">
        <f>"5031 BLACKSTONE EDGE DR   RESUB OF PART OF WINDSOR  SECTION 3 LOT 643        "</f>
        <v xml:space="preserve">5031 BLACKSTONE EDGE DR   RESUB OF PART OF WINDSOR  SECTION 3 LOT 643        </v>
      </c>
      <c r="D6977" s="1">
        <v>6100.09</v>
      </c>
    </row>
    <row r="6978" spans="1:4" x14ac:dyDescent="0.3">
      <c r="A6978" s="1" t="str">
        <f>"02500514700"</f>
        <v>02500514700</v>
      </c>
      <c r="B6978" s="1" t="str">
        <f>"KOST RICHARD C, KOST DEBORAH A"</f>
        <v>KOST RICHARD C, KOST DEBORAH A</v>
      </c>
      <c r="C6978" s="1" t="str">
        <f>"833 RIVA RIDGE BLVD SARATOGA ESTATES S 1 LOT 18"</f>
        <v>833 RIVA RIDGE BLVD SARATOGA ESTATES S 1 LOT 18</v>
      </c>
      <c r="D6978" s="1">
        <v>4094.05</v>
      </c>
    </row>
    <row r="6979" spans="1:4" x14ac:dyDescent="0.3">
      <c r="A6979" s="1" t="str">
        <f>"06000619100"</f>
        <v>06000619100</v>
      </c>
      <c r="B6979" s="1" t="str">
        <f>"KOSTANI SIDI, MESKOUR ILHAM"</f>
        <v>KOSTANI SIDI, MESKOUR ILHAM</v>
      </c>
      <c r="C6979" s="1" t="str">
        <f>"BARCELONA SQUARE CON UNIT 1999 BLDG 2 "</f>
        <v xml:space="preserve">BARCELONA SQUARE CON UNIT 1999 BLDG 2 </v>
      </c>
      <c r="D6979" s="1">
        <v>67.08</v>
      </c>
    </row>
    <row r="6980" spans="1:4" x14ac:dyDescent="0.3">
      <c r="A6980" s="1" t="str">
        <f>"56024870200"</f>
        <v>56024870200</v>
      </c>
      <c r="B6980" s="1" t="str">
        <f>"KOTHARI RASESH M TR, KOTHARI REENA K TR"</f>
        <v>KOTHARI RASESH M TR, KOTHARI REENA K TR</v>
      </c>
      <c r="C6980" s="1" t="str">
        <f>"DEANPARK DRIVE HERITAGE CREEK SECTION 5 PART 2 LOT 140"</f>
        <v>DEANPARK DRIVE HERITAGE CREEK SECTION 5 PART 2 LOT 140</v>
      </c>
      <c r="D6980" s="1">
        <v>424.24</v>
      </c>
    </row>
    <row r="6981" spans="1:4" x14ac:dyDescent="0.3">
      <c r="A6981" s="1" t="str">
        <f>"05000349500"</f>
        <v>05000349500</v>
      </c>
      <c r="B6981" s="1" t="str">
        <f>"KOTOCH NORMAN A"</f>
        <v>KOTOCH NORMAN A</v>
      </c>
      <c r="C6981" s="1" t="str">
        <f>"4850 LEYBOURNE DRIVE HAYDEN RUN VIL PHA 5 LOT 136"</f>
        <v>4850 LEYBOURNE DRIVE HAYDEN RUN VIL PHA 5 LOT 136</v>
      </c>
      <c r="D6981" s="1">
        <v>4236.29</v>
      </c>
    </row>
    <row r="6982" spans="1:4" x14ac:dyDescent="0.3">
      <c r="A6982" s="1" t="str">
        <f>"61021058300"</f>
        <v>61021058300</v>
      </c>
      <c r="B6982" s="1" t="str">
        <f>"KOTTI RAVINDRANTH"</f>
        <v>KOTTI RAVINDRANTH</v>
      </c>
      <c r="C6982" s="1" t="str">
        <f>"NORTHWOODS OFFICE CONDO 5TH AMD UNIT 136A2"</f>
        <v>NORTHWOODS OFFICE CONDO 5TH AMD UNIT 136A2</v>
      </c>
      <c r="D6982" s="1">
        <v>503.83</v>
      </c>
    </row>
    <row r="6983" spans="1:4" x14ac:dyDescent="0.3">
      <c r="A6983" s="1" t="str">
        <f>"05000314800"</f>
        <v>05000314800</v>
      </c>
      <c r="B6983" s="1" t="str">
        <f>"KOVACS GABOR J, KOVACS CAROLYN M"</f>
        <v>KOVACS GABOR J, KOVACS CAROLYN M</v>
      </c>
      <c r="C6983" s="1" t="str">
        <f>"4354 SHIRE LANDING SHIRE COVE LOT 81"</f>
        <v>4354 SHIRE LANDING SHIRE COVE LOT 81</v>
      </c>
      <c r="D6983" s="1">
        <v>453.67</v>
      </c>
    </row>
    <row r="6984" spans="1:4" x14ac:dyDescent="0.3">
      <c r="A6984" s="1" t="str">
        <f>"02500131100"</f>
        <v>02500131100</v>
      </c>
      <c r="B6984" s="1" t="str">
        <f>"KOVAL JUDITH C"</f>
        <v>KOVAL JUDITH C</v>
      </c>
      <c r="C6984" s="1" t="str">
        <f>"104 EMPIRE DR ROYAL MANOR 129 "</f>
        <v xml:space="preserve">104 EMPIRE DR ROYAL MANOR 129 </v>
      </c>
      <c r="D6984" s="1">
        <v>2820.45</v>
      </c>
    </row>
    <row r="6985" spans="1:4" x14ac:dyDescent="0.3">
      <c r="A6985" s="1" t="str">
        <f>"06000469500"</f>
        <v>06000469500</v>
      </c>
      <c r="B6985" s="1" t="str">
        <f>"KOVALIK JEFFREY P"</f>
        <v>KOVALIK JEFFREY P</v>
      </c>
      <c r="C6985" s="1" t="str">
        <f>"MATTERHORN DR BRIARCLIFF NO 5 LOT 431"</f>
        <v>MATTERHORN DR BRIARCLIFF NO 5 LOT 431</v>
      </c>
      <c r="D6985" s="1">
        <v>243.93</v>
      </c>
    </row>
    <row r="6986" spans="1:4" x14ac:dyDescent="0.3">
      <c r="A6986" s="1" t="str">
        <f>"54523173800"</f>
        <v>54523173800</v>
      </c>
      <c r="B6986" s="1" t="str">
        <f>"KOYA AFSAL"</f>
        <v>KOYA AFSAL</v>
      </c>
      <c r="C6986" s="1" t="str">
        <f>"HAUSSMAN PLACE PRESTON COMMONS SEC1 LOT 68"</f>
        <v>HAUSSMAN PLACE PRESTON COMMONS SEC1 LOT 68</v>
      </c>
      <c r="D6986" s="1">
        <v>4248.24</v>
      </c>
    </row>
    <row r="6987" spans="1:4" x14ac:dyDescent="0.3">
      <c r="A6987" s="1" t="str">
        <f>"01010655600"</f>
        <v>01010655600</v>
      </c>
      <c r="B6987" s="1" t="str">
        <f>"KP HOMES LLC"</f>
        <v>KP HOMES LLC</v>
      </c>
      <c r="C6987" s="1" t="str">
        <f>"FLORIBUNDA DR SOUTH BERWICK LOT 95"</f>
        <v>FLORIBUNDA DR SOUTH BERWICK LOT 95</v>
      </c>
      <c r="D6987" s="1">
        <v>549.13</v>
      </c>
    </row>
    <row r="6988" spans="1:4" x14ac:dyDescent="0.3">
      <c r="A6988" s="1" t="str">
        <f>"14000085000"</f>
        <v>14000085000</v>
      </c>
      <c r="B6988" s="1" t="str">
        <f>"KPB PROPERTIES LLC"</f>
        <v>KPB PROPERTIES LLC</v>
      </c>
      <c r="C6988" s="1" t="str">
        <f>"1567 WITHERS AVE GARLINGS 5 "</f>
        <v xml:space="preserve">1567 WITHERS AVE GARLINGS 5 </v>
      </c>
      <c r="D6988" s="1">
        <v>1484.65</v>
      </c>
    </row>
    <row r="6989" spans="1:4" x14ac:dyDescent="0.3">
      <c r="A6989" s="1" t="str">
        <f>"01018739000"</f>
        <v>01018739000</v>
      </c>
      <c r="B6989" s="1" t="str">
        <f>"KRA LASSO PROPERTIES LLC"</f>
        <v>KRA LASSO PROPERTIES LLC</v>
      </c>
      <c r="C6989" s="1" t="str">
        <f>"PINE TREE S TAMARACK CONDOMINIUM UNIT 1746-A BLDG 5"</f>
        <v>PINE TREE S TAMARACK CONDOMINIUM UNIT 1746-A BLDG 5</v>
      </c>
      <c r="D6989" s="1">
        <v>957.72</v>
      </c>
    </row>
    <row r="6990" spans="1:4" x14ac:dyDescent="0.3">
      <c r="A6990" s="1" t="str">
        <f>"01004244600"</f>
        <v>01004244600</v>
      </c>
      <c r="B6990" s="1" t="str">
        <f>"KRAMER ERIC J"</f>
        <v>KRAMER ERIC J</v>
      </c>
      <c r="C6990" s="1" t="str">
        <f>"2531-3 SUMMIT INDIANOLA PK VIEW LOT 1"</f>
        <v>2531-3 SUMMIT INDIANOLA PK VIEW LOT 1</v>
      </c>
      <c r="D6990" s="1">
        <v>4077.98</v>
      </c>
    </row>
    <row r="6991" spans="1:4" x14ac:dyDescent="0.3">
      <c r="A6991" s="1" t="str">
        <f>"01000222000"</f>
        <v>01000222000</v>
      </c>
      <c r="B6991" s="1" t="str">
        <f>"KRAMER GALLERY LLC"</f>
        <v>KRAMER GALLERY LLC</v>
      </c>
      <c r="C6991" s="1" t="str">
        <f>"246 S 4TH ST BALDWIN LOT SUB 6"</f>
        <v>246 S 4TH ST BALDWIN LOT SUB 6</v>
      </c>
      <c r="D6991" s="1">
        <v>352.6</v>
      </c>
    </row>
    <row r="6992" spans="1:4" x14ac:dyDescent="0.3">
      <c r="A6992" s="1" t="str">
        <f>"59020194900"</f>
        <v>59020194900</v>
      </c>
      <c r="B6992" s="1" t="str">
        <f>"KRAMER MICHAEL W"</f>
        <v>KRAMER MICHAEL W</v>
      </c>
      <c r="C6992" s="1" t="str">
        <f>"BLDG 21 UNIT 7301 CIMMARON STATION CONDO 2"</f>
        <v>BLDG 21 UNIT 7301 CIMMARON STATION CONDO 2</v>
      </c>
      <c r="D6992" s="1">
        <v>332.82</v>
      </c>
    </row>
    <row r="6993" spans="1:4" x14ac:dyDescent="0.3">
      <c r="A6993" s="1" t="str">
        <f>"06000483400"</f>
        <v>06000483400</v>
      </c>
      <c r="B6993" s="1" t="str">
        <f>"KRAUSE JAMES D"</f>
        <v>KRAUSE JAMES D</v>
      </c>
      <c r="C6993" s="1" t="str">
        <f>"1180 ROSEHILL RD .961 ACRE R21 T12 S12 1/2S18"</f>
        <v>1180 ROSEHILL RD .961 ACRE R21 T12 S12 1/2S18</v>
      </c>
      <c r="D6993" s="1">
        <v>716.63</v>
      </c>
    </row>
    <row r="6994" spans="1:4" x14ac:dyDescent="0.3">
      <c r="A6994" s="1" t="str">
        <f>"01009776100"</f>
        <v>01009776100</v>
      </c>
      <c r="B6994" s="1" t="str">
        <f>"KRAUSE PATRICIA"</f>
        <v>KRAUSE PATRICIA</v>
      </c>
      <c r="C6994" s="1" t="str">
        <f>"MILLERDALE RD BERWICK HTS LOT 1"</f>
        <v>MILLERDALE RD BERWICK HTS LOT 1</v>
      </c>
      <c r="D6994" s="1">
        <v>110</v>
      </c>
    </row>
    <row r="6995" spans="1:4" x14ac:dyDescent="0.3">
      <c r="A6995" s="1" t="str">
        <f>"08000123200"</f>
        <v>08000123200</v>
      </c>
      <c r="B6995" s="1" t="str">
        <f>"KRAUSE TAMARA G"</f>
        <v>KRAUSE TAMARA G</v>
      </c>
      <c r="C6995" s="1" t="str">
        <f>"180 E PARK ST 23 FT WS OF 29 &amp; 23 FT ES OF WEYANT OLD 29 30"</f>
        <v>180 E PARK ST 23 FT WS OF 29 &amp; 23 FT ES OF WEYANT OLD 29 30</v>
      </c>
      <c r="D6995" s="1">
        <v>332.5</v>
      </c>
    </row>
    <row r="6996" spans="1:4" x14ac:dyDescent="0.3">
      <c r="A6996" s="1" t="str">
        <f>"15000257300"</f>
        <v>15000257300</v>
      </c>
      <c r="B6996" s="1" t="str">
        <f>"KRB HOMES LLC"</f>
        <v>KRB HOMES LLC</v>
      </c>
      <c r="C6996" s="1" t="str">
        <f>"116 BUCKEYE CR STEEPLECHASE GARDENS BLDG 18 UNIT B 116"</f>
        <v>116 BUCKEYE CR STEEPLECHASE GARDENS BLDG 18 UNIT B 116</v>
      </c>
      <c r="D6996" s="1">
        <v>597.91999999999996</v>
      </c>
    </row>
    <row r="6997" spans="1:4" x14ac:dyDescent="0.3">
      <c r="A6997" s="1" t="str">
        <f>"15000256600"</f>
        <v>15000256600</v>
      </c>
      <c r="B6997" s="1" t="str">
        <f>"KRB HOMES LLC"</f>
        <v>KRB HOMES LLC</v>
      </c>
      <c r="C6997" s="1" t="str">
        <f>"102 BUCKEYE CR STEEPLECHASE GARDENS BLDG 17 UNIT B 102"</f>
        <v>102 BUCKEYE CR STEEPLECHASE GARDENS BLDG 17 UNIT B 102</v>
      </c>
      <c r="D6997" s="1">
        <v>586.41</v>
      </c>
    </row>
    <row r="6998" spans="1:4" x14ac:dyDescent="0.3">
      <c r="A6998" s="1" t="str">
        <f>"01026552500"</f>
        <v>01026552500</v>
      </c>
      <c r="B6998" s="1" t="str">
        <f>"KREEMER GARY A, KREEMER THERESA A"</f>
        <v>KREEMER GARY A, KREEMER THERESA A</v>
      </c>
      <c r="C6998" s="1" t="str">
        <f>"ASHTEAD DRIVE             UPPER ALBANY SECTION 1    LOT 65                   "</f>
        <v xml:space="preserve">ASHTEAD DRIVE             UPPER ALBANY SECTION 1    LOT 65                   </v>
      </c>
      <c r="D6998" s="1">
        <v>115.23</v>
      </c>
    </row>
    <row r="6999" spans="1:4" x14ac:dyDescent="0.3">
      <c r="A6999" s="1" t="str">
        <f>"23000119500"</f>
        <v>23000119500</v>
      </c>
      <c r="B6999" s="1" t="str">
        <f>"KRETCHETOVA ANNA"</f>
        <v>KRETCHETOVA ANNA</v>
      </c>
      <c r="C6999" s="1" t="str">
        <f>"JAMES GARDNER RD ENTRY 2676 0.9932 ACRE"</f>
        <v>JAMES GARDNER RD ENTRY 2676 0.9932 ACRE</v>
      </c>
      <c r="D6999" s="1">
        <v>142.29</v>
      </c>
    </row>
    <row r="7000" spans="1:4" x14ac:dyDescent="0.3">
      <c r="A7000" s="1" t="str">
        <f>"01008275500"</f>
        <v>01008275500</v>
      </c>
      <c r="B7000" s="1" t="str">
        <f>"KREZAN DOUGLAS"</f>
        <v>KREZAN DOUGLAS</v>
      </c>
      <c r="C7000" s="1" t="str">
        <f>"ACTON RD EDGEMONT GARDENS LOT 114"</f>
        <v>ACTON RD EDGEMONT GARDENS LOT 114</v>
      </c>
      <c r="D7000" s="1">
        <v>3328.83</v>
      </c>
    </row>
    <row r="7001" spans="1:4" x14ac:dyDescent="0.3">
      <c r="A7001" s="1" t="str">
        <f>"01021489700"</f>
        <v>01021489700</v>
      </c>
      <c r="B7001" s="1" t="str">
        <f>"KRG INVESTMENT COMPANY LLC"</f>
        <v>KRG INVESTMENT COMPANY LLC</v>
      </c>
      <c r="C7001" s="1" t="str">
        <f>"CHARLESTON PLACE CONDOMINIUM UNIT 22"</f>
        <v>CHARLESTON PLACE CONDOMINIUM UNIT 22</v>
      </c>
      <c r="D7001" s="1">
        <v>1271.07</v>
      </c>
    </row>
    <row r="7002" spans="1:4" x14ac:dyDescent="0.3">
      <c r="A7002" s="1" t="str">
        <f>"01010770100"</f>
        <v>01010770100</v>
      </c>
      <c r="B7002" s="1" t="str">
        <f>"KRGC CAPITAL LLC"</f>
        <v>KRGC CAPITAL LLC</v>
      </c>
      <c r="C7002" s="1" t="str">
        <f>"KIRKWOOD RD BERWICK MANOR 2 LOT 184"</f>
        <v>KIRKWOOD RD BERWICK MANOR 2 LOT 184</v>
      </c>
      <c r="D7002" s="1">
        <v>1700.05</v>
      </c>
    </row>
    <row r="7003" spans="1:4" x14ac:dyDescent="0.3">
      <c r="A7003" s="1" t="str">
        <f>"07000666200"</f>
        <v>07000666200</v>
      </c>
      <c r="B7003" s="1" t="str">
        <f>"KRICHBAUM KENDRA"</f>
        <v>KRICHBAUM KENDRA</v>
      </c>
      <c r="C7003" s="1" t="str">
        <f>"SWANSEA RD &amp; PT AL VAC RIVER RIDGE 1 BLK 25"</f>
        <v>SWANSEA RD &amp; PT AL VAC RIVER RIDGE 1 BLK 25</v>
      </c>
      <c r="D7003" s="1">
        <v>462</v>
      </c>
    </row>
    <row r="7004" spans="1:4" x14ac:dyDescent="0.3">
      <c r="A7004" s="1" t="str">
        <f>"27301194900"</f>
        <v>27301194900</v>
      </c>
      <c r="B7004" s="1" t="str">
        <f>"KRIDHI &amp; CO LTD"</f>
        <v>KRIDHI &amp; CO LTD</v>
      </c>
      <c r="C7004" s="1" t="str">
        <f>"MANOR AT CRAUGHWELL       VILLAGE CONDOMINIUM       BLDG 2 UNIT 6233         "</f>
        <v xml:space="preserve">MANOR AT CRAUGHWELL       VILLAGE CONDOMINIUM       BLDG 2 UNIT 6233         </v>
      </c>
      <c r="D7004" s="1">
        <v>4398.25</v>
      </c>
    </row>
    <row r="7005" spans="1:4" x14ac:dyDescent="0.3">
      <c r="A7005" s="1" t="str">
        <f>"27301182200"</f>
        <v>27301182200</v>
      </c>
      <c r="B7005" s="1" t="str">
        <f>"KRIDHI &amp; CO LTD"</f>
        <v>KRIDHI &amp; CO LTD</v>
      </c>
      <c r="C7005" s="1" t="str">
        <f>"MANOR AT CRAUGHWELL       VILLAGE CONDOMINIUM       BLDG 4 UNIT 6063         "</f>
        <v xml:space="preserve">MANOR AT CRAUGHWELL       VILLAGE CONDOMINIUM       BLDG 4 UNIT 6063         </v>
      </c>
      <c r="D7005" s="1">
        <v>3921.71</v>
      </c>
    </row>
    <row r="7006" spans="1:4" x14ac:dyDescent="0.3">
      <c r="A7006" s="1" t="str">
        <f>"27301270700"</f>
        <v>27301270700</v>
      </c>
      <c r="B7006" s="1" t="str">
        <f>"KRIDHI &amp; CO LTD"</f>
        <v>KRIDHI &amp; CO LTD</v>
      </c>
      <c r="C7006" s="1" t="str">
        <f>"HOME 2 HOTEL SUBDIVISION LOT 2A  "</f>
        <v xml:space="preserve">HOME 2 HOTEL SUBDIVISION LOT 2A  </v>
      </c>
      <c r="D7006" s="1">
        <v>9095.84</v>
      </c>
    </row>
    <row r="7007" spans="1:4" x14ac:dyDescent="0.3">
      <c r="A7007" s="1" t="str">
        <f>"27301193000"</f>
        <v>27301193000</v>
      </c>
      <c r="B7007" s="1" t="str">
        <f>"KRIDHI &amp; CO LTD"</f>
        <v>KRIDHI &amp; CO LTD</v>
      </c>
      <c r="C7007" s="1" t="str">
        <f>"MANOR AT CRAUGHWELL       VILLAGE CONDOMINIUM       BLDG 3 UNIT 6153         "</f>
        <v xml:space="preserve">MANOR AT CRAUGHWELL       VILLAGE CONDOMINIUM       BLDG 3 UNIT 6153         </v>
      </c>
      <c r="D7007" s="1">
        <v>4540.47</v>
      </c>
    </row>
    <row r="7008" spans="1:4" x14ac:dyDescent="0.3">
      <c r="A7008" s="1" t="str">
        <f>"27301181100"</f>
        <v>27301181100</v>
      </c>
      <c r="B7008" s="1" t="str">
        <f>"KRIDHI &amp; CO LTD"</f>
        <v>KRIDHI &amp; CO LTD</v>
      </c>
      <c r="C7008" s="1" t="str">
        <f>"MANOR AT CRAUGHWELL       VILLAGE CONDOMINIUM       BLDG 2 UNIT 6241         "</f>
        <v xml:space="preserve">MANOR AT CRAUGHWELL       VILLAGE CONDOMINIUM       BLDG 2 UNIT 6241         </v>
      </c>
      <c r="D7008" s="1">
        <v>3817.09</v>
      </c>
    </row>
    <row r="7009" spans="1:4" x14ac:dyDescent="0.3">
      <c r="A7009" s="1" t="str">
        <f>"56024144100"</f>
        <v>56024144100</v>
      </c>
      <c r="B7009" s="1" t="str">
        <f>"KRIEGER TODD A, KRIEGER JOANNA"</f>
        <v>KRIEGER TODD A, KRIEGER JOANNA</v>
      </c>
      <c r="C7009" s="1" t="str">
        <f>"DAMEULY DRIVE HILLIARD GREEN SECTION 4 LOT 270"</f>
        <v>DAMEULY DRIVE HILLIARD GREEN SECTION 4 LOT 270</v>
      </c>
      <c r="D7009" s="1">
        <v>334.2</v>
      </c>
    </row>
    <row r="7010" spans="1:4" x14ac:dyDescent="0.3">
      <c r="A7010" s="1" t="str">
        <f>"01000574100"</f>
        <v>01000574100</v>
      </c>
      <c r="B7010" s="1" t="str">
        <f>"KRISH JOHN S"</f>
        <v>KRISH JOHN S</v>
      </c>
      <c r="C7010" s="1" t="str">
        <f>"1758 BIDE A WEE PK        BULENS FAIRWOOD PARK      LOT 62                   "</f>
        <v xml:space="preserve">1758 BIDE A WEE PK        BULENS FAIRWOOD PARK      LOT 62                   </v>
      </c>
      <c r="D7010" s="1">
        <v>609.82000000000005</v>
      </c>
    </row>
    <row r="7011" spans="1:4" x14ac:dyDescent="0.3">
      <c r="A7011" s="1" t="str">
        <f>"20000341200"</f>
        <v>20000341200</v>
      </c>
      <c r="B7011" s="1" t="str">
        <f>"KRISHER KURT O, KRISHER MEREDITH A"</f>
        <v>KRISHER KURT O, KRISHER MEREDITH A</v>
      </c>
      <c r="C7011" s="1" t="str">
        <f>"TIMBERBROOK LANE RESUB OF PT OF TIMBERBROOK EXT L187"</f>
        <v>TIMBERBROOK LANE RESUB OF PT OF TIMBERBROOK EXT L187</v>
      </c>
      <c r="D7011" s="1">
        <v>673.33</v>
      </c>
    </row>
    <row r="7012" spans="1:4" x14ac:dyDescent="0.3">
      <c r="A7012" s="1" t="str">
        <f>"27300177800"</f>
        <v>27300177800</v>
      </c>
      <c r="B7012" s="1" t="str">
        <f>"KRISHNAMURTHY RAJESH, RAJESH SMITHA"</f>
        <v>KRISHNAMURTHY RAJESH, RAJESH SMITHA</v>
      </c>
      <c r="C7012" s="1" t="str">
        <f>"5500 DUBLIN RD LLWELLYN ESTATES LOT 2"</f>
        <v>5500 DUBLIN RD LLWELLYN ESTATES LOT 2</v>
      </c>
      <c r="D7012" s="1">
        <v>2207.9299999999998</v>
      </c>
    </row>
    <row r="7013" spans="1:4" x14ac:dyDescent="0.3">
      <c r="A7013" s="1" t="str">
        <f>"60025588800"</f>
        <v>60025588800</v>
      </c>
      <c r="B7013" s="1" t="str">
        <f>"KRISIEWICZ CHRISTOPHER M TR"</f>
        <v>KRISIEWICZ CHRISTOPHER M TR</v>
      </c>
      <c r="C7013" s="1" t="str">
        <f>"HAMILTON ROAD R17 T2 1/4T4 1.528 ACRES"</f>
        <v>HAMILTON ROAD R17 T2 1/4T4 1.528 ACRES</v>
      </c>
      <c r="D7013" s="1">
        <v>66093.58</v>
      </c>
    </row>
    <row r="7014" spans="1:4" x14ac:dyDescent="0.3">
      <c r="A7014" s="1" t="str">
        <f>"01012342400"</f>
        <v>01012342400</v>
      </c>
      <c r="B7014" s="1" t="str">
        <f>"KRIVDIC PARASKEVA"</f>
        <v>KRIVDIC PARASKEVA</v>
      </c>
      <c r="C7014" s="1" t="str">
        <f>"PINECREST 4 LOT 751 "</f>
        <v xml:space="preserve">PINECREST 4 LOT 751 </v>
      </c>
      <c r="D7014" s="1">
        <v>1452.09</v>
      </c>
    </row>
    <row r="7015" spans="1:4" x14ac:dyDescent="0.3">
      <c r="A7015" s="1" t="str">
        <f>"05000964700"</f>
        <v>05000964700</v>
      </c>
      <c r="B7015" s="1" t="str">
        <f>"KRIVICICH MARGARET"</f>
        <v>KRIVICICH MARGARET</v>
      </c>
      <c r="C7015" s="1" t="str">
        <f>"COVENTRY MANOR CONDOMINIUM 14TH AMD BLDG 61 BLDG 5990"</f>
        <v>COVENTRY MANOR CONDOMINIUM 14TH AMD BLDG 61 BLDG 5990</v>
      </c>
      <c r="D7015" s="1">
        <v>326.12</v>
      </c>
    </row>
    <row r="7016" spans="1:4" x14ac:dyDescent="0.3">
      <c r="A7016" s="1" t="str">
        <f>"01019913000"</f>
        <v>01019913000</v>
      </c>
      <c r="B7016" s="1" t="str">
        <f>"KRIVOLAPOV EUGENE"</f>
        <v>KRIVOLAPOV EUGENE</v>
      </c>
      <c r="C7016" s="1" t="str">
        <f>"STORNOWAY DR S MCNAUGHTEN COM CONDO BLDG 7 UNIT 6193"</f>
        <v>STORNOWAY DR S MCNAUGHTEN COM CONDO BLDG 7 UNIT 6193</v>
      </c>
      <c r="D7016" s="1">
        <v>2559.27</v>
      </c>
    </row>
    <row r="7017" spans="1:4" x14ac:dyDescent="0.3">
      <c r="A7017" s="1" t="str">
        <f>"01007769700"</f>
        <v>01007769700</v>
      </c>
      <c r="B7017" s="1" t="str">
        <f>"KROHN RAMBLE"</f>
        <v>KROHN RAMBLE</v>
      </c>
      <c r="C7017" s="1" t="str">
        <f>"48 AMAZON PL WEBSTER PK LOT 158"</f>
        <v>48 AMAZON PL WEBSTER PK LOT 158</v>
      </c>
      <c r="D7017" s="1">
        <v>5215.5</v>
      </c>
    </row>
    <row r="7018" spans="1:4" x14ac:dyDescent="0.3">
      <c r="A7018" s="1" t="str">
        <f>"16000154100"</f>
        <v>16000154100</v>
      </c>
      <c r="B7018" s="1" t="str">
        <f>"KROMER MARJORIE C F"</f>
        <v>KROMER MARJORIE C F</v>
      </c>
      <c r="C7018" s="1" t="str">
        <f>"DEMOREST RD UNROE HEIGHTS LOT 2"</f>
        <v>DEMOREST RD UNROE HEIGHTS LOT 2</v>
      </c>
      <c r="D7018" s="1">
        <v>1644.93</v>
      </c>
    </row>
    <row r="7019" spans="1:4" x14ac:dyDescent="0.3">
      <c r="A7019" s="1" t="str">
        <f>"05000235400"</f>
        <v>05000235400</v>
      </c>
      <c r="B7019" s="1" t="str">
        <f>"KROTZ MITCHELL T"</f>
        <v>KROTZ MITCHELL T</v>
      </c>
      <c r="C7019" s="1" t="str">
        <f>"4806 JEANNETTE RD MCDOWELLS LEAP RD AC 160'SE LOT 59"</f>
        <v>4806 JEANNETTE RD MCDOWELLS LEAP RD AC 160'SE LOT 59</v>
      </c>
      <c r="D7019" s="1">
        <v>5847.33</v>
      </c>
    </row>
    <row r="7020" spans="1:4" x14ac:dyDescent="0.3">
      <c r="A7020" s="1" t="str">
        <f>"05000235300"</f>
        <v>05000235300</v>
      </c>
      <c r="B7020" s="1" t="str">
        <f>"KROTZ MITCHELL T"</f>
        <v>KROTZ MITCHELL T</v>
      </c>
      <c r="C7020" s="1" t="str">
        <f>"JEANNETTE ROAD MCDOWELLS LEAP RD AC 160'SE LOT 58"</f>
        <v>JEANNETTE ROAD MCDOWELLS LEAP RD AC 160'SE LOT 58</v>
      </c>
      <c r="D7020" s="1">
        <v>1768.98</v>
      </c>
    </row>
    <row r="7021" spans="1:4" x14ac:dyDescent="0.3">
      <c r="A7021" s="1" t="str">
        <f>"09000366500"</f>
        <v>09000366500</v>
      </c>
      <c r="B7021" s="1" t="str">
        <f>"KRSTESKI BLAGOJA"</f>
        <v>KRSTESKI BLAGOJA</v>
      </c>
      <c r="C7021" s="1" t="str">
        <f>"676 COUNTRY CLUB RD FAIRWAY LINKS LOT 3"</f>
        <v>676 COUNTRY CLUB RD FAIRWAY LINKS LOT 3</v>
      </c>
      <c r="D7021" s="1">
        <v>1965.51</v>
      </c>
    </row>
    <row r="7022" spans="1:4" x14ac:dyDescent="0.3">
      <c r="A7022" s="1" t="str">
        <f>"05000433300"</f>
        <v>05000433300</v>
      </c>
      <c r="B7022" s="1" t="str">
        <f>"KRUDER JASON T, KRUDER ALLISON M"</f>
        <v>KRUDER JASON T, KRUDER ALLISON M</v>
      </c>
      <c r="C7022" s="1" t="str">
        <f>"4164 CHECKERBERRY CT SCIOTO RUN SUB PH 3 LOT 148"</f>
        <v>4164 CHECKERBERRY CT SCIOTO RUN SUB PH 3 LOT 148</v>
      </c>
      <c r="D7022" s="1">
        <v>5490.33</v>
      </c>
    </row>
    <row r="7023" spans="1:4" x14ac:dyDescent="0.3">
      <c r="A7023" s="1" t="str">
        <f>"02500236200"</f>
        <v>02500236200</v>
      </c>
      <c r="B7023" s="1" t="str">
        <f>"KRUEGER CHARLES P SR TR, KNOT LOIS M, CHANDLER JERRY A, CHANDLER KIMBERLY KAY, CHANDLER DAVID L"</f>
        <v>KRUEGER CHARLES P SR TR, KNOT LOIS M, CHANDLER JERRY A, CHANDLER KIMBERLY KAY, CHANDLER DAVID L</v>
      </c>
      <c r="C7023" s="1" t="str">
        <f>"358 AMESBURY DRIVE ROYAL MANOR 2 533 "</f>
        <v xml:space="preserve">358 AMESBURY DRIVE ROYAL MANOR 2 533 </v>
      </c>
      <c r="D7023" s="1">
        <v>68.2</v>
      </c>
    </row>
    <row r="7024" spans="1:4" x14ac:dyDescent="0.3">
      <c r="A7024" s="1" t="str">
        <f>"01009926800"</f>
        <v>01009926800</v>
      </c>
      <c r="B7024" s="1" t="str">
        <f>"KRUG TAMMY K"</f>
        <v>KRUG TAMMY K</v>
      </c>
      <c r="C7024" s="1" t="str">
        <f>"FULTON ST WHITEHALL MANOR PLAT 1 LOT 36"</f>
        <v>FULTON ST WHITEHALL MANOR PLAT 1 LOT 36</v>
      </c>
      <c r="D7024" s="1">
        <v>2278</v>
      </c>
    </row>
    <row r="7025" spans="1:4" x14ac:dyDescent="0.3">
      <c r="A7025" s="1" t="str">
        <f>"01006446200"</f>
        <v>01006446200</v>
      </c>
      <c r="B7025" s="1" t="str">
        <f>"KRUMMEL ELIZABETH A"</f>
        <v>KRUMMEL ELIZABETH A</v>
      </c>
      <c r="C7025" s="1" t="str">
        <f>"3008 OLIVE ST BROADVIEW ADDITION LOT 12 BLOCK 6"</f>
        <v>3008 OLIVE ST BROADVIEW ADDITION LOT 12 BLOCK 6</v>
      </c>
      <c r="D7025" s="1">
        <v>318.83</v>
      </c>
    </row>
    <row r="7026" spans="1:4" x14ac:dyDescent="0.3">
      <c r="A7026" s="1" t="str">
        <f>"60016817500"</f>
        <v>60016817500</v>
      </c>
      <c r="B7026" s="1" t="str">
        <f>"KRUSE KARLA"</f>
        <v>KRUSE KARLA</v>
      </c>
      <c r="C7026" s="1" t="str">
        <f>"2888 BRETTON WOODS BRANDYWINE MEADOWS LOT 69 EX 1' ES"</f>
        <v>2888 BRETTON WOODS BRANDYWINE MEADOWS LOT 69 EX 1' ES</v>
      </c>
      <c r="D7026" s="1">
        <v>2156.69</v>
      </c>
    </row>
    <row r="7027" spans="1:4" x14ac:dyDescent="0.3">
      <c r="A7027" s="1" t="str">
        <f>"01028980600"</f>
        <v>01028980600</v>
      </c>
      <c r="B7027" s="1" t="str">
        <f>"KTP LILLYS CORNER LLC"</f>
        <v>KTP LILLYS CORNER LLC</v>
      </c>
      <c r="C7027" s="1" t="str">
        <f>"NEW ALBANY RD R16 T2 1/4T2 0.830 ACRE"</f>
        <v>NEW ALBANY RD R16 T2 1/4T2 0.830 ACRE</v>
      </c>
      <c r="D7027" s="1">
        <v>58419.21</v>
      </c>
    </row>
    <row r="7028" spans="1:4" x14ac:dyDescent="0.3">
      <c r="A7028" s="1" t="str">
        <f>"07001447800"</f>
        <v>07001447800</v>
      </c>
      <c r="B7028" s="1" t="str">
        <f>"KU KYOSEONG, LEE SONGEUN"</f>
        <v>KU KYOSEONG, LEE SONGEUN</v>
      </c>
      <c r="C7028" s="1" t="str">
        <f>"1620-1624 ZOLLINGER RD CONDOMINIUM UNIT 1624"</f>
        <v>1620-1624 ZOLLINGER RD CONDOMINIUM UNIT 1624</v>
      </c>
      <c r="D7028" s="1">
        <v>280.83</v>
      </c>
    </row>
    <row r="7029" spans="1:4" x14ac:dyDescent="0.3">
      <c r="A7029" s="1" t="str">
        <f>"01029080000"</f>
        <v>01029080000</v>
      </c>
      <c r="B7029" s="1" t="str">
        <f>"KUBIK JOYCE A"</f>
        <v>KUBIK JOYCE A</v>
      </c>
      <c r="C7029" s="1" t="str">
        <f>"VILLAGE AT PRESTON WOODS CONDOS PH XI 11TH AMD BLDG 5 UNIT 5365"</f>
        <v>VILLAGE AT PRESTON WOODS CONDOS PH XI 11TH AMD BLDG 5 UNIT 5365</v>
      </c>
      <c r="D7029" s="1">
        <v>3.3</v>
      </c>
    </row>
    <row r="7030" spans="1:4" x14ac:dyDescent="0.3">
      <c r="A7030" s="1" t="str">
        <f>"61027994900"</f>
        <v>61027994900</v>
      </c>
      <c r="B7030" s="1" t="str">
        <f>"KUCHAN MARY PAT, KUCHAN MARGARET"</f>
        <v>KUCHAN MARY PAT, KUCHAN MARGARET</v>
      </c>
      <c r="C7030" s="1" t="str">
        <f>"1111 BLUFFWAY DRIVE THE LAKES OF WORTHINGTON SECTION 4 LOT 179"</f>
        <v>1111 BLUFFWAY DRIVE THE LAKES OF WORTHINGTON SECTION 4 LOT 179</v>
      </c>
      <c r="D7030" s="1">
        <v>8516.19</v>
      </c>
    </row>
    <row r="7031" spans="1:4" x14ac:dyDescent="0.3">
      <c r="A7031" s="1" t="str">
        <f>"55014350500"</f>
        <v>55014350500</v>
      </c>
      <c r="B7031" s="1" t="str">
        <f>"KUHN JOY C"</f>
        <v>KUHN JOY C</v>
      </c>
      <c r="C7031" s="1" t="str">
        <f>"6709 RED COACH LANE RED FOX HOLLOW 3 LOT 73"</f>
        <v>6709 RED COACH LANE RED FOX HOLLOW 3 LOT 73</v>
      </c>
      <c r="D7031" s="1">
        <v>2042.5</v>
      </c>
    </row>
    <row r="7032" spans="1:4" x14ac:dyDescent="0.3">
      <c r="A7032" s="1" t="str">
        <f>"01006842500"</f>
        <v>01006842500</v>
      </c>
      <c r="B7032" s="1" t="str">
        <f>"KUHN MARK E, KUHN MARY B"</f>
        <v>KUHN MARK E, KUHN MARY B</v>
      </c>
      <c r="C7032" s="1" t="str">
        <f>"693 RACINE AVE WILSHIRE HTS LOT 9"</f>
        <v>693 RACINE AVE WILSHIRE HTS LOT 9</v>
      </c>
      <c r="D7032" s="1">
        <v>79.66</v>
      </c>
    </row>
    <row r="7033" spans="1:4" x14ac:dyDescent="0.3">
      <c r="A7033" s="1" t="str">
        <f>"25000678000"</f>
        <v>25000678000</v>
      </c>
      <c r="B7033" s="1" t="str">
        <f>"KUHNS DANIEL ROSS JR TTEE"</f>
        <v>KUHNS DANIEL ROSS JR TTEE</v>
      </c>
      <c r="C7033" s="1" t="str">
        <f>"LOOK POINT DR WORTHINGTON HILLS 1 LOT 179"</f>
        <v>LOOK POINT DR WORTHINGTON HILLS 1 LOT 179</v>
      </c>
      <c r="D7033" s="1">
        <v>830.58</v>
      </c>
    </row>
    <row r="7034" spans="1:4" x14ac:dyDescent="0.3">
      <c r="A7034" s="1" t="str">
        <f>"07000925400"</f>
        <v>07000925400</v>
      </c>
      <c r="B7034" s="1" t="str">
        <f>"KULASA KIMBERLY M"</f>
        <v>KULASA KIMBERLY M</v>
      </c>
      <c r="C7034" s="1" t="str">
        <f>"3849 LYON DR TURKEY RUN LOT 27"</f>
        <v>3849 LYON DR TURKEY RUN LOT 27</v>
      </c>
      <c r="D7034" s="1">
        <v>511.68</v>
      </c>
    </row>
    <row r="7035" spans="1:4" x14ac:dyDescent="0.3">
      <c r="A7035" s="1" t="str">
        <f>"02500994900"</f>
        <v>02500994900</v>
      </c>
      <c r="B7035" s="1" t="str">
        <f>"KULIS GREGORY W, KULIS CHRISTINE M"</f>
        <v>KULIS GREGORY W, KULIS CHRISTINE M</v>
      </c>
      <c r="C7035" s="1" t="str">
        <f>"HUNTERS GLEN DR HUNTERS RIDGE SEC 12 LOT 745"</f>
        <v>HUNTERS GLEN DR HUNTERS RIDGE SEC 12 LOT 745</v>
      </c>
      <c r="D7035" s="1">
        <v>360.29</v>
      </c>
    </row>
    <row r="7036" spans="1:4" x14ac:dyDescent="0.3">
      <c r="A7036" s="1" t="str">
        <f>"60015364700"</f>
        <v>60015364700</v>
      </c>
      <c r="B7036" s="1" t="str">
        <f>"KUNDTZ LISA M"</f>
        <v>KUNDTZ LISA M</v>
      </c>
      <c r="C7036" s="1" t="str">
        <f>"VALLEYDALE WAY PARKRIDGE VILLAGE LOT 157"</f>
        <v>VALLEYDALE WAY PARKRIDGE VILLAGE LOT 157</v>
      </c>
      <c r="D7036" s="1">
        <v>4172.87</v>
      </c>
    </row>
    <row r="7037" spans="1:4" x14ac:dyDescent="0.3">
      <c r="A7037" s="1" t="str">
        <f>"27301062100"</f>
        <v>27301062100</v>
      </c>
      <c r="B7037" s="1" t="str">
        <f>"KUNKLER GEOFFREY S TR"</f>
        <v>KUNKLER GEOFFREY S TR</v>
      </c>
      <c r="C7037" s="1" t="str">
        <f>"DUBLIN BELLPOINT RD DUBLIN ESTATES 2 LOT 26 &amp; PT LOT 23"</f>
        <v>DUBLIN BELLPOINT RD DUBLIN ESTATES 2 LOT 26 &amp; PT LOT 23</v>
      </c>
      <c r="D7037" s="1">
        <v>12826.63</v>
      </c>
    </row>
    <row r="7038" spans="1:4" x14ac:dyDescent="0.3">
      <c r="A7038" s="1" t="str">
        <f>"01023735500"</f>
        <v>01023735500</v>
      </c>
      <c r="B7038" s="1" t="str">
        <f>"KUNSMAN EDWARD N, KUNSMAN ROY J"</f>
        <v>KUNSMAN EDWARD N, KUNSMAN ROY J</v>
      </c>
      <c r="C7038" s="1" t="str">
        <f>"MCNEILL FARMS EAST CONDOMINIUM 22ND AMD  UNIT 81B"</f>
        <v>MCNEILL FARMS EAST CONDOMINIUM 22ND AMD  UNIT 81B</v>
      </c>
      <c r="D7038" s="1">
        <v>1378.47</v>
      </c>
    </row>
    <row r="7039" spans="1:4" x14ac:dyDescent="0.3">
      <c r="A7039" s="1" t="str">
        <f>"01027913400"</f>
        <v>01027913400</v>
      </c>
      <c r="B7039" s="1" t="str">
        <f>"KUO FAMILY GROUP LLC"</f>
        <v>KUO FAMILY GROUP LLC</v>
      </c>
      <c r="C7039" s="1" t="str">
        <f>"BURNHAM SQUARE CONDOMINIUM UNIT PS-125(PARKING UNIT)"</f>
        <v>BURNHAM SQUARE CONDOMINIUM UNIT PS-125(PARKING UNIT)</v>
      </c>
      <c r="D7039" s="1">
        <v>265.47000000000003</v>
      </c>
    </row>
    <row r="7040" spans="1:4" x14ac:dyDescent="0.3">
      <c r="A7040" s="1" t="str">
        <f>"01001004300"</f>
        <v>01001004300</v>
      </c>
      <c r="B7040" s="1" t="str">
        <f>"KUPANOFF LISA"</f>
        <v>KUPANOFF LISA</v>
      </c>
      <c r="C7040" s="1" t="str">
        <f>"1274 PEARL ST KOCHS SUB 59.7FT WE LOT 9"</f>
        <v>1274 PEARL ST KOCHS SUB 59.7FT WE LOT 9</v>
      </c>
      <c r="D7040" s="1">
        <v>1737.42</v>
      </c>
    </row>
    <row r="7041" spans="1:4" x14ac:dyDescent="0.3">
      <c r="A7041" s="1" t="str">
        <f>"57024299200"</f>
        <v>57024299200</v>
      </c>
      <c r="B7041" s="1" t="str">
        <f>"KUROSKY RANDAL, KUROSKY LISA M"</f>
        <v>KUROSKY RANDAL, KUROSKY LISA M</v>
      </c>
      <c r="C7041" s="1" t="str">
        <f>"RAINSWEPT DRIVE GALLOWAY RIDGE SEC 2 PART 3 LOT 158"</f>
        <v>RAINSWEPT DRIVE GALLOWAY RIDGE SEC 2 PART 3 LOT 158</v>
      </c>
      <c r="D7041" s="1">
        <v>87.51</v>
      </c>
    </row>
    <row r="7042" spans="1:4" x14ac:dyDescent="0.3">
      <c r="A7042" s="1" t="str">
        <f>"01010878200"</f>
        <v>01010878200</v>
      </c>
      <c r="B7042" s="1" t="str">
        <f>"KURT HILL &amp; SON TRUCKING LLC"</f>
        <v>KURT HILL &amp; SON TRUCKING LLC</v>
      </c>
      <c r="C7042" s="1" t="str">
        <f>"WOODLAWN AVE .877 AC LEONARD HR SR17 T11 -4T3 LOT 7-15"</f>
        <v>WOODLAWN AVE .877 AC LEONARD HR SR17 T11 -4T3 LOT 7-15</v>
      </c>
      <c r="D7042" s="1">
        <v>739.01</v>
      </c>
    </row>
    <row r="7043" spans="1:4" x14ac:dyDescent="0.3">
      <c r="A7043" s="1" t="str">
        <f>"01013541700"</f>
        <v>01013541700</v>
      </c>
      <c r="B7043" s="1" t="str">
        <f>"KURTH CATHERINE R"</f>
        <v>KURTH CATHERINE R</v>
      </c>
      <c r="C7043" s="1" t="str">
        <f>"3848 CLEARVIEW AVE GREENFIELD ESTATES LOT 37"</f>
        <v>3848 CLEARVIEW AVE GREENFIELD ESTATES LOT 37</v>
      </c>
      <c r="D7043" s="1">
        <v>3247.3</v>
      </c>
    </row>
    <row r="7044" spans="1:4" x14ac:dyDescent="0.3">
      <c r="A7044" s="1" t="str">
        <f>"01003970600"</f>
        <v>01003970600</v>
      </c>
      <c r="B7044" s="1" t="str">
        <f>"KUSI PHILIP FORDJOUR"</f>
        <v>KUSI PHILIP FORDJOUR</v>
      </c>
      <c r="C7044" s="1" t="str">
        <f>"1425 MT VERNON HORN LOT 1-2"</f>
        <v>1425 MT VERNON HORN LOT 1-2</v>
      </c>
      <c r="D7044" s="1">
        <v>755.78</v>
      </c>
    </row>
    <row r="7045" spans="1:4" x14ac:dyDescent="0.3">
      <c r="A7045" s="1" t="str">
        <f>"01006021700"</f>
        <v>01006021700</v>
      </c>
      <c r="B7045" s="1" t="str">
        <f>"KUSI PHILIP FORDJOUR"</f>
        <v>KUSI PHILIP FORDJOUR</v>
      </c>
      <c r="C7045" s="1" t="str">
        <f>"18TH AVE LOUIS HTS LOT 36"</f>
        <v>18TH AVE LOUIS HTS LOT 36</v>
      </c>
      <c r="D7045" s="1">
        <v>1223.21</v>
      </c>
    </row>
    <row r="7046" spans="1:4" x14ac:dyDescent="0.3">
      <c r="A7046" s="1" t="str">
        <f>"01000678200"</f>
        <v>01000678200</v>
      </c>
      <c r="B7046" s="1" t="str">
        <f>"KUSI PHILIP FORDJOUR"</f>
        <v>KUSI PHILIP FORDJOUR</v>
      </c>
      <c r="C7046" s="1" t="str">
        <f>"216 S TERRACE AVE LANDSCAPE LOT 63"</f>
        <v>216 S TERRACE AVE LANDSCAPE LOT 63</v>
      </c>
      <c r="D7046" s="1">
        <v>1194.5999999999999</v>
      </c>
    </row>
    <row r="7047" spans="1:4" x14ac:dyDescent="0.3">
      <c r="A7047" s="1" t="str">
        <f>"01003416100"</f>
        <v>01003416100</v>
      </c>
      <c r="B7047" s="1" t="str">
        <f>"KUSI-BRYANT REALTY LLC"</f>
        <v>KUSI-BRYANT REALTY LLC</v>
      </c>
      <c r="C7047" s="1" t="str">
        <f>"SULLIVANT AVE MIRIAM LOT 12"</f>
        <v>SULLIVANT AVE MIRIAM LOT 12</v>
      </c>
      <c r="D7047" s="1">
        <v>1788.9</v>
      </c>
    </row>
    <row r="7048" spans="1:4" x14ac:dyDescent="0.3">
      <c r="A7048" s="1" t="str">
        <f>"01007063200"</f>
        <v>01007063200</v>
      </c>
      <c r="B7048" s="1" t="str">
        <f>"KUSKOWSKI MELISSA L"</f>
        <v>KUSKOWSKI MELISSA L</v>
      </c>
      <c r="C7048" s="1" t="str">
        <f>"MYRTLE AVE 1963 MULBUR PK LOT 149"</f>
        <v>MYRTLE AVE 1963 MULBUR PK LOT 149</v>
      </c>
      <c r="D7048" s="1">
        <v>2438.62</v>
      </c>
    </row>
    <row r="7049" spans="1:4" x14ac:dyDescent="0.3">
      <c r="A7049" s="1" t="str">
        <f>"13000473200"</f>
        <v>13000473200</v>
      </c>
      <c r="B7049" s="1" t="str">
        <f>"KUTSCHBACH ROBERT C"</f>
        <v>KUTSCHBACH ROBERT C</v>
      </c>
      <c r="C7049" s="1" t="str">
        <f>"ELMORE AVE 55X193.60 FT ELMORE 357 "</f>
        <v xml:space="preserve">ELMORE AVE 55X193.60 FT ELMORE 357 </v>
      </c>
      <c r="D7049" s="1">
        <v>811.05</v>
      </c>
    </row>
    <row r="7050" spans="1:4" x14ac:dyDescent="0.3">
      <c r="A7050" s="1" t="str">
        <f>"01001976400"</f>
        <v>01001976400</v>
      </c>
      <c r="B7050" s="1" t="str">
        <f>"KUTSCHBACH ROBERT C"</f>
        <v>KUTSCHBACH ROBERT C</v>
      </c>
      <c r="C7050" s="1" t="str">
        <f>"894 THOMAS AVE OSBORN PLACE LOT 334"</f>
        <v>894 THOMAS AVE OSBORN PLACE LOT 334</v>
      </c>
      <c r="D7050" s="1">
        <v>860.15</v>
      </c>
    </row>
    <row r="7051" spans="1:4" x14ac:dyDescent="0.3">
      <c r="A7051" s="1" t="str">
        <f>"01007775500"</f>
        <v>01007775500</v>
      </c>
      <c r="B7051" s="1" t="str">
        <f>"KUTSCHBACH ROBERT C"</f>
        <v>KUTSCHBACH ROBERT C</v>
      </c>
      <c r="C7051" s="1" t="str">
        <f>"2811 HOWEY RD SUNNYSIDE LOT 691"</f>
        <v>2811 HOWEY RD SUNNYSIDE LOT 691</v>
      </c>
      <c r="D7051" s="1">
        <v>645.99</v>
      </c>
    </row>
    <row r="7052" spans="1:4" x14ac:dyDescent="0.3">
      <c r="A7052" s="1" t="str">
        <f>"09000391300"</f>
        <v>09000391300</v>
      </c>
      <c r="B7052" s="1" t="str">
        <f>"KVA ENTERPRISES LLC"</f>
        <v>KVA ENTERPRISES LLC</v>
      </c>
      <c r="C7052" s="1" t="str">
        <f>"739 WESTPHAL AVE GLENCOE LOT 117"</f>
        <v>739 WESTPHAL AVE GLENCOE LOT 117</v>
      </c>
      <c r="D7052" s="1">
        <v>99.34</v>
      </c>
    </row>
    <row r="7053" spans="1:4" x14ac:dyDescent="0.3">
      <c r="A7053" s="1" t="str">
        <f>"01009565400"</f>
        <v>01009565400</v>
      </c>
      <c r="B7053" s="1" t="str">
        <f>"KVA ENTERPRISES LLC"</f>
        <v>KVA ENTERPRISES LLC</v>
      </c>
      <c r="C7053" s="1" t="str">
        <f>"HAMPTON RD RESUB PT MAYFAIR &amp; PT MAYFAIR AMD LOT 304"</f>
        <v>HAMPTON RD RESUB PT MAYFAIR &amp; PT MAYFAIR AMD LOT 304</v>
      </c>
      <c r="D7053" s="1">
        <v>115.37</v>
      </c>
    </row>
    <row r="7054" spans="1:4" x14ac:dyDescent="0.3">
      <c r="A7054" s="1" t="str">
        <f>"01008941900"</f>
        <v>01008941900</v>
      </c>
      <c r="B7054" s="1" t="str">
        <f>"KVA ENTERPRISES LLC"</f>
        <v>KVA ENTERPRISES LLC</v>
      </c>
      <c r="C7054" s="1" t="str">
        <f>"WEYANTAVE LINCOLNPARK2 LOT 258"</f>
        <v>WEYANTAVE LINCOLNPARK2 LOT 258</v>
      </c>
      <c r="D7054" s="1">
        <v>872.8</v>
      </c>
    </row>
    <row r="7055" spans="1:4" x14ac:dyDescent="0.3">
      <c r="A7055" s="1" t="str">
        <f>"01026163000"</f>
        <v>01026163000</v>
      </c>
      <c r="B7055" s="1" t="str">
        <f>"KWAKYE EDWARD F"</f>
        <v>KWAKYE EDWARD F</v>
      </c>
      <c r="C7055" s="1" t="str">
        <f>"VILLAGE AT SHANNON GREEN S-F HOMES CONDO 2ND AMD HOME DESIGNATION 88"</f>
        <v>VILLAGE AT SHANNON GREEN S-F HOMES CONDO 2ND AMD HOME DESIGNATION 88</v>
      </c>
      <c r="D7055" s="1">
        <v>1894.06</v>
      </c>
    </row>
    <row r="7056" spans="1:4" x14ac:dyDescent="0.3">
      <c r="A7056" s="1" t="str">
        <f>"01001736000"</f>
        <v>01001736000</v>
      </c>
      <c r="B7056" s="1" t="str">
        <f>"KWAN ANITA"</f>
        <v>KWAN ANITA</v>
      </c>
      <c r="C7056" s="1" t="str">
        <f>"1282 WILSON AVE EDGEWOOD ACRES NO 2 LOT 115"</f>
        <v>1282 WILSON AVE EDGEWOOD ACRES NO 2 LOT 115</v>
      </c>
      <c r="D7056" s="1">
        <v>4426.4399999999996</v>
      </c>
    </row>
    <row r="7057" spans="1:4" x14ac:dyDescent="0.3">
      <c r="A7057" s="1" t="str">
        <f>"05000155900"</f>
        <v>05000155900</v>
      </c>
      <c r="B7057" s="1" t="str">
        <f>"KWOK KEMMILY"</f>
        <v>KWOK KEMMILY</v>
      </c>
      <c r="C7057" s="1" t="str">
        <f>"3788 BRADFORD DRIVE COLONIAL LANES LOT 10"</f>
        <v>3788 BRADFORD DRIVE COLONIAL LANES LOT 10</v>
      </c>
      <c r="D7057" s="1">
        <v>218.61</v>
      </c>
    </row>
    <row r="7058" spans="1:4" x14ac:dyDescent="0.3">
      <c r="A7058" s="1" t="str">
        <f>"22100004400"</f>
        <v>22100004400</v>
      </c>
      <c r="B7058" s="1" t="str">
        <f>"KYEES TERRY A, SCHAUB HOLLY E"</f>
        <v>KYEES TERRY A, SCHAUB HOLLY E</v>
      </c>
      <c r="C7058" s="1" t="str">
        <f>"LEE ROAD R16 TWP 2 1/4 TWP2 1.001 ACRES PAR #1"</f>
        <v>LEE ROAD R16 TWP 2 1/4 TWP2 1.001 ACRES PAR #1</v>
      </c>
      <c r="D7058" s="1">
        <v>250.03</v>
      </c>
    </row>
    <row r="7059" spans="1:4" x14ac:dyDescent="0.3">
      <c r="A7059" s="1" t="str">
        <f>"01015436500"</f>
        <v>01015436500</v>
      </c>
      <c r="B7059" s="1" t="str">
        <f>"KYERAA MARTHA"</f>
        <v>KYERAA MARTHA</v>
      </c>
      <c r="C7059" s="1" t="str">
        <f>"JONQUIL ST PARKLEIGH SEC 1 LOT 21"</f>
        <v>JONQUIL ST PARKLEIGH SEC 1 LOT 21</v>
      </c>
      <c r="D7059" s="1">
        <v>1625.1</v>
      </c>
    </row>
    <row r="7060" spans="1:4" x14ac:dyDescent="0.3">
      <c r="A7060" s="1" t="str">
        <f>"01012090300"</f>
        <v>01012090300</v>
      </c>
      <c r="B7060" s="1" t="str">
        <f>"KYLE ELWOOD L"</f>
        <v>KYLE ELWOOD L</v>
      </c>
      <c r="C7060" s="1" t="str">
        <f>"LEE ELLEN PLC HILLGATE 2 LOT 3"</f>
        <v>LEE ELLEN PLC HILLGATE 2 LOT 3</v>
      </c>
      <c r="D7060" s="1">
        <v>78.83</v>
      </c>
    </row>
    <row r="7061" spans="1:4" x14ac:dyDescent="0.3">
      <c r="A7061" s="1" t="str">
        <f>"27301090800"</f>
        <v>27301090800</v>
      </c>
      <c r="B7061" s="1" t="str">
        <f>"KYLE PENNY E, KYLE BLAKE M"</f>
        <v>KYLE PENNY E, KYLE BLAKE M</v>
      </c>
      <c r="C7061" s="1" t="str">
        <f>"WINDSOR DRIVE WESTBURY SECTION 7 LOT 276"</f>
        <v>WINDSOR DRIVE WESTBURY SECTION 7 LOT 276</v>
      </c>
      <c r="D7061" s="1">
        <v>16223.68</v>
      </c>
    </row>
    <row r="7062" spans="1:4" x14ac:dyDescent="0.3">
      <c r="A7062" s="1" t="str">
        <f>"07000417500"</f>
        <v>07000417500</v>
      </c>
      <c r="B7062" s="1" t="str">
        <f>"KYSIM CORP"</f>
        <v>KYSIM CORP</v>
      </c>
      <c r="C7062" s="1" t="str">
        <f>"MOUNTVIEW RD MOUNTVIEW PLACE LOT 1 BLK 223"</f>
        <v>MOUNTVIEW RD MOUNTVIEW PLACE LOT 1 BLK 223</v>
      </c>
      <c r="D7062" s="1">
        <v>8052.79</v>
      </c>
    </row>
    <row r="7063" spans="1:4" x14ac:dyDescent="0.3">
      <c r="A7063" s="1" t="str">
        <f>"01003888400"</f>
        <v>01003888400</v>
      </c>
      <c r="B7063" s="1" t="str">
        <f>"L&amp;L CONSTRUCTION LLC"</f>
        <v>L&amp;L CONSTRUCTION LLC</v>
      </c>
      <c r="C7063" s="1" t="str">
        <f>"505 S HARRIS AVE WICKLOW EX LOT 617"</f>
        <v>505 S HARRIS AVE WICKLOW EX LOT 617</v>
      </c>
      <c r="D7063" s="1">
        <v>1974.08</v>
      </c>
    </row>
    <row r="7064" spans="1:4" x14ac:dyDescent="0.3">
      <c r="A7064" s="1" t="str">
        <f>"01000295000"</f>
        <v>01000295000</v>
      </c>
      <c r="B7064" s="1" t="str">
        <f>"L&amp;N UP ALUM CREEK LLC"</f>
        <v>L&amp;N UP ALUM CREEK LLC</v>
      </c>
      <c r="C7064" s="1" t="str">
        <f>"WREXHAM AVE GLENWOOD ADD LOT 81 (30'X149.95')"</f>
        <v>WREXHAM AVE GLENWOOD ADD LOT 81 (30'X149.95')</v>
      </c>
      <c r="D7064" s="1">
        <v>100.12</v>
      </c>
    </row>
    <row r="7065" spans="1:4" x14ac:dyDescent="0.3">
      <c r="A7065" s="1" t="str">
        <f>"01005606100"</f>
        <v>01005606100</v>
      </c>
      <c r="B7065" s="1" t="str">
        <f>"L&amp;N-UP ALUM CREEK LLC"</f>
        <v>L&amp;N-UP ALUM CREEK LLC</v>
      </c>
      <c r="C7065" s="1" t="str">
        <f>"ACRES .082 PAR 4 BERWICK "</f>
        <v xml:space="preserve">ACRES .082 PAR 4 BERWICK </v>
      </c>
      <c r="D7065" s="1">
        <v>93.05</v>
      </c>
    </row>
    <row r="7066" spans="1:4" x14ac:dyDescent="0.3">
      <c r="A7066" s="1" t="str">
        <f>"01000763300"</f>
        <v>01000763300</v>
      </c>
      <c r="B7066" s="1" t="str">
        <f>"L&amp;N-UP ALUM CREEK LLC"</f>
        <v>L&amp;N-UP ALUM CREEK LLC</v>
      </c>
      <c r="C7066" s="1" t="str">
        <f>"OAK ST E J SWERERS SUB LOTS 4-5"</f>
        <v>OAK ST E J SWERERS SUB LOTS 4-5</v>
      </c>
      <c r="D7066" s="1">
        <v>1045.21</v>
      </c>
    </row>
    <row r="7067" spans="1:4" x14ac:dyDescent="0.3">
      <c r="A7067" s="1" t="str">
        <f>"04000043200"</f>
        <v>04000043200</v>
      </c>
      <c r="B7067" s="1" t="str">
        <f>"LA FLIP AND HOLD"</f>
        <v>LA FLIP AND HOLD</v>
      </c>
      <c r="C7067" s="1" t="str">
        <f>"3652 CONNOR STREET BEULAH SUB LOTS 132-133"</f>
        <v>3652 CONNOR STREET BEULAH SUB LOTS 132-133</v>
      </c>
      <c r="D7067" s="1">
        <v>2224.81</v>
      </c>
    </row>
    <row r="7068" spans="1:4" x14ac:dyDescent="0.3">
      <c r="A7068" s="1" t="str">
        <f>"01011863400"</f>
        <v>01011863400</v>
      </c>
      <c r="B7068" s="1" t="str">
        <f>"LABRIE CHARLES E JR"</f>
        <v>LABRIE CHARLES E JR</v>
      </c>
      <c r="C7068" s="1" t="str">
        <f>"ZETTLER ROAD BEXLEY VIEW ACRES PT LOT 41"</f>
        <v>ZETTLER ROAD BEXLEY VIEW ACRES PT LOT 41</v>
      </c>
      <c r="D7068" s="1">
        <v>257.05</v>
      </c>
    </row>
    <row r="7069" spans="1:4" x14ac:dyDescent="0.3">
      <c r="A7069" s="1" t="str">
        <f>"01009288200"</f>
        <v>01009288200</v>
      </c>
      <c r="B7069" s="1" t="str">
        <f>"LABSON REALTY LLC"</f>
        <v>LABSON REALTY LLC</v>
      </c>
      <c r="C7069" s="1" t="str">
        <f>"NORTHVIEW AVE BEXLEY HTS AMD LOT 70"</f>
        <v>NORTHVIEW AVE BEXLEY HTS AMD LOT 70</v>
      </c>
      <c r="D7069" s="1">
        <v>962.03</v>
      </c>
    </row>
    <row r="7070" spans="1:4" x14ac:dyDescent="0.3">
      <c r="A7070" s="1" t="str">
        <f>"01013529500"</f>
        <v>01013529500</v>
      </c>
      <c r="B7070" s="1" t="str">
        <f>"LACEY WARRICK T JR"</f>
        <v>LACEY WARRICK T JR</v>
      </c>
      <c r="C7070" s="1" t="str">
        <f>"ROXBURY CT RESUB PART OF KENSINGTON"</f>
        <v>ROXBURY CT RESUB PART OF KENSINGTON</v>
      </c>
      <c r="D7070" s="1">
        <v>2366.36</v>
      </c>
    </row>
    <row r="7071" spans="1:4" x14ac:dyDescent="0.3">
      <c r="A7071" s="1" t="str">
        <f>"01008117100"</f>
        <v>01008117100</v>
      </c>
      <c r="B7071" s="1" t="str">
        <f>"LACKEY RICHARD JONATHAN"</f>
        <v>LACKEY RICHARD JONATHAN</v>
      </c>
      <c r="C7071" s="1" t="str">
        <f>"KENLAWN ST KENMORE LOT 9"</f>
        <v>KENLAWN ST KENMORE LOT 9</v>
      </c>
      <c r="D7071" s="1">
        <v>2945.09</v>
      </c>
    </row>
    <row r="7072" spans="1:4" x14ac:dyDescent="0.3">
      <c r="A7072" s="1" t="str">
        <f>"01014837100"</f>
        <v>01014837100</v>
      </c>
      <c r="B7072" s="1" t="str">
        <f>"LADAN LEARNING CENTER LLC"</f>
        <v>LADAN LEARNING CENTER LLC</v>
      </c>
      <c r="C7072" s="1" t="str">
        <f>"6028 CLEVELAND AVE RUCKMOOR LOT 12 "</f>
        <v xml:space="preserve">6028 CLEVELAND AVE RUCKMOOR LOT 12 </v>
      </c>
      <c r="D7072" s="1">
        <v>5872.78</v>
      </c>
    </row>
    <row r="7073" spans="1:4" x14ac:dyDescent="0.3">
      <c r="A7073" s="1" t="str">
        <f>"14000744700"</f>
        <v>14000744700</v>
      </c>
      <c r="B7073" s="1" t="str">
        <f>"LADAN PROPERTIES LLC"</f>
        <v>LADAN PROPERTIES LLC</v>
      </c>
      <c r="C7073" s="1" t="str">
        <f>"FISHER RD REAR ENTRY 1279 0.551 ACRE"</f>
        <v>FISHER RD REAR ENTRY 1279 0.551 ACRE</v>
      </c>
      <c r="D7073" s="1">
        <v>3475.25</v>
      </c>
    </row>
    <row r="7074" spans="1:4" x14ac:dyDescent="0.3">
      <c r="A7074" s="1" t="str">
        <f>"14000321300"</f>
        <v>14000321300</v>
      </c>
      <c r="B7074" s="1" t="str">
        <f>"LADAN PROPERTIES LLC"</f>
        <v>LADAN PROPERTIES LLC</v>
      </c>
      <c r="C7074" s="1" t="str">
        <f>"3079 FISHER RD ENTRY 1279 0.2087 ACRE"</f>
        <v>3079 FISHER RD ENTRY 1279 0.2087 ACRE</v>
      </c>
      <c r="D7074" s="1">
        <v>9048.82</v>
      </c>
    </row>
    <row r="7075" spans="1:4" x14ac:dyDescent="0.3">
      <c r="A7075" s="1" t="str">
        <f>"14000493100"</f>
        <v>14000493100</v>
      </c>
      <c r="B7075" s="1" t="str">
        <f>"LADAN PROPERTIES LLC"</f>
        <v>LADAN PROPERTIES LLC</v>
      </c>
      <c r="C7075" s="1" t="str">
        <f>"3085 FISHER RD ENTRY 1279 0.2687 ACRE"</f>
        <v>3085 FISHER RD ENTRY 1279 0.2687 ACRE</v>
      </c>
      <c r="D7075" s="1">
        <v>2645.09</v>
      </c>
    </row>
    <row r="7076" spans="1:4" x14ac:dyDescent="0.3">
      <c r="A7076" s="1" t="str">
        <f>"01002924000"</f>
        <v>01002924000</v>
      </c>
      <c r="B7076" s="1" t="str">
        <f>"LADO RENTALS LTD"</f>
        <v>LADO RENTALS LTD</v>
      </c>
      <c r="C7076" s="1" t="str">
        <f>"701-703 FREBIS AVE W MERION EXRS LOT 186-187"</f>
        <v>701-703 FREBIS AVE W MERION EXRS LOT 186-187</v>
      </c>
      <c r="D7076" s="1">
        <v>2800.77</v>
      </c>
    </row>
    <row r="7077" spans="1:4" x14ac:dyDescent="0.3">
      <c r="A7077" s="1" t="str">
        <f>"01016384000"</f>
        <v>01016384000</v>
      </c>
      <c r="B7077" s="1" t="str">
        <f>"LAFLEUR MARSHA J"</f>
        <v>LAFLEUR MARSHA J</v>
      </c>
      <c r="C7077" s="1" t="str">
        <f>"COLONY HILL CONDOMINIUM SEC ONE BLDG 4 UNIT 13"</f>
        <v>COLONY HILL CONDOMINIUM SEC ONE BLDG 4 UNIT 13</v>
      </c>
      <c r="D7077" s="1">
        <v>254.17</v>
      </c>
    </row>
    <row r="7078" spans="1:4" x14ac:dyDescent="0.3">
      <c r="A7078" s="1" t="str">
        <f>"56023935900"</f>
        <v>56023935900</v>
      </c>
      <c r="B7078" s="1" t="str">
        <f>"LAFOGIANNIS VASILIKI"</f>
        <v>LAFOGIANNIS VASILIKI</v>
      </c>
      <c r="C7078" s="1" t="str">
        <f>"MESA DRIVE WESTERN LAKES EAST SECTION 1 LOT 26"</f>
        <v>MESA DRIVE WESTERN LAKES EAST SECTION 1 LOT 26</v>
      </c>
      <c r="D7078" s="1">
        <v>173.89</v>
      </c>
    </row>
    <row r="7079" spans="1:4" x14ac:dyDescent="0.3">
      <c r="A7079" s="1" t="str">
        <f>"01010358300"</f>
        <v>01010358300</v>
      </c>
      <c r="B7079" s="1" t="str">
        <f>"LAFOLLETTE JOHN F, LAFOLLETTE SANDRA K"</f>
        <v>LAFOLLETTE JOHN F, LAFOLLETTE SANDRA K</v>
      </c>
      <c r="C7079" s="1" t="str">
        <f>"GLENMAWR AVE BABY FARMS LOT 243 &amp; N 1/2 LOT 242"</f>
        <v>GLENMAWR AVE BABY FARMS LOT 243 &amp; N 1/2 LOT 242</v>
      </c>
      <c r="D7079" s="1">
        <v>609.52</v>
      </c>
    </row>
    <row r="7080" spans="1:4" x14ac:dyDescent="0.3">
      <c r="A7080" s="1" t="str">
        <f>"01007836200"</f>
        <v>01007836200</v>
      </c>
      <c r="B7080" s="1" t="str">
        <f>"LAFOLLETTE RONALD A"</f>
        <v>LAFOLLETTE RONALD A</v>
      </c>
      <c r="C7080" s="1" t="str">
        <f>"N KELLNER RD EASTVALE LOT 29"</f>
        <v>N KELLNER RD EASTVALE LOT 29</v>
      </c>
      <c r="D7080" s="1">
        <v>928.11</v>
      </c>
    </row>
    <row r="7081" spans="1:4" x14ac:dyDescent="0.3">
      <c r="A7081" s="1" t="str">
        <f>"60020682200"</f>
        <v>60020682200</v>
      </c>
      <c r="B7081" s="1" t="str">
        <f>"LAFYATIS LINDA A TTEE"</f>
        <v>LAFYATIS LINDA A TTEE</v>
      </c>
      <c r="C7081" s="1" t="str">
        <f>"BERRYBUSH DRIVE STRAWBERRY FIELDS LOT 50"</f>
        <v>BERRYBUSH DRIVE STRAWBERRY FIELDS LOT 50</v>
      </c>
      <c r="D7081" s="1">
        <v>1263.3</v>
      </c>
    </row>
    <row r="7082" spans="1:4" x14ac:dyDescent="0.3">
      <c r="A7082" s="1" t="str">
        <f>"01026320000"</f>
        <v>01026320000</v>
      </c>
      <c r="B7082" s="1" t="str">
        <f>"LAGERGREN-BALL LLC"</f>
        <v>LAGERGREN-BALL LLC</v>
      </c>
      <c r="C7082" s="1" t="str">
        <f>"2505 FAIRWOOD AVE R22 T4 S2 1.018 ACRES"</f>
        <v>2505 FAIRWOOD AVE R22 T4 S2 1.018 ACRES</v>
      </c>
      <c r="D7082" s="1">
        <v>9500.4</v>
      </c>
    </row>
    <row r="7083" spans="1:4" x14ac:dyDescent="0.3">
      <c r="A7083" s="1" t="str">
        <f>"07000992200"</f>
        <v>07000992200</v>
      </c>
      <c r="B7083" s="1" t="str">
        <f>"LAGOS EUGENIA B"</f>
        <v>LAGOS EUGENIA B</v>
      </c>
      <c r="C7083" s="1" t="str">
        <f>"3401 BARONSMEDGE CT WESTWOOD ACRES EXT 1 167"</f>
        <v>3401 BARONSMEDGE CT WESTWOOD ACRES EXT 1 167</v>
      </c>
      <c r="D7083" s="1">
        <v>7263.63</v>
      </c>
    </row>
    <row r="7084" spans="1:4" x14ac:dyDescent="0.3">
      <c r="A7084" s="1" t="str">
        <f>"01011371500"</f>
        <v>01011371500</v>
      </c>
      <c r="B7084" s="1" t="str">
        <f>"LAGUNAS ERMILO, MOORE YAVETTA"</f>
        <v>LAGUNAS ERMILO, MOORE YAVETTA</v>
      </c>
      <c r="C7084" s="1" t="str">
        <f>"2792 BULEN AVE OPPORTUNITY FARMS LOT 84"</f>
        <v>2792 BULEN AVE OPPORTUNITY FARMS LOT 84</v>
      </c>
      <c r="D7084" s="1">
        <v>1887.86</v>
      </c>
    </row>
    <row r="7085" spans="1:4" x14ac:dyDescent="0.3">
      <c r="A7085" s="1" t="str">
        <f>"01011356700"</f>
        <v>01011356700</v>
      </c>
      <c r="B7085" s="1" t="str">
        <f>"LAGUNAS FIDEL"</f>
        <v>LAGUNAS FIDEL</v>
      </c>
      <c r="C7085" s="1" t="str">
        <f>"BETZ RD SOUTH HIGH GARDENS LOT 94"</f>
        <v>BETZ RD SOUTH HIGH GARDENS LOT 94</v>
      </c>
      <c r="D7085" s="1">
        <v>889.47</v>
      </c>
    </row>
    <row r="7086" spans="1:4" x14ac:dyDescent="0.3">
      <c r="A7086" s="1" t="str">
        <f>"01012523100"</f>
        <v>01012523100</v>
      </c>
      <c r="B7086" s="1" t="str">
        <f>"LAGUNAS FIDEL"</f>
        <v>LAGUNAS FIDEL</v>
      </c>
      <c r="C7086" s="1" t="str">
        <f>"SOUTHFIELD B LOT 36 "</f>
        <v xml:space="preserve">SOUTHFIELD B LOT 36 </v>
      </c>
      <c r="D7086" s="1">
        <v>857.2</v>
      </c>
    </row>
    <row r="7087" spans="1:4" x14ac:dyDescent="0.3">
      <c r="A7087" s="1" t="str">
        <f>"01011915100"</f>
        <v>01011915100</v>
      </c>
      <c r="B7087" s="1" t="str">
        <f>"LAGUNAS FIDEL"</f>
        <v>LAGUNAS FIDEL</v>
      </c>
      <c r="C7087" s="1" t="str">
        <f>"GROVEWOOD DR SOUTHFIELD LOT 175"</f>
        <v>GROVEWOOD DR SOUTHFIELD LOT 175</v>
      </c>
      <c r="D7087" s="1">
        <v>939.64</v>
      </c>
    </row>
    <row r="7088" spans="1:4" x14ac:dyDescent="0.3">
      <c r="A7088" s="1" t="str">
        <f>"01001546200"</f>
        <v>01001546200</v>
      </c>
      <c r="B7088" s="1" t="str">
        <f>"LAGUNAS JOSE"</f>
        <v>LAGUNAS JOSE</v>
      </c>
      <c r="C7088" s="1" t="str">
        <f>"960 FAIRWOOD AVE LIV WHITTIER GDNS LOT 3-31"</f>
        <v>960 FAIRWOOD AVE LIV WHITTIER GDNS LOT 3-31</v>
      </c>
      <c r="D7088" s="1">
        <v>3063.1</v>
      </c>
    </row>
    <row r="7089" spans="1:4" x14ac:dyDescent="0.3">
      <c r="A7089" s="1" t="str">
        <f>"01000254400"</f>
        <v>01000254400</v>
      </c>
      <c r="B7089" s="1" t="str">
        <f>"LAGUNAS JOSE"</f>
        <v>LAGUNAS JOSE</v>
      </c>
      <c r="C7089" s="1" t="str">
        <f>"1532 THOMAS AVE PORTERS PARCELS LOT 78"</f>
        <v>1532 THOMAS AVE PORTERS PARCELS LOT 78</v>
      </c>
      <c r="D7089" s="1">
        <v>2297.7800000000002</v>
      </c>
    </row>
    <row r="7090" spans="1:4" x14ac:dyDescent="0.3">
      <c r="A7090" s="1" t="str">
        <f>"01011287800"</f>
        <v>01011287800</v>
      </c>
      <c r="B7090" s="1" t="str">
        <f>"LAGUNAS JOSE"</f>
        <v>LAGUNAS JOSE</v>
      </c>
      <c r="C7090" s="1" t="str">
        <f>"EVERGREEN RD W1/2 M J MCDOWELLS GREEN ACRES LOT 9"</f>
        <v>EVERGREEN RD W1/2 M J MCDOWELLS GREEN ACRES LOT 9</v>
      </c>
      <c r="D7090" s="1">
        <v>1013.06</v>
      </c>
    </row>
    <row r="7091" spans="1:4" x14ac:dyDescent="0.3">
      <c r="A7091" s="1" t="str">
        <f>"01000663600"</f>
        <v>01000663600</v>
      </c>
      <c r="B7091" s="1" t="str">
        <f>"LAGUNAS JOSE"</f>
        <v>LAGUNAS JOSE</v>
      </c>
      <c r="C7091" s="1" t="str">
        <f>"584 HANFORD ST PHILIP SCHMITTS 3RD SUB LOT 89"</f>
        <v>584 HANFORD ST PHILIP SCHMITTS 3RD SUB LOT 89</v>
      </c>
      <c r="D7091" s="1">
        <v>4376.78</v>
      </c>
    </row>
    <row r="7092" spans="1:4" x14ac:dyDescent="0.3">
      <c r="A7092" s="1" t="str">
        <f>"01011600700"</f>
        <v>01011600700</v>
      </c>
      <c r="B7092" s="1" t="str">
        <f>"LAHMANN CHRISTOPHER"</f>
        <v>LAHMANN CHRISTOPHER</v>
      </c>
      <c r="C7092" s="1" t="str">
        <f>"941-43 LAWRENCE DR ACRES .250 R22 T5 S27-40"</f>
        <v>941-43 LAWRENCE DR ACRES .250 R22 T5 S27-40</v>
      </c>
      <c r="D7092" s="1">
        <v>1725.85</v>
      </c>
    </row>
    <row r="7093" spans="1:4" x14ac:dyDescent="0.3">
      <c r="A7093" s="1" t="str">
        <f>"08001037800"</f>
        <v>08001037800</v>
      </c>
      <c r="B7093" s="1" t="str">
        <f>"LAIDLAW DONNA K TTEE, KIMMELL CHRISTINA L TTEE, LAIDLAW W SCOTT TTEE"</f>
        <v>LAIDLAW DONNA K TTEE, KIMMELL CHRISTINA L TTEE, LAIDLAW W SCOTT TTEE</v>
      </c>
      <c r="C7093" s="1" t="str">
        <f>"THE VILLAGE AT WESTBURY SECTION 2 LOT 111"</f>
        <v>THE VILLAGE AT WESTBURY SECTION 2 LOT 111</v>
      </c>
      <c r="D7093" s="1">
        <v>4739.9399999999996</v>
      </c>
    </row>
    <row r="7094" spans="1:4" x14ac:dyDescent="0.3">
      <c r="A7094" s="1" t="str">
        <f>"61017568900"</f>
        <v>61017568900</v>
      </c>
      <c r="B7094" s="1" t="str">
        <f>"LAIRD KAREN C"</f>
        <v>LAIRD KAREN C</v>
      </c>
      <c r="C7094" s="1" t="str">
        <f>"YATES POINT CT WORTHINGROW ESTATES LOT 17"</f>
        <v>YATES POINT CT WORTHINGROW ESTATES LOT 17</v>
      </c>
      <c r="D7094" s="1">
        <v>332.32</v>
      </c>
    </row>
    <row r="7095" spans="1:4" x14ac:dyDescent="0.3">
      <c r="A7095" s="1" t="str">
        <f>"01015698700"</f>
        <v>01015698700</v>
      </c>
      <c r="B7095" s="1" t="str">
        <f>"LAK HAL MOHAMMED"</f>
        <v>LAK HAL MOHAMMED</v>
      </c>
      <c r="C7095" s="1" t="str">
        <f>"DEEWOOD DRIVE GRANVILLE MANOR N SEC 3 LOT 195"</f>
        <v>DEEWOOD DRIVE GRANVILLE MANOR N SEC 3 LOT 195</v>
      </c>
      <c r="D7095" s="1">
        <v>124.62</v>
      </c>
    </row>
    <row r="7096" spans="1:4" x14ac:dyDescent="0.3">
      <c r="A7096" s="1" t="str">
        <f>"01010124300"</f>
        <v>01010124300</v>
      </c>
      <c r="B7096" s="1" t="str">
        <f>"LAKE KAREN P, FRANCIS BEVERLY A"</f>
        <v>LAKE KAREN P, FRANCIS BEVERLY A</v>
      </c>
      <c r="C7096" s="1" t="str">
        <f>"BERWICK MANOR LOT 297 "</f>
        <v xml:space="preserve">BERWICK MANOR LOT 297 </v>
      </c>
      <c r="D7096" s="1">
        <v>1317.24</v>
      </c>
    </row>
    <row r="7097" spans="1:4" x14ac:dyDescent="0.3">
      <c r="A7097" s="1" t="str">
        <f>"24100051200"</f>
        <v>24100051200</v>
      </c>
      <c r="B7097" s="1" t="str">
        <f>"LAKE KENNETH R, HARDINGER JAWN L"</f>
        <v>LAKE KENNETH R, HARDINGER JAWN L</v>
      </c>
      <c r="C7097" s="1" t="str">
        <f>"CANOE DRIVE LAKE DARBY ESTATES 2 LOT 578"</f>
        <v>CANOE DRIVE LAKE DARBY ESTATES 2 LOT 578</v>
      </c>
      <c r="D7097" s="1">
        <v>2779.3</v>
      </c>
    </row>
    <row r="7098" spans="1:4" x14ac:dyDescent="0.3">
      <c r="A7098" s="1" t="str">
        <f>"56026787400"</f>
        <v>56026787400</v>
      </c>
      <c r="B7098" s="1" t="str">
        <f>"LAKEWOOD AT DARBY HOMEOWNERS ASSO INC"</f>
        <v>LAKEWOOD AT DARBY HOMEOWNERS ASSO INC</v>
      </c>
      <c r="C7098" s="1" t="s">
        <v>15</v>
      </c>
      <c r="D7098" s="1">
        <v>302.52</v>
      </c>
    </row>
    <row r="7099" spans="1:4" x14ac:dyDescent="0.3">
      <c r="A7099" s="1" t="str">
        <f>"05000938100"</f>
        <v>05000938100</v>
      </c>
      <c r="B7099" s="1" t="str">
        <f>"LAKEWOOD AT DARBY HOMEOWNERS ASSOC INC"</f>
        <v>LAKEWOOD AT DARBY HOMEOWNERS ASSOC INC</v>
      </c>
      <c r="C7099" s="1" t="s">
        <v>1</v>
      </c>
      <c r="D7099" s="1">
        <v>358.22</v>
      </c>
    </row>
    <row r="7100" spans="1:4" x14ac:dyDescent="0.3">
      <c r="A7100" s="1" t="str">
        <f>"05000919200"</f>
        <v>05000919200</v>
      </c>
      <c r="B7100" s="1" t="str">
        <f>"LAKEWOOD AT DARBY HOMEOWNERS ASSOC INC"</f>
        <v>LAKEWOOD AT DARBY HOMEOWNERS ASSOC INC</v>
      </c>
      <c r="C7100" s="1" t="s">
        <v>2</v>
      </c>
      <c r="D7100" s="1">
        <v>358.22</v>
      </c>
    </row>
    <row r="7101" spans="1:4" x14ac:dyDescent="0.3">
      <c r="A7101" s="1" t="str">
        <f>"05000938200"</f>
        <v>05000938200</v>
      </c>
      <c r="B7101" s="1" t="str">
        <f>"LAKEWOOD AT DARBY HOMEOWNERS ASSOC INC"</f>
        <v>LAKEWOOD AT DARBY HOMEOWNERS ASSOC INC</v>
      </c>
      <c r="C7101" s="1" t="s">
        <v>3</v>
      </c>
      <c r="D7101" s="1">
        <v>358.22</v>
      </c>
    </row>
    <row r="7102" spans="1:4" x14ac:dyDescent="0.3">
      <c r="A7102" s="1" t="str">
        <f>"05000919400"</f>
        <v>05000919400</v>
      </c>
      <c r="B7102" s="1" t="str">
        <f>"LAKEWOOD AT DARBY HOMEOWNERS ASSOC INC"</f>
        <v>LAKEWOOD AT DARBY HOMEOWNERS ASSOC INC</v>
      </c>
      <c r="C7102" s="1" t="s">
        <v>4</v>
      </c>
      <c r="D7102" s="1">
        <v>358.22</v>
      </c>
    </row>
    <row r="7103" spans="1:4" x14ac:dyDescent="0.3">
      <c r="A7103" s="1" t="str">
        <f>"05000952300"</f>
        <v>05000952300</v>
      </c>
      <c r="B7103" s="1" t="str">
        <f>"LAKEWOOD AT DARBY HOMEOWNERS ASSOC INC"</f>
        <v>LAKEWOOD AT DARBY HOMEOWNERS ASSOC INC</v>
      </c>
      <c r="C7103" s="1" t="s">
        <v>18</v>
      </c>
      <c r="D7103" s="1">
        <v>358.22</v>
      </c>
    </row>
    <row r="7104" spans="1:4" x14ac:dyDescent="0.3">
      <c r="A7104" s="1" t="str">
        <f>"05000919100"</f>
        <v>05000919100</v>
      </c>
      <c r="B7104" s="1" t="str">
        <f>"LAKEWOOD AT DARBY HOMEOWNERS ASSOC INC"</f>
        <v>LAKEWOOD AT DARBY HOMEOWNERS ASSOC INC</v>
      </c>
      <c r="C7104" s="1" t="s">
        <v>19</v>
      </c>
      <c r="D7104" s="1">
        <v>358.22</v>
      </c>
    </row>
    <row r="7105" spans="1:4" x14ac:dyDescent="0.3">
      <c r="A7105" s="1" t="str">
        <f>"05000919300"</f>
        <v>05000919300</v>
      </c>
      <c r="B7105" s="1" t="str">
        <f>"LAKEWOOD AT DARBY HOMEOWNERS ASSOC INC"</f>
        <v>LAKEWOOD AT DARBY HOMEOWNERS ASSOC INC</v>
      </c>
      <c r="C7105" s="1" t="s">
        <v>20</v>
      </c>
      <c r="D7105" s="1">
        <v>36.200000000000003</v>
      </c>
    </row>
    <row r="7106" spans="1:4" x14ac:dyDescent="0.3">
      <c r="A7106" s="1" t="str">
        <f>"01011702100"</f>
        <v>01011702100</v>
      </c>
      <c r="B7106" s="1" t="str">
        <f>"LAKHANI SANGEETA"</f>
        <v>LAKHANI SANGEETA</v>
      </c>
      <c r="C7106" s="1" t="str">
        <f>"1047 AFTON ROAD CRANFORD SUBD LOT 108"</f>
        <v>1047 AFTON ROAD CRANFORD SUBD LOT 108</v>
      </c>
      <c r="D7106" s="1">
        <v>2499.27</v>
      </c>
    </row>
    <row r="7107" spans="1:4" x14ac:dyDescent="0.3">
      <c r="A7107" s="1" t="str">
        <f>"01006495800"</f>
        <v>01006495800</v>
      </c>
      <c r="B7107" s="1" t="str">
        <f>"LALLA GLEN D"</f>
        <v>LALLA GLEN D</v>
      </c>
      <c r="C7107" s="1" t="str">
        <f>"2268 RIDGEWAY AVE SHEPARD &amp; CALLENDER LOT 4"</f>
        <v>2268 RIDGEWAY AVE SHEPARD &amp; CALLENDER LOT 4</v>
      </c>
      <c r="D7107" s="1">
        <v>1813.86</v>
      </c>
    </row>
    <row r="7108" spans="1:4" x14ac:dyDescent="0.3">
      <c r="A7108" s="1" t="str">
        <f>"06000622600"</f>
        <v>06000622600</v>
      </c>
      <c r="B7108" s="1" t="str">
        <f>"LALLA YASIR TTEE"</f>
        <v>LALLA YASIR TTEE</v>
      </c>
      <c r="C7108" s="1" t="str">
        <f>"BARCELONA SQUARE CON UNIT 6586 BLDG 8 "</f>
        <v xml:space="preserve">BARCELONA SQUARE CON UNIT 6586 BLDG 8 </v>
      </c>
      <c r="D7108" s="1">
        <v>1586.93</v>
      </c>
    </row>
    <row r="7109" spans="1:4" x14ac:dyDescent="0.3">
      <c r="A7109" s="1" t="str">
        <f>"12000033800"</f>
        <v>12000033800</v>
      </c>
      <c r="B7109" s="1" t="str">
        <f>"LALLY ACRES LLC"</f>
        <v>LALLY ACRES LLC</v>
      </c>
      <c r="C7109" s="1" t="str">
        <f>"4561 ELLIOTT ROAD ELLIOT PIKE ACRES 18.231 ACRES"</f>
        <v>4561 ELLIOTT ROAD ELLIOT PIKE ACRES 18.231 ACRES</v>
      </c>
      <c r="D7109" s="1">
        <v>61.91</v>
      </c>
    </row>
    <row r="7110" spans="1:4" x14ac:dyDescent="0.3">
      <c r="A7110" s="1" t="str">
        <f>"01012999000"</f>
        <v>01012999000</v>
      </c>
      <c r="B7110" s="1" t="str">
        <f>"LAM EL HADJI"</f>
        <v>LAM EL HADJI</v>
      </c>
      <c r="C7110" s="1" t="str">
        <f>"BOXWOOD DR FOREST PARK LOT 49"</f>
        <v>BOXWOOD DR FOREST PARK LOT 49</v>
      </c>
      <c r="D7110" s="1">
        <v>1989.74</v>
      </c>
    </row>
    <row r="7111" spans="1:4" x14ac:dyDescent="0.3">
      <c r="A7111" s="1" t="str">
        <f>"08000210800"</f>
        <v>08000210800</v>
      </c>
      <c r="B7111" s="1" t="str">
        <f>"LAMAR HOLDINGS LLC"</f>
        <v>LAMAR HOLDINGS LLC</v>
      </c>
      <c r="C7111" s="1" t="str">
        <f>"22 ELECTRIC AVE SOUTHVIEW 3"</f>
        <v>22 ELECTRIC AVE SOUTHVIEW 3</v>
      </c>
      <c r="D7111" s="1">
        <v>2813.09</v>
      </c>
    </row>
    <row r="7112" spans="1:4" x14ac:dyDescent="0.3">
      <c r="A7112" s="1" t="str">
        <f>"04000330900"</f>
        <v>04000330900</v>
      </c>
      <c r="B7112" s="1" t="str">
        <f>"LAMBERT GEORGIA A TR"</f>
        <v>LAMBERT GEORGIA A TR</v>
      </c>
      <c r="C7112" s="1" t="str">
        <f>"3950-952 LAROSA DR MONTEREY PARK LOT 7 "</f>
        <v xml:space="preserve">3950-952 LAROSA DR MONTEREY PARK LOT 7 </v>
      </c>
      <c r="D7112" s="1">
        <v>2324.73</v>
      </c>
    </row>
    <row r="7113" spans="1:4" x14ac:dyDescent="0.3">
      <c r="A7113" s="1" t="str">
        <f>"24000064600"</f>
        <v>24000064600</v>
      </c>
      <c r="B7113" s="1" t="str">
        <f>"LAMBERT JOHNNY L"</f>
        <v>LAMBERT JOHNNY L</v>
      </c>
      <c r="C7113" s="1" t="str">
        <f>"NATIONAL PK LITTLE FARMS AMD LOT 389"</f>
        <v>NATIONAL PK LITTLE FARMS AMD LOT 389</v>
      </c>
      <c r="D7113" s="1">
        <v>1844.43</v>
      </c>
    </row>
    <row r="7114" spans="1:4" x14ac:dyDescent="0.3">
      <c r="A7114" s="1" t="str">
        <f>"01002199400"</f>
        <v>01002199400</v>
      </c>
      <c r="B7114" s="1" t="str">
        <f>"LAMBERT ROBERT A"</f>
        <v>LAMBERT ROBERT A</v>
      </c>
      <c r="C7114" s="1" t="str">
        <f>"446 S CENTRAL AVE MONETTS CENTRAL AVE ADD    LOT 16"</f>
        <v>446 S CENTRAL AVE MONETTS CENTRAL AVE ADD    LOT 16</v>
      </c>
      <c r="D7114" s="1">
        <v>256.93</v>
      </c>
    </row>
    <row r="7115" spans="1:4" x14ac:dyDescent="0.3">
      <c r="A7115" s="1" t="str">
        <f>"01003037700"</f>
        <v>01003037700</v>
      </c>
      <c r="B7115" s="1" t="str">
        <f>"LAMBERT ROBERT A"</f>
        <v>LAMBERT ROBERT A</v>
      </c>
      <c r="C7115" s="1" t="str">
        <f>"BREHL AVE CENTRAL AVE LOT 52"</f>
        <v>BREHL AVE CENTRAL AVE LOT 52</v>
      </c>
      <c r="D7115" s="1">
        <v>165.61</v>
      </c>
    </row>
    <row r="7116" spans="1:4" x14ac:dyDescent="0.3">
      <c r="A7116" s="1" t="str">
        <f>"01003446600"</f>
        <v>01003446600</v>
      </c>
      <c r="B7116" s="1" t="str">
        <f>"LAMBERT ROBERT A"</f>
        <v>LAMBERT ROBERT A</v>
      </c>
      <c r="C7116" s="1" t="str">
        <f>"429 BREHL AVE MONETTS CENTRAL AVE LOT 51"</f>
        <v>429 BREHL AVE MONETTS CENTRAL AVE LOT 51</v>
      </c>
      <c r="D7116" s="1">
        <v>1223.21</v>
      </c>
    </row>
    <row r="7117" spans="1:4" x14ac:dyDescent="0.3">
      <c r="A7117" s="1" t="str">
        <f>"01003446700"</f>
        <v>01003446700</v>
      </c>
      <c r="B7117" s="1" t="str">
        <f>"LAMBERT ROBERT A"</f>
        <v>LAMBERT ROBERT A</v>
      </c>
      <c r="C7117" s="1" t="str">
        <f>"439 BREHL AVE MONETTS CENTRAL AVE LOT 53"</f>
        <v>439 BREHL AVE MONETTS CENTRAL AVE LOT 53</v>
      </c>
      <c r="D7117" s="1">
        <v>157.53</v>
      </c>
    </row>
    <row r="7118" spans="1:4" x14ac:dyDescent="0.3">
      <c r="A7118" s="1" t="str">
        <f>"01003446800"</f>
        <v>01003446800</v>
      </c>
      <c r="B7118" s="1" t="str">
        <f>"LAMBERT ROBERT A"</f>
        <v>LAMBERT ROBERT A</v>
      </c>
      <c r="C7118" s="1" t="str">
        <f>"443 BREHL AVE MONETTS CENTRAL AVE LOT 54"</f>
        <v>443 BREHL AVE MONETTS CENTRAL AVE LOT 54</v>
      </c>
      <c r="D7118" s="1">
        <v>158.77000000000001</v>
      </c>
    </row>
    <row r="7119" spans="1:4" x14ac:dyDescent="0.3">
      <c r="A7119" s="1" t="str">
        <f>"01005018700"</f>
        <v>01005018700</v>
      </c>
      <c r="B7119" s="1" t="str">
        <f>"LAMBERT ROBERT A"</f>
        <v>LAMBERT ROBERT A</v>
      </c>
      <c r="C7119" s="1" t="str">
        <f>"457 HOLTON AVE HAMILTON PLACE LOTS 234-236"</f>
        <v>457 HOLTON AVE HAMILTON PLACE LOTS 234-236</v>
      </c>
      <c r="D7119" s="1">
        <v>1140.79</v>
      </c>
    </row>
    <row r="7120" spans="1:4" x14ac:dyDescent="0.3">
      <c r="A7120" s="1" t="str">
        <f>"01002647300"</f>
        <v>01002647300</v>
      </c>
      <c r="B7120" s="1" t="str">
        <f>"LAMBERT ROBERT A"</f>
        <v>LAMBERT ROBERT A</v>
      </c>
      <c r="C7120" s="1" t="str">
        <f>"444 S CENTRAL CENTRAL AVE LOTS 17 &amp; 18"</f>
        <v>444 S CENTRAL CENTRAL AVE LOTS 17 &amp; 18</v>
      </c>
      <c r="D7120" s="1">
        <v>1254.52</v>
      </c>
    </row>
    <row r="7121" spans="1:4" x14ac:dyDescent="0.3">
      <c r="A7121" s="1" t="str">
        <f>"01003301000"</f>
        <v>01003301000</v>
      </c>
      <c r="B7121" s="1" t="str">
        <f>"LAMBERT ROBERT A"</f>
        <v>LAMBERT ROBERT A</v>
      </c>
      <c r="C7121" s="1" t="str">
        <f>"924 WILSON AVE AUBURNDALE LOT 175"</f>
        <v>924 WILSON AVE AUBURNDALE LOT 175</v>
      </c>
      <c r="D7121" s="1">
        <v>1770.09</v>
      </c>
    </row>
    <row r="7122" spans="1:4" x14ac:dyDescent="0.3">
      <c r="A7122" s="1" t="str">
        <f>"01013518600"</f>
        <v>01013518600</v>
      </c>
      <c r="B7122" s="1" t="str">
        <f>"LAMBERT RONALD C"</f>
        <v>LAMBERT RONALD C</v>
      </c>
      <c r="C7122" s="1" t="str">
        <f>"BROOKSHIRE SOUTH LOT 217 "</f>
        <v xml:space="preserve">BROOKSHIRE SOUTH LOT 217 </v>
      </c>
      <c r="D7122" s="1">
        <v>1752.53</v>
      </c>
    </row>
    <row r="7123" spans="1:4" x14ac:dyDescent="0.3">
      <c r="A7123" s="1" t="str">
        <f>"06000798400"</f>
        <v>06000798400</v>
      </c>
      <c r="B7123" s="1" t="str">
        <f>"LAMGADEY ASMITA, JARKARMI ASHOK, GAJAMER AITA S, JARKAMI ANITA"</f>
        <v>LAMGADEY ASMITA, JARKARMI ASHOK, GAJAMER AITA S, JARKAMI ANITA</v>
      </c>
      <c r="C7123" s="1" t="str">
        <f>"CULPEPPER DRIVE WAGGONER HILLS SEC 2 LOT 47"</f>
        <v>CULPEPPER DRIVE WAGGONER HILLS SEC 2 LOT 47</v>
      </c>
      <c r="D7123" s="1">
        <v>339.44</v>
      </c>
    </row>
    <row r="7124" spans="1:4" x14ac:dyDescent="0.3">
      <c r="A7124" s="1" t="str">
        <f>"01014029300"</f>
        <v>01014029300</v>
      </c>
      <c r="B7124" s="1" t="str">
        <f>"LAMONTE STEPHANIE S, LAMONTE ROBERT C"</f>
        <v>LAMONTE STEPHANIE S, LAMONTE ROBERT C</v>
      </c>
      <c r="C7124" s="1" t="str">
        <f>"6012 WINSTEAD RD INDIAN HILLS 4 LOT 207"</f>
        <v>6012 WINSTEAD RD INDIAN HILLS 4 LOT 207</v>
      </c>
      <c r="D7124" s="1">
        <v>343.27</v>
      </c>
    </row>
    <row r="7125" spans="1:4" x14ac:dyDescent="0.3">
      <c r="A7125" s="1" t="str">
        <f>"22200531400"</f>
        <v>22200531400</v>
      </c>
      <c r="B7125" s="1" t="str">
        <f>"LAMPKIN ROBIN E"</f>
        <v>LAMPKIN ROBIN E</v>
      </c>
      <c r="C7125" s="1" t="str">
        <f>"WOODHAVEN LOT 23 "</f>
        <v xml:space="preserve">WOODHAVEN LOT 23 </v>
      </c>
      <c r="D7125" s="1">
        <v>4592.97</v>
      </c>
    </row>
    <row r="7126" spans="1:4" x14ac:dyDescent="0.3">
      <c r="A7126" s="1" t="str">
        <f>"10000110700"</f>
        <v>10000110700</v>
      </c>
      <c r="B7126" s="1" t="str">
        <f>"LANDERS MARY M TTEE"</f>
        <v>LANDERS MARY M TTEE</v>
      </c>
      <c r="C7126" s="1" t="str">
        <f>"208 TUCKER DR MEDICK URP R18 T2 1.1864 ACRES"</f>
        <v>208 TUCKER DR MEDICK URP R18 T2 1.1864 ACRES</v>
      </c>
      <c r="D7126" s="1">
        <v>26062.11</v>
      </c>
    </row>
    <row r="7127" spans="1:4" x14ac:dyDescent="0.3">
      <c r="A7127" s="1" t="str">
        <f>"11000060300"</f>
        <v>11000060300</v>
      </c>
      <c r="B7127" s="1" t="str">
        <f>"LANDIS RONALD J, BUCK FREDERICK J, JONES HARRIETT M, LINKHORN ROSE E"</f>
        <v>LANDIS RONALD J, BUCK FREDERICK J, JONES HARRIETT M, LINKHORN ROSE E</v>
      </c>
      <c r="C7127" s="1" t="str">
        <f>"CHESTER RD CLEVELAND HTS 2 185 E 1/2 "</f>
        <v xml:space="preserve">CHESTER RD CLEVELAND HTS 2 185 E 1/2 </v>
      </c>
      <c r="D7127" s="1">
        <v>504.16</v>
      </c>
    </row>
    <row r="7128" spans="1:4" x14ac:dyDescent="0.3">
      <c r="A7128" s="1" t="str">
        <f>"01027771400"</f>
        <v>01027771400</v>
      </c>
      <c r="B7128" s="1" t="str">
        <f>"LANDMARK CANAL WINCHESTER LLC"</f>
        <v>LANDMARK CANAL WINCHESTER LLC</v>
      </c>
      <c r="C7128" s="1" t="str">
        <f>"EBRIGHT RD R21 T11 S15 5.823 ACRES"</f>
        <v>EBRIGHT RD R21 T11 S15 5.823 ACRES</v>
      </c>
      <c r="D7128" s="1">
        <v>100.88</v>
      </c>
    </row>
    <row r="7129" spans="1:4" x14ac:dyDescent="0.3">
      <c r="A7129" s="1" t="str">
        <f>"01028272500"</f>
        <v>01028272500</v>
      </c>
      <c r="B7129" s="1" t="str">
        <f>"LANDMARK CANAL WINCHESTER LLC"</f>
        <v>LANDMARK CANAL WINCHESTER LLC</v>
      </c>
      <c r="C7129" s="1" t="str">
        <f>"BACHMAN DR REAR R21 T11 S15 0.440 ACRE"</f>
        <v>BACHMAN DR REAR R21 T11 S15 0.440 ACRE</v>
      </c>
      <c r="D7129" s="1">
        <v>726.65</v>
      </c>
    </row>
    <row r="7130" spans="1:4" x14ac:dyDescent="0.3">
      <c r="A7130" s="1" t="str">
        <f>"01027771500"</f>
        <v>01027771500</v>
      </c>
      <c r="B7130" s="1" t="str">
        <f>"LANDMARK CANAL WINCHESTER LLC"</f>
        <v>LANDMARK CANAL WINCHESTER LLC</v>
      </c>
      <c r="C7130" s="1" t="str">
        <f>"HENDREN RD R21 T11 S15 2.405 ACRES"</f>
        <v>HENDREN RD R21 T11 S15 2.405 ACRES</v>
      </c>
      <c r="D7130" s="1">
        <v>1379.72</v>
      </c>
    </row>
    <row r="7131" spans="1:4" x14ac:dyDescent="0.3">
      <c r="A7131" s="1" t="str">
        <f>"01028272400"</f>
        <v>01028272400</v>
      </c>
      <c r="B7131" s="1" t="str">
        <f>"LANDMARK CANAL WINCHESTER LLC"</f>
        <v>LANDMARK CANAL WINCHESTER LLC</v>
      </c>
      <c r="C7131" s="1" t="str">
        <f>"BACHMAN DR R21 T11 S15 3.006 ACRES"</f>
        <v>BACHMAN DR R21 T11 S15 3.006 ACRES</v>
      </c>
      <c r="D7131" s="1">
        <v>1634.58</v>
      </c>
    </row>
    <row r="7132" spans="1:4" x14ac:dyDescent="0.3">
      <c r="A7132" s="1" t="str">
        <f>"01028272600"</f>
        <v>01028272600</v>
      </c>
      <c r="B7132" s="1" t="str">
        <f>"LANDMARK DEVELOPMENT SERVICES LLC"</f>
        <v>LANDMARK DEVELOPMENT SERVICES LLC</v>
      </c>
      <c r="C7132" s="1" t="str">
        <f>"BACHMAN RD R21 T11 S15 4.018 ACRES"</f>
        <v>BACHMAN RD R21 T11 S15 4.018 ACRES</v>
      </c>
      <c r="D7132" s="1">
        <v>1992.84</v>
      </c>
    </row>
    <row r="7133" spans="1:4" x14ac:dyDescent="0.3">
      <c r="A7133" s="1" t="str">
        <f>"43027309700"</f>
        <v>43027309700</v>
      </c>
      <c r="B7133" s="1" t="str">
        <f>"LANDMARK DEVELOPMENT SERVICES LLC"</f>
        <v>LANDMARK DEVELOPMENT SERVICES LLC</v>
      </c>
      <c r="C7133" s="1" t="str">
        <f>"EBRIGHT RD R21 T11 S15 1.639 ACRES"</f>
        <v>EBRIGHT RD R21 T11 S15 1.639 ACRES</v>
      </c>
      <c r="D7133" s="1">
        <v>54.84</v>
      </c>
    </row>
    <row r="7134" spans="1:4" x14ac:dyDescent="0.3">
      <c r="A7134" s="1" t="str">
        <f>"01027309300"</f>
        <v>01027309300</v>
      </c>
      <c r="B7134" s="1" t="str">
        <f>"LANDMARK DEVELOPMENT SERVICES LLC"</f>
        <v>LANDMARK DEVELOPMENT SERVICES LLC</v>
      </c>
      <c r="C7134" s="1" t="str">
        <f>"WINCHESTER PIKE R21 T11 S10-15 1.594 ACRES"</f>
        <v>WINCHESTER PIKE R21 T11 S10-15 1.594 ACRES</v>
      </c>
      <c r="D7134" s="1">
        <v>74.33</v>
      </c>
    </row>
    <row r="7135" spans="1:4" x14ac:dyDescent="0.3">
      <c r="A7135" s="1" t="str">
        <f>"01027227900"</f>
        <v>01027227900</v>
      </c>
      <c r="B7135" s="1" t="str">
        <f>"LANDMARK DEVELOPMENT SERVICES LLC"</f>
        <v>LANDMARK DEVELOPMENT SERVICES LLC</v>
      </c>
      <c r="C7135" s="1" t="str">
        <f>"EBRIGHT RD R21 T11 S15 17.897 ACRES"</f>
        <v>EBRIGHT RD R21 T11 S15 17.897 ACRES</v>
      </c>
      <c r="D7135" s="1">
        <v>6853.84</v>
      </c>
    </row>
    <row r="7136" spans="1:4" x14ac:dyDescent="0.3">
      <c r="A7136" s="1" t="str">
        <f>"19000392100"</f>
        <v>19000392100</v>
      </c>
      <c r="B7136" s="1" t="str">
        <f>"LANDOLFO JOSEPH M"</f>
        <v>LANDOLFO JOSEPH M</v>
      </c>
      <c r="C7136" s="1" t="str">
        <f>"MECCA RD NORTHGLEN SUB LOT 161"</f>
        <v>MECCA RD NORTHGLEN SUB LOT 161</v>
      </c>
      <c r="D7136" s="1">
        <v>2870.01</v>
      </c>
    </row>
    <row r="7137" spans="1:4" x14ac:dyDescent="0.3">
      <c r="A7137" s="1" t="str">
        <f>"60019658100"</f>
        <v>60019658100</v>
      </c>
      <c r="B7137" s="1" t="str">
        <f>"LANDRUM DONNA J"</f>
        <v>LANDRUM DONNA J</v>
      </c>
      <c r="C7137" s="1" t="str">
        <f>"LOCUST POST LA BROADVIEW FARMS SEC3 LOT 168"</f>
        <v>LOCUST POST LA BROADVIEW FARMS SEC3 LOT 168</v>
      </c>
      <c r="D7137" s="1">
        <v>1164.44</v>
      </c>
    </row>
    <row r="7138" spans="1:4" x14ac:dyDescent="0.3">
      <c r="A7138" s="1" t="str">
        <f>"01008057600"</f>
        <v>01008057600</v>
      </c>
      <c r="B7138" s="1" t="str">
        <f>"LANDRUM ROBERT E"</f>
        <v>LANDRUM ROBERT E</v>
      </c>
      <c r="C7138" s="1" t="str">
        <f>"BERKELEY RD DRIVING PARK LOT 77"</f>
        <v>BERKELEY RD DRIVING PARK LOT 77</v>
      </c>
      <c r="D7138" s="1">
        <v>1362.98</v>
      </c>
    </row>
    <row r="7139" spans="1:4" x14ac:dyDescent="0.3">
      <c r="A7139" s="1" t="str">
        <f>"22200164300"</f>
        <v>22200164300</v>
      </c>
      <c r="B7139" s="1" t="str">
        <f>"LANE ANDREW E, LANE TERESA W"</f>
        <v>LANE ANDREW E, LANE TERESA W</v>
      </c>
      <c r="C7139" s="1" t="str">
        <f>"DRAYTON HALL SOUTH N ALBANY COUNTRY CL SECTION 11 LOT 97"</f>
        <v>DRAYTON HALL SOUTH N ALBANY COUNTRY CL SECTION 11 LOT 97</v>
      </c>
      <c r="D7139" s="1">
        <v>1048.93</v>
      </c>
    </row>
    <row r="7140" spans="1:4" x14ac:dyDescent="0.3">
      <c r="A7140" s="1" t="str">
        <f>"13000106600"</f>
        <v>13000106600</v>
      </c>
      <c r="B7140" s="1" t="str">
        <f>"LANE AVENUE PROPERTIES LLC"</f>
        <v>LANE AVENUE PROPERTIES LLC</v>
      </c>
      <c r="C7140" s="1" t="str">
        <f>"W LANE AVE R18 T1 1/4T3 SUB 1 .2181 ACRE"</f>
        <v>W LANE AVE R18 T1 1/4T3 SUB 1 .2181 ACRE</v>
      </c>
      <c r="D7140" s="1">
        <v>7110.98</v>
      </c>
    </row>
    <row r="7141" spans="1:4" x14ac:dyDescent="0.3">
      <c r="A7141" s="1" t="str">
        <f>"14000206300"</f>
        <v>14000206300</v>
      </c>
      <c r="B7141" s="1" t="str">
        <f>"LANE CHARLES L, LANE CLARA V"</f>
        <v>LANE CHARLES L, LANE CLARA V</v>
      </c>
      <c r="C7141" s="1" t="str">
        <f>"3601 PLAINVIEW DR MON-E-BAK FARMS LOT 230"</f>
        <v>3601 PLAINVIEW DR MON-E-BAK FARMS LOT 230</v>
      </c>
      <c r="D7141" s="1">
        <v>693.13</v>
      </c>
    </row>
    <row r="7142" spans="1:4" x14ac:dyDescent="0.3">
      <c r="A7142" s="1" t="str">
        <f>"17000308200"</f>
        <v>17000308200</v>
      </c>
      <c r="B7142" s="1" t="str">
        <f>"LANE KENNETH C"</f>
        <v>LANE KENNETH C</v>
      </c>
      <c r="C7142" s="1" t="str">
        <f>"BUNKER RIDGE COURT BLACKLICK RIDGE SECTION 2 PART 1 LOT 133"</f>
        <v>BUNKER RIDGE COURT BLACKLICK RIDGE SECTION 2 PART 1 LOT 133</v>
      </c>
      <c r="D7142" s="1">
        <v>8208.42</v>
      </c>
    </row>
    <row r="7143" spans="1:4" x14ac:dyDescent="0.3">
      <c r="A7143" s="1" t="str">
        <f>"18000039800"</f>
        <v>18000039800</v>
      </c>
      <c r="B7143" s="1" t="str">
        <f>"LANE PAMELA K"</f>
        <v>LANE PAMELA K</v>
      </c>
      <c r="C7143" s="1" t="str">
        <f>"SIMS RD TRACT 1 EAST R21 T11 S22 .498 ACRE"</f>
        <v>SIMS RD TRACT 1 EAST R21 T11 S22 .498 ACRE</v>
      </c>
      <c r="D7143" s="1">
        <v>5286.69</v>
      </c>
    </row>
    <row r="7144" spans="1:4" x14ac:dyDescent="0.3">
      <c r="A7144" s="1" t="str">
        <f>"27300151900"</f>
        <v>27300151900</v>
      </c>
      <c r="B7144" s="1" t="str">
        <f>"LANE R STACY, LANE CATHERINE S"</f>
        <v>LANE R STACY, LANE CATHERINE S</v>
      </c>
      <c r="C7144" s="1" t="str">
        <f>"5524 OLD POND DR HEMINGWAY VIL SEC 2 LOT 175"</f>
        <v>5524 OLD POND DR HEMINGWAY VIL SEC 2 LOT 175</v>
      </c>
      <c r="D7144" s="1">
        <v>565.71</v>
      </c>
    </row>
    <row r="7145" spans="1:4" x14ac:dyDescent="0.3">
      <c r="A7145" s="1" t="str">
        <f>"01015427800"</f>
        <v>01015427800</v>
      </c>
      <c r="B7145" s="1" t="str">
        <f>"LANE STEPHAN N"</f>
        <v>LANE STEPHAN N</v>
      </c>
      <c r="C7145" s="1" t="str">
        <f>"KNOLLRIDGE CT LAKEWOOD PARK SEC 1 LOT 30"</f>
        <v>KNOLLRIDGE CT LAKEWOOD PARK SEC 1 LOT 30</v>
      </c>
      <c r="D7145" s="1">
        <v>2624.08</v>
      </c>
    </row>
    <row r="7146" spans="1:4" x14ac:dyDescent="0.3">
      <c r="A7146" s="1" t="str">
        <f>"22200421200"</f>
        <v>22200421200</v>
      </c>
      <c r="B7146" s="1" t="str">
        <f>"LANE TERRI LEE TTEE"</f>
        <v>LANE TERRI LEE TTEE</v>
      </c>
      <c r="C7146" s="1" t="str">
        <f>"5455 SNIDER LOOP THE ENCLAVE AT NEW ALBANY SECTION 1 PART 2 LOT 18"</f>
        <v>5455 SNIDER LOOP THE ENCLAVE AT NEW ALBANY SECTION 1 PART 2 LOT 18</v>
      </c>
      <c r="D7146" s="1">
        <v>11972.08</v>
      </c>
    </row>
    <row r="7147" spans="1:4" x14ac:dyDescent="0.3">
      <c r="A7147" s="1" t="str">
        <f>"01001545400"</f>
        <v>01001545400</v>
      </c>
      <c r="B7147" s="1" t="str">
        <f>"LANEY SHAWN MAURICE"</f>
        <v>LANEY SHAWN MAURICE</v>
      </c>
      <c r="C7147" s="1" t="str">
        <f>"660 REYNOLDS AVE ENGLEWOOD LOT 34"</f>
        <v>660 REYNOLDS AVE ENGLEWOOD LOT 34</v>
      </c>
      <c r="D7147" s="1">
        <v>1469.13</v>
      </c>
    </row>
    <row r="7148" spans="1:4" x14ac:dyDescent="0.3">
      <c r="A7148" s="1" t="str">
        <f>"56021692700"</f>
        <v>56021692700</v>
      </c>
      <c r="B7148" s="1" t="str">
        <f>"LANG CHRISTOPHER M, MOSS ERIN M"</f>
        <v>LANG CHRISTOPHER M, MOSS ERIN M</v>
      </c>
      <c r="C7148" s="1" t="str">
        <f>"CROSS CREEK VILLAGE SECTION 7 LOT 612"</f>
        <v>CROSS CREEK VILLAGE SECTION 7 LOT 612</v>
      </c>
      <c r="D7148" s="1">
        <v>281.5</v>
      </c>
    </row>
    <row r="7149" spans="1:4" x14ac:dyDescent="0.3">
      <c r="A7149" s="1" t="str">
        <f>"01006966400"</f>
        <v>01006966400</v>
      </c>
      <c r="B7149" s="1" t="str">
        <f>"LANG COREY"</f>
        <v>LANG COREY</v>
      </c>
      <c r="C7149" s="1" t="str">
        <f>"2698-2700 FERN AVE EAST LINDEN ADD LOT 15, 53 X 180 FT"</f>
        <v>2698-2700 FERN AVE EAST LINDEN ADD LOT 15, 53 X 180 FT</v>
      </c>
      <c r="D7149" s="1">
        <v>3307.83</v>
      </c>
    </row>
    <row r="7150" spans="1:4" x14ac:dyDescent="0.3">
      <c r="A7150" s="1" t="str">
        <f>"01013321600"</f>
        <v>01013321600</v>
      </c>
      <c r="B7150" s="1" t="str">
        <f>"LANG STEPHEN A"</f>
        <v>LANG STEPHEN A</v>
      </c>
      <c r="C7150" s="1" t="str">
        <f>"DOWNING DR WALNUT BLUFF 1 LOT 361"</f>
        <v>DOWNING DR WALNUT BLUFF 1 LOT 361</v>
      </c>
      <c r="D7150" s="1">
        <v>140.97</v>
      </c>
    </row>
    <row r="7151" spans="1:4" x14ac:dyDescent="0.3">
      <c r="A7151" s="1" t="str">
        <f>"01024988200"</f>
        <v>01024988200</v>
      </c>
      <c r="B7151" s="1" t="str">
        <f>"LANGE RICHARD L, LANGE NANCY J"</f>
        <v>LANGE RICHARD L, LANGE NANCY J</v>
      </c>
      <c r="C7151" s="1" t="str">
        <f>"5660 WILLET LANE BLENDON CHASE CONDOMINIUM UNIT 5660"</f>
        <v>5660 WILLET LANE BLENDON CHASE CONDOMINIUM UNIT 5660</v>
      </c>
      <c r="D7151" s="1">
        <v>2042.72</v>
      </c>
    </row>
    <row r="7152" spans="1:4" x14ac:dyDescent="0.3">
      <c r="A7152" s="1" t="str">
        <f>"02000344100"</f>
        <v>02000344100</v>
      </c>
      <c r="B7152" s="1" t="str">
        <f>"LANGE RICHARD M"</f>
        <v>LANGE RICHARD M</v>
      </c>
      <c r="C7152" s="1" t="str">
        <f>"957 MONTROSE AVE LOT 44 LIVINGSTON HTS"</f>
        <v>957 MONTROSE AVE LOT 44 LIVINGSTON HTS</v>
      </c>
      <c r="D7152" s="1">
        <v>9114.75</v>
      </c>
    </row>
    <row r="7153" spans="1:4" x14ac:dyDescent="0.3">
      <c r="A7153" s="1" t="str">
        <f>"01002832500"</f>
        <v>01002832500</v>
      </c>
      <c r="B7153" s="1" t="str">
        <f>"LANGER KAREN R"</f>
        <v>LANGER KAREN R</v>
      </c>
      <c r="C7153" s="1" t="str">
        <f>"78 E PRESCOTT ST          PHELANS MT PLEASANT       LOT 10-15                "</f>
        <v xml:space="preserve">78 E PRESCOTT ST          PHELANS MT PLEASANT       LOT 10-15                </v>
      </c>
      <c r="D7153" s="1">
        <v>31.29</v>
      </c>
    </row>
    <row r="7154" spans="1:4" x14ac:dyDescent="0.3">
      <c r="A7154" s="1" t="str">
        <f>"01007528600"</f>
        <v>01007528600</v>
      </c>
      <c r="B7154" s="1" t="str">
        <f>"LANGLEY NANCY C LE, LANGLEY BRIAN K RMDR"</f>
        <v>LANGLEY NANCY C LE, LANGLEY BRIAN K RMDR</v>
      </c>
      <c r="C7154" s="1" t="str">
        <f>"ATWOOD TERRACE 2365 GRASMERE GARDENS LOT 522-523"</f>
        <v>ATWOOD TERRACE 2365 GRASMERE GARDENS LOT 522-523</v>
      </c>
      <c r="D7154" s="1">
        <v>184.98</v>
      </c>
    </row>
    <row r="7155" spans="1:4" x14ac:dyDescent="0.3">
      <c r="A7155" s="1" t="str">
        <f>"59018918200"</f>
        <v>59018918200</v>
      </c>
      <c r="B7155" s="1" t="str">
        <f>"LANJANI FARSHAD, LANJANI FARZANEH"</f>
        <v>LANJANI FARSHAD, LANJANI FARZANEH</v>
      </c>
      <c r="C7155" s="1" t="str">
        <f>"2626 SANDBURY BLVD SAWBURY COM CONDO 12 UNIT A"</f>
        <v>2626 SANDBURY BLVD SAWBURY COM CONDO 12 UNIT A</v>
      </c>
      <c r="D7155" s="1">
        <v>105.3</v>
      </c>
    </row>
    <row r="7156" spans="1:4" x14ac:dyDescent="0.3">
      <c r="A7156" s="1" t="str">
        <f>"59018918300"</f>
        <v>59018918300</v>
      </c>
      <c r="B7156" s="1" t="str">
        <f>"LANJANI FARSHAD, LANJANI FARZANEH"</f>
        <v>LANJANI FARSHAD, LANJANI FARZANEH</v>
      </c>
      <c r="C7156" s="1" t="str">
        <f>"2624 SANDBURY BLVD SAWBURY COM CONDO 12 UNIT B"</f>
        <v>2624 SANDBURY BLVD SAWBURY COM CONDO 12 UNIT B</v>
      </c>
      <c r="D7156" s="1">
        <v>105.3</v>
      </c>
    </row>
    <row r="7157" spans="1:4" x14ac:dyDescent="0.3">
      <c r="A7157" s="1" t="str">
        <f>"59018918400"</f>
        <v>59018918400</v>
      </c>
      <c r="B7157" s="1" t="str">
        <f>"LANJANI FARSHAD, LANJANI FARZANEH"</f>
        <v>LANJANI FARSHAD, LANJANI FARZANEH</v>
      </c>
      <c r="C7157" s="1" t="str">
        <f>"2622 SANDBURY BLVD SAWBURY COM CONDO 12 UNIT C"</f>
        <v>2622 SANDBURY BLVD SAWBURY COM CONDO 12 UNIT C</v>
      </c>
      <c r="D7157" s="1">
        <v>105.3</v>
      </c>
    </row>
    <row r="7158" spans="1:4" x14ac:dyDescent="0.3">
      <c r="A7158" s="1" t="str">
        <f>"59018918500"</f>
        <v>59018918500</v>
      </c>
      <c r="B7158" s="1" t="str">
        <f>"LANJANI FARSHAD, LANJANI FARZANEH"</f>
        <v>LANJANI FARSHAD, LANJANI FARZANEH</v>
      </c>
      <c r="C7158" s="1" t="str">
        <f>"2620 SANDBURY BLVD SAWBURY COM CONDO 12 UNIT D"</f>
        <v>2620 SANDBURY BLVD SAWBURY COM CONDO 12 UNIT D</v>
      </c>
      <c r="D7158" s="1">
        <v>105.3</v>
      </c>
    </row>
    <row r="7159" spans="1:4" x14ac:dyDescent="0.3">
      <c r="A7159" s="1" t="str">
        <f>"17000084200"</f>
        <v>17000084200</v>
      </c>
      <c r="B7159" s="1" t="str">
        <f>"LANNING JAMES H"</f>
        <v>LANNING JAMES H</v>
      </c>
      <c r="C7159" s="1" t="str">
        <f>"675 MULBERRY ST PT DARSTS 4 "</f>
        <v xml:space="preserve">675 MULBERRY ST PT DARSTS 4 </v>
      </c>
      <c r="D7159" s="1">
        <v>1943.84</v>
      </c>
    </row>
    <row r="7160" spans="1:4" x14ac:dyDescent="0.3">
      <c r="A7160" s="1" t="str">
        <f>"17000331900"</f>
        <v>17000331900</v>
      </c>
      <c r="B7160" s="1" t="str">
        <f>"LANTZ KIRBY J, LANTZ MICHELLE S"</f>
        <v>LANTZ KIRBY J, LANTZ MICHELLE S</v>
      </c>
      <c r="C7160" s="1" t="str">
        <f>"CHATEAUGAY WAY STEPPING STONE SECTION 2 LOT 45"</f>
        <v>CHATEAUGAY WAY STEPPING STONE SECTION 2 LOT 45</v>
      </c>
      <c r="D7160" s="1">
        <v>658.51</v>
      </c>
    </row>
    <row r="7161" spans="1:4" x14ac:dyDescent="0.3">
      <c r="A7161" s="1" t="str">
        <f>"04000398200"</f>
        <v>04000398200</v>
      </c>
      <c r="B7161" s="1" t="str">
        <f>"LAPETINA NICHOLAS, LAPETINA TARA ANN"</f>
        <v>LAPETINA NICHOLAS, LAPETINA TARA ANN</v>
      </c>
      <c r="C7161" s="1" t="str">
        <f>"3690 CHRISTOPHER PL BROOK PK LOT 156"</f>
        <v>3690 CHRISTOPHER PL BROOK PK LOT 156</v>
      </c>
      <c r="D7161" s="1">
        <v>5760.8</v>
      </c>
    </row>
    <row r="7162" spans="1:4" x14ac:dyDescent="0.3">
      <c r="A7162" s="1" t="str">
        <f>"01009507700"</f>
        <v>01009507700</v>
      </c>
      <c r="B7162" s="1" t="str">
        <f>"LAPIDO VICTOR I, LAPIDO TITILOLA M"</f>
        <v>LAPIDO VICTOR I, LAPIDO TITILOLA M</v>
      </c>
      <c r="C7162" s="1" t="str">
        <f>"LINWOOD AVE WILSON &amp; SHARP LOT72"</f>
        <v>LINWOOD AVE WILSON &amp; SHARP LOT72</v>
      </c>
      <c r="D7162" s="1">
        <v>163.63999999999999</v>
      </c>
    </row>
    <row r="7163" spans="1:4" x14ac:dyDescent="0.3">
      <c r="A7163" s="1" t="str">
        <f>"19000497100"</f>
        <v>19000497100</v>
      </c>
      <c r="B7163" s="1" t="str">
        <f>"LAPOUR LLC"</f>
        <v>LAPOUR LLC</v>
      </c>
      <c r="C7163" s="1" t="str">
        <f>"WESTERVILLE RD R17 T1 SEC2 1.074 ACRES"</f>
        <v>WESTERVILLE RD R17 T1 SEC2 1.074 ACRES</v>
      </c>
      <c r="D7163" s="1">
        <v>1709.77</v>
      </c>
    </row>
    <row r="7164" spans="1:4" x14ac:dyDescent="0.3">
      <c r="A7164" s="1" t="str">
        <f>"01002097400"</f>
        <v>01002097400</v>
      </c>
      <c r="B7164" s="1" t="str">
        <f>"LARBI ERNEST, LARBI GLORIA"</f>
        <v>LARBI ERNEST, LARBI GLORIA</v>
      </c>
      <c r="C7164" s="1" t="str">
        <f>"1987 FAIRMONT AVE GLENWOOD HTS LOT 78"</f>
        <v>1987 FAIRMONT AVE GLENWOOD HTS LOT 78</v>
      </c>
      <c r="D7164" s="1">
        <v>2751.91</v>
      </c>
    </row>
    <row r="7165" spans="1:4" x14ac:dyDescent="0.3">
      <c r="A7165" s="1" t="str">
        <f>"01027233700"</f>
        <v>01027233700</v>
      </c>
      <c r="B7165" s="1" t="str">
        <f>"LARBI GLORIA NKETIA"</f>
        <v>LARBI GLORIA NKETIA</v>
      </c>
      <c r="C7165" s="1" t="str">
        <f>"CROSSING HILL WAY McCUTCHEON CROSSING SECTION 6 LOT 351"</f>
        <v>CROSSING HILL WAY McCUTCHEON CROSSING SECTION 6 LOT 351</v>
      </c>
      <c r="D7165" s="1">
        <v>2297.4899999999998</v>
      </c>
    </row>
    <row r="7166" spans="1:4" x14ac:dyDescent="0.3">
      <c r="A7166" s="1" t="str">
        <f>"60018582200"</f>
        <v>60018582200</v>
      </c>
      <c r="B7166" s="1" t="str">
        <f>"LARCOMB MARGARET A"</f>
        <v>LARCOMB MARGARET A</v>
      </c>
      <c r="C7166" s="1" t="str">
        <f>"FOREST HILLS BLVD SHERWD COL CONDO PH1 BLDG 2 UNIT A"</f>
        <v>FOREST HILLS BLVD SHERWD COL CONDO PH1 BLDG 2 UNIT A</v>
      </c>
      <c r="D7166" s="1">
        <v>2025.11</v>
      </c>
    </row>
    <row r="7167" spans="1:4" x14ac:dyDescent="0.3">
      <c r="A7167" s="1" t="str">
        <f>"11000225400"</f>
        <v>11000225400</v>
      </c>
      <c r="B7167" s="1" t="str">
        <f>"LARGE BOBBY L"</f>
        <v>LARGE BOBBY L</v>
      </c>
      <c r="C7167" s="1" t="str">
        <f>"BROOKLYN ROAD BELMONT PLACE AMD 114"</f>
        <v>BROOKLYN ROAD BELMONT PLACE AMD 114</v>
      </c>
      <c r="D7167" s="1">
        <v>257.27</v>
      </c>
    </row>
    <row r="7168" spans="1:4" x14ac:dyDescent="0.3">
      <c r="A7168" s="1" t="str">
        <f>"01006780500"</f>
        <v>01006780500</v>
      </c>
      <c r="B7168" s="1" t="str">
        <f>"LARGE ERNEST"</f>
        <v>LARGE ERNEST</v>
      </c>
      <c r="C7168" s="1" t="str">
        <f>"HILLTONIA LOT 157 "</f>
        <v xml:space="preserve">HILLTONIA LOT 157 </v>
      </c>
      <c r="D7168" s="1">
        <v>1136.99</v>
      </c>
    </row>
    <row r="7169" spans="1:4" x14ac:dyDescent="0.3">
      <c r="A7169" s="1" t="str">
        <f>"01011616900"</f>
        <v>01011616900</v>
      </c>
      <c r="B7169" s="1" t="str">
        <f>"LARIOS JORGE"</f>
        <v>LARIOS JORGE</v>
      </c>
      <c r="C7169" s="1" t="str">
        <f>"REEB AVE SOUTHEAST 2 LOT 2"</f>
        <v>REEB AVE SOUTHEAST 2 LOT 2</v>
      </c>
      <c r="D7169" s="1">
        <v>3211.89</v>
      </c>
    </row>
    <row r="7170" spans="1:4" x14ac:dyDescent="0.3">
      <c r="A7170" s="1" t="str">
        <f>"01009359400"</f>
        <v>01009359400</v>
      </c>
      <c r="B7170" s="1" t="str">
        <f>"LARKIN AMY M TTEE"</f>
        <v>LARKIN AMY M TTEE</v>
      </c>
      <c r="C7170" s="1" t="str">
        <f>"FAIRWAY LOT 40 "</f>
        <v xml:space="preserve">FAIRWAY LOT 40 </v>
      </c>
      <c r="D7170" s="1">
        <v>3478.08</v>
      </c>
    </row>
    <row r="7171" spans="1:4" x14ac:dyDescent="0.3">
      <c r="A7171" s="1" t="str">
        <f>"01009802500"</f>
        <v>01009802500</v>
      </c>
      <c r="B7171" s="1" t="str">
        <f>"LARKMOUR JASON A"</f>
        <v>LARKMOUR JASON A</v>
      </c>
      <c r="C7171" s="1" t="str">
        <f>"ST PATRICK RD BROOKSHIRE PARK LOT 148"</f>
        <v>ST PATRICK RD BROOKSHIRE PARK LOT 148</v>
      </c>
      <c r="D7171" s="1">
        <v>20</v>
      </c>
    </row>
    <row r="7172" spans="1:4" x14ac:dyDescent="0.3">
      <c r="A7172" s="1" t="str">
        <f>"04001014500"</f>
        <v>04001014500</v>
      </c>
      <c r="B7172" s="1" t="str">
        <f>"LAROSA JOSEPH D, LAROSA CHARLOTTE M"</f>
        <v>LAROSA JOSEPH D, LAROSA CHARLOTTE M</v>
      </c>
      <c r="C7172" s="1" t="str">
        <f>"RAVINE AT QUAIL CREEK CONDOMINIUM 1ST AMD UNIT 18-2242"</f>
        <v>RAVINE AT QUAIL CREEK CONDOMINIUM 1ST AMD UNIT 18-2242</v>
      </c>
      <c r="D7172" s="1">
        <v>1473.05</v>
      </c>
    </row>
    <row r="7173" spans="1:4" x14ac:dyDescent="0.3">
      <c r="A7173" s="1" t="str">
        <f>"16000093500"</f>
        <v>16000093500</v>
      </c>
      <c r="B7173" s="1" t="str">
        <f>"LAROSA STEVEN E"</f>
        <v>LAROSA STEVEN E</v>
      </c>
      <c r="C7173" s="1" t="str">
        <f>"BORROR RD TR 1 URP ENTRY 6115 1.000 ACRE"</f>
        <v>BORROR RD TR 1 URP ENTRY 6115 1.000 ACRE</v>
      </c>
      <c r="D7173" s="1">
        <v>1598.45</v>
      </c>
    </row>
    <row r="7174" spans="1:4" x14ac:dyDescent="0.3">
      <c r="A7174" s="1" t="str">
        <f>"04000735000"</f>
        <v>04000735000</v>
      </c>
      <c r="B7174" s="1" t="str">
        <f>"LAROSA STEVEN E"</f>
        <v>LAROSA STEVEN E</v>
      </c>
      <c r="C7174" s="1" t="str">
        <f>"JOHN MITCHELL ROAD VMS 6114 0.375 ACRE"</f>
        <v>JOHN MITCHELL ROAD VMS 6114 0.375 ACRE</v>
      </c>
      <c r="D7174" s="1">
        <v>208.69</v>
      </c>
    </row>
    <row r="7175" spans="1:4" x14ac:dyDescent="0.3">
      <c r="A7175" s="1" t="str">
        <f>"07000588500"</f>
        <v>07000588500</v>
      </c>
      <c r="B7175" s="1" t="str">
        <f>"LARRIMER SARAH H TTEE, LARRIMER BENJAMIN W TTEE"</f>
        <v>LARRIMER SARAH H TTEE, LARRIMER BENJAMIN W TTEE</v>
      </c>
      <c r="C7175" s="1" t="str">
        <f>"COLCHESTER RD NO MOUNTVIEW EX 1 7 BLK 283"</f>
        <v>COLCHESTER RD NO MOUNTVIEW EX 1 7 BLK 283</v>
      </c>
      <c r="D7175" s="1">
        <v>568.4</v>
      </c>
    </row>
    <row r="7176" spans="1:4" x14ac:dyDescent="0.3">
      <c r="A7176" s="1" t="str">
        <f>"27300168400"</f>
        <v>27300168400</v>
      </c>
      <c r="B7176" s="1" t="str">
        <f>"LARSON DAVID II TR, LARSON ERIC TR"</f>
        <v>LARSON DAVID II TR, LARSON ERIC TR</v>
      </c>
      <c r="C7176" s="1" t="str">
        <f>"76 S RIVERVIEW PT E S LOWER ST "</f>
        <v xml:space="preserve">76 S RIVERVIEW PT E S LOWER ST </v>
      </c>
      <c r="D7176" s="1">
        <v>5970.48</v>
      </c>
    </row>
    <row r="7177" spans="1:4" x14ac:dyDescent="0.3">
      <c r="A7177" s="1" t="str">
        <f>"01005186000"</f>
        <v>01005186000</v>
      </c>
      <c r="B7177" s="1" t="str">
        <f>"LARSON JEFFREY H"</f>
        <v>LARSON JEFFREY H</v>
      </c>
      <c r="C7177" s="1" t="str">
        <f>"1059 PENNSYLVANIA         COLLINS ATKINSON &amp;        GUITNER LOT 357          "</f>
        <v xml:space="preserve">1059 PENNSYLVANIA         COLLINS ATKINSON &amp;        GUITNER LOT 357          </v>
      </c>
      <c r="D7177" s="1">
        <v>6308.24</v>
      </c>
    </row>
    <row r="7178" spans="1:4" x14ac:dyDescent="0.3">
      <c r="A7178" s="1" t="str">
        <f>"56018497200"</f>
        <v>56018497200</v>
      </c>
      <c r="B7178" s="1" t="str">
        <f>"LARSON JOHN P"</f>
        <v>LARSON JOHN P</v>
      </c>
      <c r="C7178" s="1" t="str">
        <f>"SUMMERTIME CT CHAPEL HILL CONDO UNIT 2 BLDG 6"</f>
        <v>SUMMERTIME CT CHAPEL HILL CONDO UNIT 2 BLDG 6</v>
      </c>
      <c r="D7178" s="1">
        <v>1910.9</v>
      </c>
    </row>
    <row r="7179" spans="1:4" x14ac:dyDescent="0.3">
      <c r="A7179" s="1" t="str">
        <f>"27301192900"</f>
        <v>27301192900</v>
      </c>
      <c r="B7179" s="1" t="str">
        <f>"LARSON LISA RAE"</f>
        <v>LARSON LISA RAE</v>
      </c>
      <c r="C7179" s="1" t="str">
        <f>"MANOR AT CRAUGHWELL       VILLAGE CONDOMINIUM       BLDG 3 UNIT 6135         "</f>
        <v xml:space="preserve">MANOR AT CRAUGHWELL       VILLAGE CONDOMINIUM       BLDG 3 UNIT 6135         </v>
      </c>
      <c r="D7179" s="1">
        <v>4136.96</v>
      </c>
    </row>
    <row r="7180" spans="1:4" x14ac:dyDescent="0.3">
      <c r="A7180" s="1" t="str">
        <f>"01001134000"</f>
        <v>01001134000</v>
      </c>
      <c r="B7180" s="1" t="str">
        <f>"LARSON-SHIDLER JAMES, DOYLE DAWN MARIE"</f>
        <v>LARSON-SHIDLER JAMES, DOYLE DAWN MARIE</v>
      </c>
      <c r="C7180" s="1" t="str">
        <f>"117 E PATTERSON AVE EX 27X68FT SE COR KNICKERBOCKER L 76"</f>
        <v>117 E PATTERSON AVE EX 27X68FT SE COR KNICKERBOCKER L 76</v>
      </c>
      <c r="D7180" s="1">
        <v>2619.62</v>
      </c>
    </row>
    <row r="7181" spans="1:4" x14ac:dyDescent="0.3">
      <c r="A7181" s="1" t="str">
        <f>"01015568600"</f>
        <v>01015568600</v>
      </c>
      <c r="B7181" s="1" t="str">
        <f>"LARUE KATLIN M"</f>
        <v>LARUE KATLIN M</v>
      </c>
      <c r="C7181" s="1" t="str">
        <f>"6213 SHARON WOODS BL SHARON WOODS SEC 6 LOT 489"</f>
        <v>6213 SHARON WOODS BL SHARON WOODS SEC 6 LOT 489</v>
      </c>
      <c r="D7181" s="1">
        <v>1718.89</v>
      </c>
    </row>
    <row r="7182" spans="1:4" x14ac:dyDescent="0.3">
      <c r="A7182" s="1" t="str">
        <f>"59028179100"</f>
        <v>59028179100</v>
      </c>
      <c r="B7182" s="1" t="str">
        <f>"LASH SHARON R"</f>
        <v>LASH SHARON R</v>
      </c>
      <c r="C7182" s="1" t="str">
        <f>"GREYSTONE MANOR CONDOMINIUM UNIT DR5308-A"</f>
        <v>GREYSTONE MANOR CONDOMINIUM UNIT DR5308-A</v>
      </c>
      <c r="D7182" s="1">
        <v>140.16</v>
      </c>
    </row>
    <row r="7183" spans="1:4" x14ac:dyDescent="0.3">
      <c r="A7183" s="1" t="str">
        <f>"01012761500"</f>
        <v>01012761500</v>
      </c>
      <c r="B7183" s="1" t="str">
        <f>"LASICHANH SOMSAY, LASICHANH PHETSAMAY"</f>
        <v>LASICHANH SOMSAY, LASICHANH PHETSAMAY</v>
      </c>
      <c r="C7183" s="1" t="str">
        <f>"PINE HILLS LOT 256 "</f>
        <v xml:space="preserve">PINE HILLS LOT 256 </v>
      </c>
      <c r="D7183" s="1">
        <v>242.24</v>
      </c>
    </row>
    <row r="7184" spans="1:4" x14ac:dyDescent="0.3">
      <c r="A7184" s="1" t="str">
        <f>"14000067300"</f>
        <v>14000067300</v>
      </c>
      <c r="B7184" s="1" t="str">
        <f>"LAST MILE EXPERTS CORP"</f>
        <v>LAST MILE EXPERTS CORP</v>
      </c>
      <c r="C7184" s="1" t="str">
        <f>"1683 FRANKLIN AVE BRIGGS 1ST LOT 95"</f>
        <v>1683 FRANKLIN AVE BRIGGS 1ST LOT 95</v>
      </c>
      <c r="D7184" s="1">
        <v>284.17</v>
      </c>
    </row>
    <row r="7185" spans="1:4" x14ac:dyDescent="0.3">
      <c r="A7185" s="1" t="str">
        <f>"01033040700"</f>
        <v>01033040700</v>
      </c>
      <c r="B7185" s="1" t="str">
        <f>"LASTING LEGACY REAL ESTATE LLC"</f>
        <v>LASTING LEGACY REAL ESTATE LLC</v>
      </c>
      <c r="C7185" s="1" t="str">
        <f>"MOOBERRY CONDOMINIUM UNIT 1655 "</f>
        <v xml:space="preserve">MOOBERRY CONDOMINIUM UNIT 1655 </v>
      </c>
      <c r="D7185" s="1">
        <v>402.63</v>
      </c>
    </row>
    <row r="7186" spans="1:4" x14ac:dyDescent="0.3">
      <c r="A7186" s="1" t="str">
        <f>"01033040800"</f>
        <v>01033040800</v>
      </c>
      <c r="B7186" s="1" t="str">
        <f>"LASTING LEGACY REAL ESTATE LLC"</f>
        <v>LASTING LEGACY REAL ESTATE LLC</v>
      </c>
      <c r="C7186" s="1" t="str">
        <f>"MOOBERRY CONDOMINIUM UNIT 1657 "</f>
        <v xml:space="preserve">MOOBERRY CONDOMINIUM UNIT 1657 </v>
      </c>
      <c r="D7186" s="1">
        <v>278.75</v>
      </c>
    </row>
    <row r="7187" spans="1:4" x14ac:dyDescent="0.3">
      <c r="A7187" s="1" t="str">
        <f>"27300767900"</f>
        <v>27300767900</v>
      </c>
      <c r="B7187" s="1" t="str">
        <f>"LASUSA JULIE D"</f>
        <v>LASUSA JULIE D</v>
      </c>
      <c r="C7187" s="1" t="str">
        <f>"THE MEWS AT TUTTLE CROSSING CONDO 1 AMD BLDG 3 UNIT 3-5421"</f>
        <v>THE MEWS AT TUTTLE CROSSING CONDO 1 AMD BLDG 3 UNIT 3-5421</v>
      </c>
      <c r="D7187" s="1">
        <v>1912</v>
      </c>
    </row>
    <row r="7188" spans="1:4" x14ac:dyDescent="0.3">
      <c r="A7188" s="1" t="str">
        <f>"61024838100"</f>
        <v>61024838100</v>
      </c>
      <c r="B7188" s="1" t="str">
        <f>"LATANICK MAUREEN, LATANICK DAVID"</f>
        <v>LATANICK MAUREEN, LATANICK DAVID</v>
      </c>
      <c r="C7188" s="1" t="str">
        <f>"VILLAGE OF FOREST RIDGE CONDOMINIUMS 1ST AMD PHASE 2 UNIT 151"</f>
        <v>VILLAGE OF FOREST RIDGE CONDOMINIUMS 1ST AMD PHASE 2 UNIT 151</v>
      </c>
      <c r="D7188" s="1">
        <v>563.85</v>
      </c>
    </row>
    <row r="7189" spans="1:4" x14ac:dyDescent="0.3">
      <c r="A7189" s="1" t="str">
        <f>"07000085100"</f>
        <v>07000085100</v>
      </c>
      <c r="B7189" s="1" t="str">
        <f>"LATAS MICHAEL D, LATAS JILL D"</f>
        <v>LATAS MICHAEL D, LATAS JILL D</v>
      </c>
      <c r="C7189" s="1" t="str">
        <f>"1992 TEWKSBURY RD UPPER ARLINGTON LOT 12 BLK 76"</f>
        <v>1992 TEWKSBURY RD UPPER ARLINGTON LOT 12 BLK 76</v>
      </c>
      <c r="D7189" s="1">
        <v>794.68</v>
      </c>
    </row>
    <row r="7190" spans="1:4" x14ac:dyDescent="0.3">
      <c r="A7190" s="1" t="str">
        <f>"01011688200"</f>
        <v>01011688200</v>
      </c>
      <c r="B7190" s="1" t="str">
        <f>"LATHAM-NEWBERN PENNEY, NEWBERN PENNEY LATHAM SU-TR (HOWARDS TRUST )"</f>
        <v>LATHAM-NEWBERN PENNEY, NEWBERN PENNEY LATHAM SU-TR (HOWARDS TRUST )</v>
      </c>
      <c r="C7190" s="1" t="str">
        <f>"EFNER DR LEA-WOOD GARDENS 3 LOT 198"</f>
        <v>EFNER DR LEA-WOOD GARDENS 3 LOT 198</v>
      </c>
      <c r="D7190" s="1">
        <v>928.15</v>
      </c>
    </row>
    <row r="7191" spans="1:4" x14ac:dyDescent="0.3">
      <c r="A7191" s="1" t="str">
        <f>"01001591000"</f>
        <v>01001591000</v>
      </c>
      <c r="B7191" s="1" t="str">
        <f>"LATIMER HURD S"</f>
        <v>LATIMER HURD S</v>
      </c>
      <c r="C7191" s="1" t="str">
        <f>"126 S HARRIS WVE WICKLOW EX LOT 508"</f>
        <v>126 S HARRIS WVE WICKLOW EX LOT 508</v>
      </c>
      <c r="D7191" s="1">
        <v>2225.96</v>
      </c>
    </row>
    <row r="7192" spans="1:4" x14ac:dyDescent="0.3">
      <c r="A7192" s="1" t="str">
        <f>"60020870300"</f>
        <v>60020870300</v>
      </c>
      <c r="B7192" s="1" t="str">
        <f>"LATKAR SHRIKANT GANESH TTEE"</f>
        <v>LATKAR SHRIKANT GANESH TTEE</v>
      </c>
      <c r="C7192" s="1" t="str">
        <f>"CLEAR STREAM WAY WILDS  SEC 4 LOT 123"</f>
        <v>CLEAR STREAM WAY WILDS  SEC 4 LOT 123</v>
      </c>
      <c r="D7192" s="1">
        <v>4060.58</v>
      </c>
    </row>
    <row r="7193" spans="1:4" x14ac:dyDescent="0.3">
      <c r="A7193" s="1" t="str">
        <f>"01008739500"</f>
        <v>01008739500</v>
      </c>
      <c r="B7193" s="1" t="str">
        <f>"LAUB ROGER M, LAUB KAREN L"</f>
        <v>LAUB ROGER M, LAUB KAREN L</v>
      </c>
      <c r="C7193" s="1" t="str">
        <f>"ACTON RD 8FT ESL 87&amp; ALL L88 NORTHRIDGE INDIANLA LT 87-88"</f>
        <v>ACTON RD 8FT ESL 87&amp; ALL L88 NORTHRIDGE INDIANLA LT 87-88</v>
      </c>
      <c r="D7193" s="1">
        <v>122.44</v>
      </c>
    </row>
    <row r="7194" spans="1:4" x14ac:dyDescent="0.3">
      <c r="A7194" s="1" t="str">
        <f>"13000685800"</f>
        <v>13000685800</v>
      </c>
      <c r="B7194" s="1" t="str">
        <f>"LAUDAT JOAN"</f>
        <v>LAUDAT JOAN</v>
      </c>
      <c r="C7194" s="1" t="str">
        <f>"1844 ELMORE AVE LOT 514 ELMORE "</f>
        <v xml:space="preserve">1844 ELMORE AVE LOT 514 ELMORE </v>
      </c>
      <c r="D7194" s="1">
        <v>4878.91</v>
      </c>
    </row>
    <row r="7195" spans="1:4" x14ac:dyDescent="0.3">
      <c r="A7195" s="1" t="str">
        <f>"01002459500"</f>
        <v>01002459500</v>
      </c>
      <c r="B7195" s="1" t="str">
        <f>"LAUDERDALE JEFFREY M"</f>
        <v>LAUDERDALE JEFFREY M</v>
      </c>
      <c r="C7195" s="1" t="str">
        <f>"1281-3 SIXTH AVE NEW INDIANOLA LOT 274"</f>
        <v>1281-3 SIXTH AVE NEW INDIANOLA LOT 274</v>
      </c>
      <c r="D7195" s="1">
        <v>4729.01</v>
      </c>
    </row>
    <row r="7196" spans="1:4" x14ac:dyDescent="0.3">
      <c r="A7196" s="1" t="str">
        <f>"07000111800"</f>
        <v>07000111800</v>
      </c>
      <c r="B7196" s="1" t="str">
        <f>"LAUDICK PATRICIA GRABER"</f>
        <v>LAUDICK PATRICIA GRABER</v>
      </c>
      <c r="C7196" s="1" t="str">
        <f>"2236 ABINGTON RD UPPER ARLINGTON LOT 4 BLK 204"</f>
        <v>2236 ABINGTON RD UPPER ARLINGTON LOT 4 BLK 204</v>
      </c>
      <c r="D7196" s="1">
        <v>1121.46</v>
      </c>
    </row>
    <row r="7197" spans="1:4" x14ac:dyDescent="0.3">
      <c r="A7197" s="1" t="str">
        <f>"06000113100"</f>
        <v>06000113100</v>
      </c>
      <c r="B7197" s="1" t="str">
        <f>"LAUGON PROPERTIES LLC"</f>
        <v>LAUGON PROPERTIES LLC</v>
      </c>
      <c r="C7197" s="1" t="str">
        <f>"16X174 FEET R20T16S71-4S7 "</f>
        <v xml:space="preserve">16X174 FEET R20T16S71-4S7 </v>
      </c>
      <c r="D7197" s="1">
        <v>618.04</v>
      </c>
    </row>
    <row r="7198" spans="1:4" x14ac:dyDescent="0.3">
      <c r="A7198" s="1" t="str">
        <f>"06000413200"</f>
        <v>06000413200</v>
      </c>
      <c r="B7198" s="1" t="str">
        <f>"LAUGON PROPERTIES LLC"</f>
        <v>LAUGON PROPERTIES LLC</v>
      </c>
      <c r="C7198" s="1" t="str">
        <f>"7152 E MAIN STREET R20T16S7 1/4S 7 0.095 ACRE"</f>
        <v>7152 E MAIN STREET R20T16S7 1/4S 7 0.095 ACRE</v>
      </c>
      <c r="D7198" s="1">
        <v>6027.46</v>
      </c>
    </row>
    <row r="7199" spans="1:4" x14ac:dyDescent="0.3">
      <c r="A7199" s="1" t="str">
        <f>"01006042700"</f>
        <v>01006042700</v>
      </c>
      <c r="B7199" s="1" t="str">
        <f>"LAVENDER COW LLC"</f>
        <v>LAVENDER COW LLC</v>
      </c>
      <c r="C7199" s="1" t="str">
        <f>"23RD AVE WALDEMERE LOT 154"</f>
        <v>23RD AVE WALDEMERE LOT 154</v>
      </c>
      <c r="D7199" s="1">
        <v>747.97</v>
      </c>
    </row>
    <row r="7200" spans="1:4" x14ac:dyDescent="0.3">
      <c r="A7200" s="1" t="str">
        <f>"01004473100"</f>
        <v>01004473100</v>
      </c>
      <c r="B7200" s="1" t="str">
        <f>"LAVENDER MICHAEL"</f>
        <v>LAVENDER MICHAEL</v>
      </c>
      <c r="C7200" s="1" t="str">
        <f>"1120 SIDNEY ST 25.96FT SS SHORTS PAN HANDLE LOT 27"</f>
        <v>1120 SIDNEY ST 25.96FT SS SHORTS PAN HANDLE LOT 27</v>
      </c>
      <c r="D7200" s="1">
        <v>1839.1</v>
      </c>
    </row>
    <row r="7201" spans="1:4" x14ac:dyDescent="0.3">
      <c r="A7201" s="1" t="str">
        <f>"01011156800"</f>
        <v>01011156800</v>
      </c>
      <c r="B7201" s="1" t="str">
        <f>"LAVERACK DEBRA L, LAVERACK ROBERT S"</f>
        <v>LAVERACK DEBRA L, LAVERACK ROBERT S</v>
      </c>
      <c r="C7201" s="1" t="str">
        <f>"MAPLEWOOD RD 1/2 HOME ACRES LOT 27"</f>
        <v>MAPLEWOOD RD 1/2 HOME ACRES LOT 27</v>
      </c>
      <c r="D7201" s="1">
        <v>1443.82</v>
      </c>
    </row>
    <row r="7202" spans="1:4" x14ac:dyDescent="0.3">
      <c r="A7202" s="1" t="str">
        <f>"01020733400"</f>
        <v>01020733400</v>
      </c>
      <c r="B7202" s="1" t="str">
        <f>"LAVETTI KURT, SINTOV NICOLE"</f>
        <v>LAVETTI KURT, SINTOV NICOLE</v>
      </c>
      <c r="C7202" s="1" t="str">
        <f>"JAEGER WE LOT 72 "</f>
        <v xml:space="preserve">JAEGER WE LOT 72 </v>
      </c>
      <c r="D7202" s="1">
        <v>4476.93</v>
      </c>
    </row>
    <row r="7203" spans="1:4" x14ac:dyDescent="0.3">
      <c r="A7203" s="1" t="str">
        <f>"01001218600"</f>
        <v>01001218600</v>
      </c>
      <c r="B7203" s="1" t="str">
        <f>"LAWHORN FLORA L AFDT"</f>
        <v>LAWHORN FLORA L AFDT</v>
      </c>
      <c r="C7203" s="1" t="str">
        <f>"319 GAULT ST T MILLER PT LOT 141"</f>
        <v>319 GAULT ST T MILLER PT LOT 141</v>
      </c>
      <c r="D7203" s="1">
        <v>2200</v>
      </c>
    </row>
    <row r="7204" spans="1:4" x14ac:dyDescent="0.3">
      <c r="A7204" s="1" t="str">
        <f>"60016776400"</f>
        <v>60016776400</v>
      </c>
      <c r="B7204" s="1" t="str">
        <f>"LAWING LYSA"</f>
        <v>LAWING LYSA</v>
      </c>
      <c r="C7204" s="1" t="str">
        <f>"CHIPPEWILL CONDOMINIUM BLDG 33 UNIT 8"</f>
        <v>CHIPPEWILL CONDOMINIUM BLDG 33 UNIT 8</v>
      </c>
      <c r="D7204" s="1">
        <v>73.75</v>
      </c>
    </row>
    <row r="7205" spans="1:4" x14ac:dyDescent="0.3">
      <c r="A7205" s="1" t="str">
        <f>"01002821000"</f>
        <v>01002821000</v>
      </c>
      <c r="B7205" s="1" t="str">
        <f>"LAWLER NATHANIEL"</f>
        <v>LAWLER NATHANIEL</v>
      </c>
      <c r="C7205" s="1" t="str">
        <f>"386 S OGDEN AVE WICKLOW LOT 102"</f>
        <v>386 S OGDEN AVE WICKLOW LOT 102</v>
      </c>
      <c r="D7205" s="1">
        <v>1862.74</v>
      </c>
    </row>
    <row r="7206" spans="1:4" x14ac:dyDescent="0.3">
      <c r="A7206" s="1" t="str">
        <f>"01003432300"</f>
        <v>01003432300</v>
      </c>
      <c r="B7206" s="1" t="str">
        <f>"LAWRENCE BETSY C"</f>
        <v>LAWRENCE BETSY C</v>
      </c>
      <c r="C7206" s="1" t="str">
        <f>"232 E LAKEVIEW AVE COMO LOT 63"</f>
        <v>232 E LAKEVIEW AVE COMO LOT 63</v>
      </c>
      <c r="D7206" s="1">
        <v>4732.18</v>
      </c>
    </row>
    <row r="7207" spans="1:4" x14ac:dyDescent="0.3">
      <c r="A7207" s="1" t="str">
        <f>"01008907200"</f>
        <v>01008907200</v>
      </c>
      <c r="B7207" s="1" t="str">
        <f>"LAWRENCE THOMAS J"</f>
        <v>LAWRENCE THOMAS J</v>
      </c>
      <c r="C7207" s="1" t="str">
        <f>"809 RUBY AVE 2ND MAIN ST TERR LOT 370"</f>
        <v>809 RUBY AVE 2ND MAIN ST TERR LOT 370</v>
      </c>
      <c r="D7207" s="1">
        <v>40</v>
      </c>
    </row>
    <row r="7208" spans="1:4" x14ac:dyDescent="0.3">
      <c r="A7208" s="1" t="str">
        <f>"01016263100"</f>
        <v>01016263100</v>
      </c>
      <c r="B7208" s="1" t="str">
        <f>"LAWRENCE TRACY"</f>
        <v>LAWRENCE TRACY</v>
      </c>
      <c r="C7208" s="1" t="str">
        <f>"MOUNDCREST STREET WALNUT BLUFF NO 4 LOT 976"</f>
        <v>MOUNDCREST STREET WALNUT BLUFF NO 4 LOT 976</v>
      </c>
      <c r="D7208" s="1">
        <v>3471.89</v>
      </c>
    </row>
    <row r="7209" spans="1:4" x14ac:dyDescent="0.3">
      <c r="A7209" s="1" t="str">
        <f>"01013667900"</f>
        <v>01013667900</v>
      </c>
      <c r="B7209" s="1" t="str">
        <f>"LAWSON ANGEL M"</f>
        <v>LAWSON ANGEL M</v>
      </c>
      <c r="C7209" s="1" t="str">
        <f>"RANKIN AVE ARGYLE PK LOT 63"</f>
        <v>RANKIN AVE ARGYLE PK LOT 63</v>
      </c>
      <c r="D7209" s="1">
        <v>630.87</v>
      </c>
    </row>
    <row r="7210" spans="1:4" x14ac:dyDescent="0.3">
      <c r="A7210" s="1" t="str">
        <f>"01015677900"</f>
        <v>01015677900</v>
      </c>
      <c r="B7210" s="1" t="str">
        <f>"LAWSON DENNIS E, LAWSON JORGELLE R"</f>
        <v>LAWSON DENNIS E, LAWSON JORGELLE R</v>
      </c>
      <c r="C7210" s="1" t="str">
        <f>"HOLLY RIDGE RD CUMBERLAND RIDGE SEC 2 LOT 239"</f>
        <v>HOLLY RIDGE RD CUMBERLAND RIDGE SEC 2 LOT 239</v>
      </c>
      <c r="D7210" s="1">
        <v>1350.18</v>
      </c>
    </row>
    <row r="7211" spans="1:4" x14ac:dyDescent="0.3">
      <c r="A7211" s="1" t="str">
        <f>"01013060400"</f>
        <v>01013060400</v>
      </c>
      <c r="B7211" s="1" t="str">
        <f>"LAWSON ROBERT L, LAWSON JANE I"</f>
        <v>LAWSON ROBERT L, LAWSON JANE I</v>
      </c>
      <c r="C7211" s="1" t="str">
        <f>"THRUELL RD KAR-MEL VILL 3 LOT 283"</f>
        <v>THRUELL RD KAR-MEL VILL 3 LOT 283</v>
      </c>
      <c r="D7211" s="1">
        <v>180.43</v>
      </c>
    </row>
    <row r="7212" spans="1:4" x14ac:dyDescent="0.3">
      <c r="A7212" s="1" t="str">
        <f>"16000185600"</f>
        <v>16000185600</v>
      </c>
      <c r="B7212" s="1" t="str">
        <f>"LAWSON SCOTT, LAWSON JESSICA"</f>
        <v>LAWSON SCOTT, LAWSON JESSICA</v>
      </c>
      <c r="C7212" s="1" t="str">
        <f>"CABIN RD ENTRY 469-6843-8231 0.784 ACRE"</f>
        <v>CABIN RD ENTRY 469-6843-8231 0.784 ACRE</v>
      </c>
      <c r="D7212" s="1">
        <v>1489.07</v>
      </c>
    </row>
    <row r="7213" spans="1:4" x14ac:dyDescent="0.3">
      <c r="A7213" s="1" t="str">
        <f>"02500964200"</f>
        <v>02500964200</v>
      </c>
      <c r="B7213" s="1" t="str">
        <f>"LAWSON STEPHEN F, LAWSON DIANA M"</f>
        <v>LAWSON STEPHEN F, LAWSON DIANA M</v>
      </c>
      <c r="C7213" s="1" t="str">
        <f>"FARM CREEK DRIVE FARM CREEK SECTION 1 LOT 2"</f>
        <v>FARM CREEK DRIVE FARM CREEK SECTION 1 LOT 2</v>
      </c>
      <c r="D7213" s="1">
        <v>536.16999999999996</v>
      </c>
    </row>
    <row r="7214" spans="1:4" x14ac:dyDescent="0.3">
      <c r="A7214" s="1" t="str">
        <f>"11000368900"</f>
        <v>11000368900</v>
      </c>
      <c r="B7214" s="1" t="str">
        <f>"LAWTON DAVID L, LAWTON SUSAN A"</f>
        <v>LAWTON DAVID L, LAWTON SUSAN A</v>
      </c>
      <c r="C7214" s="1" t="str">
        <f>"PARIS BLVD H C HUBER PLAT 48 SEC 6 1752 "</f>
        <v xml:space="preserve">PARIS BLVD H C HUBER PLAT 48 SEC 6 1752 </v>
      </c>
      <c r="D7214" s="1">
        <v>294.33999999999997</v>
      </c>
    </row>
    <row r="7215" spans="1:4" x14ac:dyDescent="0.3">
      <c r="A7215" s="1" t="str">
        <f>"27301221000"</f>
        <v>27301221000</v>
      </c>
      <c r="B7215" s="1" t="str">
        <f>"LAYLAND JULIE"</f>
        <v>LAYLAND JULIE</v>
      </c>
      <c r="C7215" s="1" t="str">
        <f>"THE VILLAGE AT COFFMAN PARK CONDOMIIUM UNIT 64"</f>
        <v>THE VILLAGE AT COFFMAN PARK CONDOMIIUM UNIT 64</v>
      </c>
      <c r="D7215" s="1">
        <v>499.59</v>
      </c>
    </row>
    <row r="7216" spans="1:4" x14ac:dyDescent="0.3">
      <c r="A7216" s="1" t="str">
        <f>"06000892100"</f>
        <v>06000892100</v>
      </c>
      <c r="B7216" s="1" t="str">
        <f>"LAYTON DOLORES A"</f>
        <v>LAYTON DOLORES A</v>
      </c>
      <c r="C7216" s="1" t="str">
        <f>"FARMINGTON MEADOWS CONDOMINIUM 11TH AMD BLDG 33 UNIT 2243"</f>
        <v>FARMINGTON MEADOWS CONDOMINIUM 11TH AMD BLDG 33 UNIT 2243</v>
      </c>
      <c r="D7216" s="1">
        <v>245.94</v>
      </c>
    </row>
    <row r="7217" spans="1:4" x14ac:dyDescent="0.3">
      <c r="A7217" s="1" t="str">
        <f>"01023011000"</f>
        <v>01023011000</v>
      </c>
      <c r="B7217" s="1" t="str">
        <f>"LAZAREVSKI NIKOLA"</f>
        <v>LAZAREVSKI NIKOLA</v>
      </c>
      <c r="C7217" s="1" t="str">
        <f>"MCNEILL FARMS EAST CONDOMINIUM 4TH AMD UNIT 44F"</f>
        <v>MCNEILL FARMS EAST CONDOMINIUM 4TH AMD UNIT 44F</v>
      </c>
      <c r="D7217" s="1">
        <v>2136.84</v>
      </c>
    </row>
    <row r="7218" spans="1:4" x14ac:dyDescent="0.3">
      <c r="A7218" s="1" t="str">
        <f>"13000414000"</f>
        <v>13000414000</v>
      </c>
      <c r="B7218" s="1" t="str">
        <f>"LAZCANO JOHN"</f>
        <v>LAZCANO JOHN</v>
      </c>
      <c r="C7218" s="1" t="str">
        <f>"35FT ES ELMORE LOT77  "</f>
        <v xml:space="preserve">35FT ES ELMORE LOT77  </v>
      </c>
      <c r="D7218" s="1">
        <v>466.58</v>
      </c>
    </row>
    <row r="7219" spans="1:4" x14ac:dyDescent="0.3">
      <c r="A7219" s="1" t="str">
        <f>"15300004600"</f>
        <v>15300004600</v>
      </c>
      <c r="B7219" s="1" t="str">
        <f>"LAZMOSIS INC"</f>
        <v>LAZMOSIS INC</v>
      </c>
      <c r="C7219" s="1" t="str">
        <f>"ALUM CREEK DR R22 T4 S13 1.745 ACRES"</f>
        <v>ALUM CREEK DR R22 T4 S13 1.745 ACRES</v>
      </c>
      <c r="D7219" s="1">
        <v>818.31</v>
      </c>
    </row>
    <row r="7220" spans="1:4" x14ac:dyDescent="0.3">
      <c r="A7220" s="1" t="str">
        <f>"15300003700"</f>
        <v>15300003700</v>
      </c>
      <c r="B7220" s="1" t="str">
        <f>"LAZMOSIS INC"</f>
        <v>LAZMOSIS INC</v>
      </c>
      <c r="C7220" s="1" t="str">
        <f>"4265 ALUM CREEK DR R22 T4 S13 3.056 ACRES"</f>
        <v>4265 ALUM CREEK DR R22 T4 S13 3.056 ACRES</v>
      </c>
      <c r="D7220" s="1">
        <v>3962.13</v>
      </c>
    </row>
    <row r="7221" spans="1:4" x14ac:dyDescent="0.3">
      <c r="A7221" s="1" t="str">
        <f>"01000819800"</f>
        <v>01000819800</v>
      </c>
      <c r="B7221" s="1" t="str">
        <f>"LDA INVESTMENTS LLC"</f>
        <v>LDA INVESTMENTS LLC</v>
      </c>
      <c r="C7221" s="1" t="str">
        <f>"443-49 W 3RD AVE          COLLINS ET AL             LOT 648-649              "</f>
        <v xml:space="preserve">443-49 W 3RD AVE          COLLINS ET AL             LOT 648-649              </v>
      </c>
      <c r="D7221" s="1">
        <v>12363.49</v>
      </c>
    </row>
    <row r="7222" spans="1:4" x14ac:dyDescent="0.3">
      <c r="A7222" s="1" t="str">
        <f>"01002065800"</f>
        <v>01002065800</v>
      </c>
      <c r="B7222" s="1" t="str">
        <f>"LDA INVESTMENTS LLC"</f>
        <v>LDA INVESTMENTS LLC</v>
      </c>
      <c r="C7222" s="1" t="str">
        <f>"1111 MICHIGAN AVE         COLLINS ATKINSON          &amp; GUITNER 650            "</f>
        <v xml:space="preserve">1111 MICHIGAN AVE         COLLINS ATKINSON          &amp; GUITNER 650            </v>
      </c>
      <c r="D7222" s="1">
        <v>3137.98</v>
      </c>
    </row>
    <row r="7223" spans="1:4" x14ac:dyDescent="0.3">
      <c r="A7223" s="1" t="str">
        <f>"01000191700"</f>
        <v>01000191700</v>
      </c>
      <c r="B7223" s="1" t="str">
        <f>"LDA INVESTMENTS LLC"</f>
        <v>LDA INVESTMENTS LLC</v>
      </c>
      <c r="C7223" s="1" t="str">
        <f>"509-511 W 3RD AVE         H M NEIL SUB              LOTS 11 &amp; 12             "</f>
        <v xml:space="preserve">509-511 W 3RD AVE         H M NEIL SUB              LOTS 11 &amp; 12             </v>
      </c>
      <c r="D7223" s="1">
        <v>9598.76</v>
      </c>
    </row>
    <row r="7224" spans="1:4" x14ac:dyDescent="0.3">
      <c r="A7224" s="1" t="str">
        <f>"01026648000"</f>
        <v>01026648000</v>
      </c>
      <c r="B7224" s="1" t="str">
        <f>"LDA INVESTMENTS LLC"</f>
        <v>LDA INVESTMENTS LLC</v>
      </c>
      <c r="C7224" s="1" t="str">
        <f>"SO-LOFT CONDOMINIUM UNIT 1 "</f>
        <v xml:space="preserve">SO-LOFT CONDOMINIUM UNIT 1 </v>
      </c>
      <c r="D7224" s="1">
        <v>9538.52</v>
      </c>
    </row>
    <row r="7225" spans="1:4" x14ac:dyDescent="0.3">
      <c r="A7225" s="1" t="str">
        <f>"01026648100"</f>
        <v>01026648100</v>
      </c>
      <c r="B7225" s="1" t="str">
        <f>"LDA INVESTMENTS LLC"</f>
        <v>LDA INVESTMENTS LLC</v>
      </c>
      <c r="C7225" s="1" t="str">
        <f>"SO-LOFT CONDOMINIUM UNIT 2 "</f>
        <v xml:space="preserve">SO-LOFT CONDOMINIUM UNIT 2 </v>
      </c>
      <c r="D7225" s="1">
        <v>7693.05</v>
      </c>
    </row>
    <row r="7226" spans="1:4" x14ac:dyDescent="0.3">
      <c r="A7226" s="1" t="str">
        <f>"59017969000"</f>
        <v>59017969000</v>
      </c>
      <c r="B7226" s="1" t="str">
        <f>"LDV ENTERPRISES LLC"</f>
        <v>LDV ENTERPRISES LLC</v>
      </c>
      <c r="C7226" s="1" t="str">
        <f>"WAKESHIRE DR RIVERSIDE GREEN SO 1 LOT 54"</f>
        <v>WAKESHIRE DR RIVERSIDE GREEN SO 1 LOT 54</v>
      </c>
      <c r="D7226" s="1">
        <v>3556.99</v>
      </c>
    </row>
    <row r="7227" spans="1:4" x14ac:dyDescent="0.3">
      <c r="A7227" s="1" t="str">
        <f>"05000602100"</f>
        <v>05000602100</v>
      </c>
      <c r="B7227" s="1" t="str">
        <f>"LE BRUCE L, DOAN HEINHAU T"</f>
        <v>LE BRUCE L, DOAN HEINHAU T</v>
      </c>
      <c r="C7227" s="1" t="str">
        <f>"CHAPMAN COURT WESTBRIAR SECTION 1 LOT 36"</f>
        <v>CHAPMAN COURT WESTBRIAR SECTION 1 LOT 36</v>
      </c>
      <c r="D7227" s="1">
        <v>486.47</v>
      </c>
    </row>
    <row r="7228" spans="1:4" x14ac:dyDescent="0.3">
      <c r="A7228" s="1" t="str">
        <f>"01014489400"</f>
        <v>01014489400</v>
      </c>
      <c r="B7228" s="1" t="str">
        <f>"LE HUYEN H, LE CAROL"</f>
        <v>LE HUYEN H, LE CAROL</v>
      </c>
      <c r="C7228" s="1" t="str">
        <f>"PIN OAK DR FOREST PK E SEC 2 LOT 212"</f>
        <v>PIN OAK DR FOREST PK E SEC 2 LOT 212</v>
      </c>
      <c r="D7228" s="1">
        <v>222.8</v>
      </c>
    </row>
    <row r="7229" spans="1:4" x14ac:dyDescent="0.3">
      <c r="A7229" s="1" t="str">
        <f>"02500633900"</f>
        <v>02500633900</v>
      </c>
      <c r="B7229" s="1" t="str">
        <f>"LE NICOLETTE"</f>
        <v>LE NICOLETTE</v>
      </c>
      <c r="C7229" s="1" t="str">
        <f>"93 HELMBRIGHT DRIVE HUNTERS RIDGE SEC 6 PT LOT 432"</f>
        <v>93 HELMBRIGHT DRIVE HUNTERS RIDGE SEC 6 PT LOT 432</v>
      </c>
      <c r="D7229" s="1">
        <v>2818.95</v>
      </c>
    </row>
    <row r="7230" spans="1:4" x14ac:dyDescent="0.3">
      <c r="A7230" s="1" t="str">
        <f>"01003352900"</f>
        <v>01003352900</v>
      </c>
      <c r="B7230" s="1" t="str">
        <f>"LE SYLVIE"</f>
        <v>LE SYLVIE</v>
      </c>
      <c r="C7230" s="1" t="str">
        <f>"SPRINGMONT AVE HAZELWOOD LOT 42"</f>
        <v>SPRINGMONT AVE HAZELWOOD LOT 42</v>
      </c>
      <c r="D7230" s="1">
        <v>278.75</v>
      </c>
    </row>
    <row r="7231" spans="1:4" x14ac:dyDescent="0.3">
      <c r="A7231" s="1" t="str">
        <f>"61020094900"</f>
        <v>61020094900</v>
      </c>
      <c r="B7231" s="1" t="str">
        <f>"LE TONY B"</f>
        <v>LE TONY B</v>
      </c>
      <c r="C7231" s="1" t="str">
        <f>"WORTHINGTON WOODS WEST CONDO 4 UNIT R-3"</f>
        <v>WORTHINGTON WOODS WEST CONDO 4 UNIT R-3</v>
      </c>
      <c r="D7231" s="1">
        <v>1799.03</v>
      </c>
    </row>
    <row r="7232" spans="1:4" x14ac:dyDescent="0.3">
      <c r="A7232" s="1" t="str">
        <f>"01007250200"</f>
        <v>01007250200</v>
      </c>
      <c r="B7232" s="1" t="str">
        <f>"LE TRONG NHAN, NGUYEN PHOUNG BACH"</f>
        <v>LE TRONG NHAN, NGUYEN PHOUNG BACH</v>
      </c>
      <c r="C7232" s="1" t="str">
        <f>"765 HUDSON ST HIAWATHA PARK PL LOT 1 RES A"</f>
        <v>765 HUDSON ST HIAWATHA PARK PL LOT 1 RES A</v>
      </c>
      <c r="D7232" s="1">
        <v>5071.0200000000004</v>
      </c>
    </row>
    <row r="7233" spans="1:4" x14ac:dyDescent="0.3">
      <c r="A7233" s="1" t="str">
        <f>"27300290300"</f>
        <v>27300290300</v>
      </c>
      <c r="B7233" s="1" t="str">
        <f>"LEACH MOLLY MORGAN"</f>
        <v>LEACH MOLLY MORGAN</v>
      </c>
      <c r="C7233" s="1" t="str">
        <f>"5359 SHANNON PK DR SHANNON PK SEC2 PH 2 ES LOT 156"</f>
        <v>5359 SHANNON PK DR SHANNON PK SEC2 PH 2 ES LOT 156</v>
      </c>
      <c r="D7233" s="1">
        <v>6794.08</v>
      </c>
    </row>
    <row r="7234" spans="1:4" x14ac:dyDescent="0.3">
      <c r="A7234" s="1" t="str">
        <f>"02500496700"</f>
        <v>02500496700</v>
      </c>
      <c r="B7234" s="1" t="str">
        <f>"LEACH RONALD W, LEACH ELLA M"</f>
        <v>LEACH RONALD W, LEACH ELLA M</v>
      </c>
      <c r="C7234" s="1" t="str">
        <f>"871 W HUMBOLDT DRIVE AMBASSADOR COMMONS LOT 62"</f>
        <v>871 W HUMBOLDT DRIVE AMBASSADOR COMMONS LOT 62</v>
      </c>
      <c r="D7234" s="1">
        <v>256.17</v>
      </c>
    </row>
    <row r="7235" spans="1:4" x14ac:dyDescent="0.3">
      <c r="A7235" s="1" t="str">
        <f>"07000775700"</f>
        <v>07000775700</v>
      </c>
      <c r="B7235" s="1" t="str">
        <f>"LEAD BALLOON HOLDINGS LLC"</f>
        <v>LEAD BALLOON HOLDINGS LLC</v>
      </c>
      <c r="C7235" s="1" t="str">
        <f>"2394 FISHINGER RD R19 T1 1/4 T1 .946 ACRE"</f>
        <v>2394 FISHINGER RD R19 T1 1/4 T1 .946 ACRE</v>
      </c>
      <c r="D7235" s="1">
        <v>584.16999999999996</v>
      </c>
    </row>
    <row r="7236" spans="1:4" x14ac:dyDescent="0.3">
      <c r="A7236" s="1" t="str">
        <f>"01009949300"</f>
        <v>01009949300</v>
      </c>
      <c r="B7236" s="1" t="str">
        <f>"LEADERSHIP NEEDED FOUNDATION INC"</f>
        <v>LEADERSHIP NEEDED FOUNDATION INC</v>
      </c>
      <c r="C7236" s="1" t="str">
        <f>"RANCK RD ACRES .239 SUB E R18 T1 SEC 1 4 T 4"</f>
        <v>RANCK RD ACRES .239 SUB E R18 T1 SEC 1 4 T 4</v>
      </c>
      <c r="D7236" s="1">
        <v>864.31</v>
      </c>
    </row>
    <row r="7237" spans="1:4" x14ac:dyDescent="0.3">
      <c r="A7237" s="1" t="str">
        <f>"01010343600"</f>
        <v>01010343600</v>
      </c>
      <c r="B7237" s="1" t="str">
        <f>"LEADSTROM KEVIN A, LEADSTROM SHERI L"</f>
        <v>LEADSTROM KEVIN A, LEADSTROM SHERI L</v>
      </c>
      <c r="C7237" s="1" t="str">
        <f>"KARL RD KARL KREST LOT 35"</f>
        <v>KARL RD KARL KREST LOT 35</v>
      </c>
      <c r="D7237" s="1">
        <v>2216.61</v>
      </c>
    </row>
    <row r="7238" spans="1:4" x14ac:dyDescent="0.3">
      <c r="A7238" s="1" t="str">
        <f>"61018148500"</f>
        <v>61018148500</v>
      </c>
      <c r="B7238" s="1" t="str">
        <f>"LEAHY ED, LEAHY VANESSA"</f>
        <v>LEAHY ED, LEAHY VANESSA</v>
      </c>
      <c r="C7238" s="1" t="str">
        <f>"1787 BIRCHFIELD CT WOODBRIDGE GREEN 1 LOT 3"</f>
        <v>1787 BIRCHFIELD CT WOODBRIDGE GREEN 1 LOT 3</v>
      </c>
      <c r="D7238" s="1">
        <v>7920.15</v>
      </c>
    </row>
    <row r="7239" spans="1:4" x14ac:dyDescent="0.3">
      <c r="A7239" s="1" t="str">
        <f>"12000094000"</f>
        <v>12000094000</v>
      </c>
      <c r="B7239" s="1" t="str">
        <f>"LEAHY JAMES J, LEAHY JULIE A"</f>
        <v>LEAHY JAMES J, LEAHY JULIE A</v>
      </c>
      <c r="C7239" s="1" t="str">
        <f>"4804 ELLIOT ROAD OQ695 ENTRY 7193 6.177 ACRES"</f>
        <v>4804 ELLIOT ROAD OQ695 ENTRY 7193 6.177 ACRES</v>
      </c>
      <c r="D7239" s="1">
        <v>6098.95</v>
      </c>
    </row>
    <row r="7240" spans="1:4" x14ac:dyDescent="0.3">
      <c r="A7240" s="1" t="str">
        <f>"17000523900"</f>
        <v>17000523900</v>
      </c>
      <c r="B7240" s="1" t="str">
        <f>"LEAHY MATTHEW"</f>
        <v>LEAHY MATTHEW</v>
      </c>
      <c r="C7240" s="1" t="str">
        <f>"5931 HAVENS ROAD R16 T1 1/4T2 7.885 ACRES"</f>
        <v>5931 HAVENS ROAD R16 T1 1/4T2 7.885 ACRES</v>
      </c>
      <c r="D7240" s="1">
        <v>7065.81</v>
      </c>
    </row>
    <row r="7241" spans="1:4" x14ac:dyDescent="0.3">
      <c r="A7241" s="1" t="str">
        <f>"25000243200"</f>
        <v>25000243200</v>
      </c>
      <c r="B7241" s="1" t="str">
        <f>"LEARD RAYMOND J"</f>
        <v>LEARD RAYMOND J</v>
      </c>
      <c r="C7241" s="1" t="str">
        <f>"EDGECLIFF DR MOUNT AIR 2 LOTS 971-973 &amp; 982-984"</f>
        <v>EDGECLIFF DR MOUNT AIR 2 LOTS 971-973 &amp; 982-984</v>
      </c>
      <c r="D7241" s="1">
        <v>4188.13</v>
      </c>
    </row>
    <row r="7242" spans="1:4" x14ac:dyDescent="0.3">
      <c r="A7242" s="1" t="str">
        <f>"01013252900"</f>
        <v>01013252900</v>
      </c>
      <c r="B7242" s="1" t="str">
        <f>"LEARY BRIAN R"</f>
        <v>LEARY BRIAN R</v>
      </c>
      <c r="C7242" s="1" t="str">
        <f>"BELDEN RD WOODWARD PARK LOT 127"</f>
        <v>BELDEN RD WOODWARD PARK LOT 127</v>
      </c>
      <c r="D7242" s="1">
        <v>2338.9699999999998</v>
      </c>
    </row>
    <row r="7243" spans="1:4" x14ac:dyDescent="0.3">
      <c r="A7243" s="1" t="str">
        <f>"01009954100"</f>
        <v>01009954100</v>
      </c>
      <c r="B7243" s="1" t="str">
        <f>"LECKRONE GLEN M, LECKRONE JEAN D"</f>
        <v>LECKRONE GLEN M, LECKRONE JEAN D</v>
      </c>
      <c r="C7243" s="1" t="str">
        <f>"BOLTON AVE BEECHWOOD LOT 69"</f>
        <v>BOLTON AVE BEECHWOOD LOT 69</v>
      </c>
      <c r="D7243" s="1">
        <v>68.48</v>
      </c>
    </row>
    <row r="7244" spans="1:4" x14ac:dyDescent="0.3">
      <c r="A7244" s="1" t="str">
        <f>"21200144900"</f>
        <v>21200144900</v>
      </c>
      <c r="B7244" s="1" t="str">
        <f>"LECLAIRE ELIZABETH A, LECLAIRE BRIAN P"</f>
        <v>LECLAIRE ELIZABETH A, LECLAIRE BRIAN P</v>
      </c>
      <c r="C7244" s="1" t="str">
        <f>"THE COURTYARDS ON RIVERSIDE PHASE 2 LOT 111"</f>
        <v>THE COURTYARDS ON RIVERSIDE PHASE 2 LOT 111</v>
      </c>
      <c r="D7244" s="1">
        <v>1016.59</v>
      </c>
    </row>
    <row r="7245" spans="1:4" x14ac:dyDescent="0.3">
      <c r="A7245" s="1" t="str">
        <f>"01004843600"</f>
        <v>01004843600</v>
      </c>
      <c r="B7245" s="1" t="str">
        <f>"LEDESMA AGUILAR MARIA A"</f>
        <v>LEDESMA AGUILAR MARIA A</v>
      </c>
      <c r="C7245" s="1" t="str">
        <f>"JEFFERSON AVE DREXEL PARK LOT 186"</f>
        <v>JEFFERSON AVE DREXEL PARK LOT 186</v>
      </c>
      <c r="D7245" s="1">
        <v>23.52</v>
      </c>
    </row>
    <row r="7246" spans="1:4" x14ac:dyDescent="0.3">
      <c r="A7246" s="1" t="str">
        <f>"01021846100"</f>
        <v>01021846100</v>
      </c>
      <c r="B7246" s="1" t="str">
        <f>"LEDINSKI WANDA L"</f>
        <v>LEDINSKI WANDA L</v>
      </c>
      <c r="C7246" s="1" t="str">
        <f>"SHARON WOODS SENIOR VILLAGE CONDOMINIUM UNIT 304"</f>
        <v>SHARON WOODS SENIOR VILLAGE CONDOMINIUM UNIT 304</v>
      </c>
      <c r="D7246" s="1">
        <v>57.04</v>
      </c>
    </row>
    <row r="7247" spans="1:4" x14ac:dyDescent="0.3">
      <c r="A7247" s="1" t="str">
        <f>"19100069400"</f>
        <v>19100069400</v>
      </c>
      <c r="B7247" s="1" t="str">
        <f>"LEDSOME DIANE K, HOLT KATHIE A"</f>
        <v>LEDSOME DIANE K, HOLT KATHIE A</v>
      </c>
      <c r="C7247" s="1" t="str">
        <f>"GEORGIA AVE LEONARD PARK LOTS 45 &amp; 46 BLK H"</f>
        <v>GEORGIA AVE LEONARD PARK LOTS 45 &amp; 46 BLK H</v>
      </c>
      <c r="D7247" s="1">
        <v>176.73</v>
      </c>
    </row>
    <row r="7248" spans="1:4" x14ac:dyDescent="0.3">
      <c r="A7248" s="1" t="str">
        <f>"01007613000"</f>
        <v>01007613000</v>
      </c>
      <c r="B7248" s="1" t="str">
        <f>"LEE ARINDA S"</f>
        <v>LEE ARINDA S</v>
      </c>
      <c r="C7248" s="1" t="str">
        <f>"MINNESOTA AVE 50 FT E S MINNESOTA PLACE LOT 57"</f>
        <v>MINNESOTA AVE 50 FT E S MINNESOTA PLACE LOT 57</v>
      </c>
      <c r="D7248" s="1">
        <v>1702.91</v>
      </c>
    </row>
    <row r="7249" spans="1:4" x14ac:dyDescent="0.3">
      <c r="A7249" s="1" t="str">
        <f>"07000654900"</f>
        <v>07000654900</v>
      </c>
      <c r="B7249" s="1" t="str">
        <f>"LEE BOB"</f>
        <v>LEE BOB</v>
      </c>
      <c r="C7249" s="1" t="str">
        <f>"CRANFORD RD RIVER RIDGE 16 BLK 21"</f>
        <v>CRANFORD RD RIVER RIDGE 16 BLK 21</v>
      </c>
      <c r="D7249" s="1">
        <v>3719.59</v>
      </c>
    </row>
    <row r="7250" spans="1:4" x14ac:dyDescent="0.3">
      <c r="A7250" s="1" t="str">
        <f>"02501330100"</f>
        <v>02501330100</v>
      </c>
      <c r="B7250" s="1" t="str">
        <f>"LEE CATHERINE J"</f>
        <v>LEE CATHERINE J</v>
      </c>
      <c r="C7250" s="1" t="str">
        <f>"GAHANNA GROVE CONDOMINIUM 6TH AMD BLDG 31 UNIT 3106"</f>
        <v>GAHANNA GROVE CONDOMINIUM 6TH AMD BLDG 31 UNIT 3106</v>
      </c>
      <c r="D7250" s="1">
        <v>2268.13</v>
      </c>
    </row>
    <row r="7251" spans="1:4" x14ac:dyDescent="0.3">
      <c r="A7251" s="1" t="str">
        <f>"01027189700"</f>
        <v>01027189700</v>
      </c>
      <c r="B7251" s="1" t="str">
        <f>"LEE DAVID T"</f>
        <v>LEE DAVID T</v>
      </c>
      <c r="C7251" s="1" t="str">
        <f>"WHITE OAK CONDOMINIUM 3RD AMD BLDG 14 UNIT 14-6507"</f>
        <v>WHITE OAK CONDOMINIUM 3RD AMD BLDG 14 UNIT 14-6507</v>
      </c>
      <c r="D7251" s="1">
        <v>2629.96</v>
      </c>
    </row>
    <row r="7252" spans="1:4" x14ac:dyDescent="0.3">
      <c r="A7252" s="1" t="str">
        <f>"07000283400"</f>
        <v>07000283400</v>
      </c>
      <c r="B7252" s="1" t="str">
        <f>"LEE DEANNA, LEE AARON"</f>
        <v>LEE DEANNA, LEE AARON</v>
      </c>
      <c r="C7252" s="1" t="str">
        <f>"1798 WYANDOTTE RD UPPER ARLINGTON LOT 6 BLK 154"</f>
        <v>1798 WYANDOTTE RD UPPER ARLINGTON LOT 6 BLK 154</v>
      </c>
      <c r="D7252" s="1">
        <v>15382.82</v>
      </c>
    </row>
    <row r="7253" spans="1:4" x14ac:dyDescent="0.3">
      <c r="A7253" s="1" t="str">
        <f>"01019515700"</f>
        <v>01019515700</v>
      </c>
      <c r="B7253" s="1" t="str">
        <f>"LEE DIANA L"</f>
        <v>LEE DIANA L</v>
      </c>
      <c r="C7253" s="1" t="str">
        <f>"E BROAD ST PARK TOWERS CONDO UNIT 207"</f>
        <v>E BROAD ST PARK TOWERS CONDO UNIT 207</v>
      </c>
      <c r="D7253" s="1">
        <v>83.89</v>
      </c>
    </row>
    <row r="7254" spans="1:4" x14ac:dyDescent="0.3">
      <c r="A7254" s="1" t="str">
        <f>"01024518800"</f>
        <v>01024518800</v>
      </c>
      <c r="B7254" s="1" t="str">
        <f>"LEE DIANE LYNN"</f>
        <v>LEE DIANE LYNN</v>
      </c>
      <c r="C7254" s="1" t="str">
        <f>"GENDER PARK CONDOMINIUM 2ND AMD UNIT 14A"</f>
        <v>GENDER PARK CONDOMINIUM 2ND AMD UNIT 14A</v>
      </c>
      <c r="D7254" s="1">
        <v>1001.08</v>
      </c>
    </row>
    <row r="7255" spans="1:4" x14ac:dyDescent="0.3">
      <c r="A7255" s="1" t="str">
        <f>"59017715200"</f>
        <v>59017715200</v>
      </c>
      <c r="B7255" s="1" t="str">
        <f>"LEE ERLING O TR, LEE SUSAN E TR"</f>
        <v>LEE ERLING O TR, LEE SUSAN E TR</v>
      </c>
      <c r="C7255" s="1" t="str">
        <f>"SONNINGTON DR OLDE SAWMILL SEC 5 LOT 577"</f>
        <v>SONNINGTON DR OLDE SAWMILL SEC 5 LOT 577</v>
      </c>
      <c r="D7255" s="1">
        <v>410.85</v>
      </c>
    </row>
    <row r="7256" spans="1:4" x14ac:dyDescent="0.3">
      <c r="A7256" s="1" t="str">
        <f>"01015678800"</f>
        <v>01015678800</v>
      </c>
      <c r="B7256" s="1" t="str">
        <f>"LEE GREGORY"</f>
        <v>LEE GREGORY</v>
      </c>
      <c r="C7256" s="1" t="str">
        <f>"RICH TREE ROAD CUMBERLAND RIDGE SEC 2 LOT 248"</f>
        <v>RICH TREE ROAD CUMBERLAND RIDGE SEC 2 LOT 248</v>
      </c>
      <c r="D7256" s="1">
        <v>3097.64</v>
      </c>
    </row>
    <row r="7257" spans="1:4" x14ac:dyDescent="0.3">
      <c r="A7257" s="1" t="str">
        <f>"01014502800"</f>
        <v>01014502800</v>
      </c>
      <c r="B7257" s="1" t="str">
        <f>"LEE GREGORY"</f>
        <v>LEE GREGORY</v>
      </c>
      <c r="C7257" s="1" t="str">
        <f>"HEATON RD NORTHLAND VILLAGE EAST LOT 44"</f>
        <v>HEATON RD NORTHLAND VILLAGE EAST LOT 44</v>
      </c>
      <c r="D7257" s="1">
        <v>4098.63</v>
      </c>
    </row>
    <row r="7258" spans="1:4" x14ac:dyDescent="0.3">
      <c r="A7258" s="1" t="str">
        <f>"01015681200"</f>
        <v>01015681200</v>
      </c>
      <c r="B7258" s="1" t="str">
        <f>"LEE GREGORY M"</f>
        <v>LEE GREGORY M</v>
      </c>
      <c r="C7258" s="1" t="str">
        <f>"RICHTREE ROAD CUMBERLAND RIDGE SEC 2 LOT 272"</f>
        <v>RICHTREE ROAD CUMBERLAND RIDGE SEC 2 LOT 272</v>
      </c>
      <c r="D7258" s="1">
        <v>3114.07</v>
      </c>
    </row>
    <row r="7259" spans="1:4" x14ac:dyDescent="0.3">
      <c r="A7259" s="1" t="str">
        <f>"01014508500"</f>
        <v>01014508500</v>
      </c>
      <c r="B7259" s="1" t="str">
        <f>"LEE GREGORY M"</f>
        <v>LEE GREGORY M</v>
      </c>
      <c r="C7259" s="1" t="str">
        <f>"HEATON RD NORTHLAND VILLAGE EAST LOT 101"</f>
        <v>HEATON RD NORTHLAND VILLAGE EAST LOT 101</v>
      </c>
      <c r="D7259" s="1">
        <v>4259.99</v>
      </c>
    </row>
    <row r="7260" spans="1:4" x14ac:dyDescent="0.3">
      <c r="A7260" s="1" t="str">
        <f>"01023302100"</f>
        <v>01023302100</v>
      </c>
      <c r="B7260" s="1" t="str">
        <f>"LEE HARRY S, LEE PALMA E"</f>
        <v>LEE HARRY S, LEE PALMA E</v>
      </c>
      <c r="C7260" s="1" t="str">
        <f>"MCNEILL FARMS EAST CONDOMINIUM 12TH AMD UNIT 77B"</f>
        <v>MCNEILL FARMS EAST CONDOMINIUM 12TH AMD UNIT 77B</v>
      </c>
      <c r="D7260" s="1">
        <v>2394.94</v>
      </c>
    </row>
    <row r="7261" spans="1:4" x14ac:dyDescent="0.3">
      <c r="A7261" s="1" t="str">
        <f>"01022562700"</f>
        <v>01022562700</v>
      </c>
      <c r="B7261" s="1" t="str">
        <f>"LEE JAMES R TOD"</f>
        <v>LEE JAMES R TOD</v>
      </c>
      <c r="C7261" s="1" t="str">
        <f>"COURTNEY PLACE COURTNEY PLACE LOT 9"</f>
        <v>COURTNEY PLACE COURTNEY PLACE LOT 9</v>
      </c>
      <c r="D7261" s="1">
        <v>439.69</v>
      </c>
    </row>
    <row r="7262" spans="1:4" x14ac:dyDescent="0.3">
      <c r="A7262" s="1" t="str">
        <f>"56026942000"</f>
        <v>56026942000</v>
      </c>
      <c r="B7262" s="1" t="str">
        <f>"LEE JENE F, GUO LIANBIN"</f>
        <v>LEE JENE F, GUO LIANBIN</v>
      </c>
      <c r="C7262" s="1" t="str">
        <f>"GIBBSTONE DRIVE DARBY POINTE LOT 41B"</f>
        <v>GIBBSTONE DRIVE DARBY POINTE LOT 41B</v>
      </c>
      <c r="D7262" s="1">
        <v>238.7</v>
      </c>
    </row>
    <row r="7263" spans="1:4" x14ac:dyDescent="0.3">
      <c r="A7263" s="1" t="str">
        <f>"01010984700"</f>
        <v>01010984700</v>
      </c>
      <c r="B7263" s="1" t="str">
        <f>"LEE JENNIFER CHRISTINA"</f>
        <v>LEE JENNIFER CHRISTINA</v>
      </c>
      <c r="C7263" s="1" t="str">
        <f>"LELAND AVE DELAWANDA LOT 164"</f>
        <v>LELAND AVE DELAWANDA LOT 164</v>
      </c>
      <c r="D7263" s="1">
        <v>1708.08</v>
      </c>
    </row>
    <row r="7264" spans="1:4" x14ac:dyDescent="0.3">
      <c r="A7264" s="1" t="str">
        <f>"01010980100"</f>
        <v>01010980100</v>
      </c>
      <c r="B7264" s="1" t="str">
        <f>"LEE JENNIFER CHRISTINA"</f>
        <v>LEE JENNIFER CHRISTINA</v>
      </c>
      <c r="C7264" s="1" t="str">
        <f>"LELAND AVE DELAWANDA LOTS 165 &amp; 166"</f>
        <v>LELAND AVE DELAWANDA LOTS 165 &amp; 166</v>
      </c>
      <c r="D7264" s="1">
        <v>6435.42</v>
      </c>
    </row>
    <row r="7265" spans="1:4" x14ac:dyDescent="0.3">
      <c r="A7265" s="1" t="str">
        <f>"01013896900"</f>
        <v>01013896900</v>
      </c>
      <c r="B7265" s="1" t="str">
        <f>"LEE KEVIN V"</f>
        <v>LEE KEVIN V</v>
      </c>
      <c r="C7265" s="1" t="str">
        <f>"KARL RD KARL MEADOWS 2 LOT 269"</f>
        <v>KARL RD KARL MEADOWS 2 LOT 269</v>
      </c>
      <c r="D7265" s="1">
        <v>3246.66</v>
      </c>
    </row>
    <row r="7266" spans="1:4" x14ac:dyDescent="0.3">
      <c r="A7266" s="1" t="str">
        <f>"01003480000"</f>
        <v>01003480000</v>
      </c>
      <c r="B7266" s="1" t="str">
        <f>"LEE PATRICIA A, LEE MICHAEL E, LEE LUTHER R, LEE HAROLD A"</f>
        <v>LEE PATRICIA A, LEE MICHAEL E, LEE LUTHER R, LEE HAROLD A</v>
      </c>
      <c r="C7266" s="1" t="str">
        <f>"CLARENDON AVE WP ONG ETAL LOT16"</f>
        <v>CLARENDON AVE WP ONG ETAL LOT16</v>
      </c>
      <c r="D7266" s="1">
        <v>742.96</v>
      </c>
    </row>
    <row r="7267" spans="1:4" x14ac:dyDescent="0.3">
      <c r="A7267" s="1" t="str">
        <f>"01004455800"</f>
        <v>01004455800</v>
      </c>
      <c r="B7267" s="1" t="str">
        <f>"LEE REAL ESTATE SOLUTIONS LLC"</f>
        <v>LEE REAL ESTATE SOLUTIONS LLC</v>
      </c>
      <c r="C7267" s="1" t="str">
        <f>"930 SO CHAMPION AVE OLD ORCHARD LOT 258"</f>
        <v>930 SO CHAMPION AVE OLD ORCHARD LOT 258</v>
      </c>
      <c r="D7267" s="1">
        <v>4995.88</v>
      </c>
    </row>
    <row r="7268" spans="1:4" x14ac:dyDescent="0.3">
      <c r="A7268" s="1" t="str">
        <f>"01001624400"</f>
        <v>01001624400</v>
      </c>
      <c r="B7268" s="1" t="str">
        <f>"LEE ROBERT N JR"</f>
        <v>LEE ROBERT N JR</v>
      </c>
      <c r="C7268" s="1" t="str">
        <f>"1227-9OAKWOODAVE 35.94FTSSAUBURNDALE LOT 467"</f>
        <v>1227-9OAKWOODAVE 35.94FTSSAUBURNDALE LOT 467</v>
      </c>
      <c r="D7268" s="1">
        <v>3191.02</v>
      </c>
    </row>
    <row r="7269" spans="1:4" x14ac:dyDescent="0.3">
      <c r="A7269" s="1" t="str">
        <f>"18000512000"</f>
        <v>18000512000</v>
      </c>
      <c r="B7269" s="1" t="str">
        <f>"LEE RONALD L, LEE SHEILAH L"</f>
        <v>LEE RONALD L, LEE SHEILAH L</v>
      </c>
      <c r="C7269" s="1" t="str">
        <f>"HAYES ROAD R21 T11 S33 1.455 ACRES"</f>
        <v>HAYES ROAD R21 T11 S33 1.455 ACRES</v>
      </c>
      <c r="D7269" s="1">
        <v>2118.91</v>
      </c>
    </row>
    <row r="7270" spans="1:4" x14ac:dyDescent="0.3">
      <c r="A7270" s="1" t="str">
        <f>"01027654800"</f>
        <v>01027654800</v>
      </c>
      <c r="B7270" s="1" t="str">
        <f>"LEE WILSON W"</f>
        <v>LEE WILSON W</v>
      </c>
      <c r="C7270" s="1" t="str">
        <f>"SIXTY SPRING              CONDOMINIUMS              UNIT 504                 "</f>
        <v xml:space="preserve">SIXTY SPRING              CONDOMINIUMS              UNIT 504                 </v>
      </c>
      <c r="D7270" s="1">
        <v>1925.61</v>
      </c>
    </row>
    <row r="7271" spans="1:4" x14ac:dyDescent="0.3">
      <c r="A7271" s="1" t="str">
        <f>"02000127700"</f>
        <v>02000127700</v>
      </c>
      <c r="B7271" s="1" t="str">
        <f>"LEEMAN RONI J, LEEMAN BARY A"</f>
        <v>LEEMAN RONI J, LEEMAN BARY A</v>
      </c>
      <c r="C7271" s="1" t="str">
        <f>"500 S DREXEL AVE ALL LOT 3 &amp; PT LOT 2 BEXLEY PARK"</f>
        <v>500 S DREXEL AVE ALL LOT 3 &amp; PT LOT 2 BEXLEY PARK</v>
      </c>
      <c r="D7271" s="1">
        <v>745.03</v>
      </c>
    </row>
    <row r="7272" spans="1:4" x14ac:dyDescent="0.3">
      <c r="A7272" s="1" t="str">
        <f>"59017659000"</f>
        <v>59017659000</v>
      </c>
      <c r="B7272" s="1" t="str">
        <f>"LEEPER WILLIAM J, LEEPER LILY V"</f>
        <v>LEEPER WILLIAM J, LEEPER LILY V</v>
      </c>
      <c r="C7272" s="1" t="str">
        <f>"BENNINGTON HILL DR BENNINGTON WOODS .665 ACRES LOT 15"</f>
        <v>BENNINGTON HILL DR BENNINGTON WOODS .665 ACRES LOT 15</v>
      </c>
      <c r="D7272" s="1">
        <v>837.52</v>
      </c>
    </row>
    <row r="7273" spans="1:4" x14ac:dyDescent="0.3">
      <c r="A7273" s="1" t="str">
        <f>"01011298400"</f>
        <v>01011298400</v>
      </c>
      <c r="B7273" s="1" t="str">
        <f>"LEF EQUITY LLC"</f>
        <v>LEF EQUITY LLC</v>
      </c>
      <c r="C7273" s="1" t="str">
        <f>"BENFIELD AVE SOUTH HIGH ST LOT 36"</f>
        <v>BENFIELD AVE SOUTH HIGH ST LOT 36</v>
      </c>
      <c r="D7273" s="1">
        <v>859.72</v>
      </c>
    </row>
    <row r="7274" spans="1:4" x14ac:dyDescent="0.3">
      <c r="A7274" s="1" t="str">
        <f>"01012519700"</f>
        <v>01012519700</v>
      </c>
      <c r="B7274" s="1" t="str">
        <f>"LEF EQUITY LLC"</f>
        <v>LEF EQUITY LLC</v>
      </c>
      <c r="C7274" s="1" t="str">
        <f>"FAIRWOOD AVE SOUTHFIELD 2ND LOT 2"</f>
        <v>FAIRWOOD AVE SOUTHFIELD 2ND LOT 2</v>
      </c>
      <c r="D7274" s="1">
        <v>701.94</v>
      </c>
    </row>
    <row r="7275" spans="1:4" x14ac:dyDescent="0.3">
      <c r="A7275" s="1" t="str">
        <f>"01011914400"</f>
        <v>01011914400</v>
      </c>
      <c r="B7275" s="1" t="str">
        <f>"LEF EQUITY LLC"</f>
        <v>LEF EQUITY LLC</v>
      </c>
      <c r="C7275" s="1" t="str">
        <f>"FAIRWOOD AVE SOUTHFIELD LOT 168"</f>
        <v>FAIRWOOD AVE SOUTHFIELD LOT 168</v>
      </c>
      <c r="D7275" s="1">
        <v>946.43</v>
      </c>
    </row>
    <row r="7276" spans="1:4" x14ac:dyDescent="0.3">
      <c r="A7276" s="1" t="str">
        <f>"01008930400"</f>
        <v>01008930400</v>
      </c>
      <c r="B7276" s="1" t="str">
        <f>"LEF EQUITY LLC"</f>
        <v>LEF EQUITY LLC</v>
      </c>
      <c r="C7276" s="1" t="str">
        <f>"NAPOLEON AVE LINCOLN PARK 467 "</f>
        <v xml:space="preserve">NAPOLEON AVE LINCOLN PARK 467 </v>
      </c>
      <c r="D7276" s="1">
        <v>1131.26</v>
      </c>
    </row>
    <row r="7277" spans="1:4" x14ac:dyDescent="0.3">
      <c r="A7277" s="1" t="str">
        <f>"01013338300"</f>
        <v>01013338300</v>
      </c>
      <c r="B7277" s="1" t="str">
        <f>"LEF EQUITY LLC"</f>
        <v>LEF EQUITY LLC</v>
      </c>
      <c r="C7277" s="1" t="str">
        <f>"FELIX DR SOUTHFIELD 3 LOT 282"</f>
        <v>FELIX DR SOUTHFIELD 3 LOT 282</v>
      </c>
      <c r="D7277" s="1">
        <v>1520.62</v>
      </c>
    </row>
    <row r="7278" spans="1:4" x14ac:dyDescent="0.3">
      <c r="A7278" s="1" t="str">
        <f>"01012539600"</f>
        <v>01012539600</v>
      </c>
      <c r="B7278" s="1" t="str">
        <f>"LEF EQUITY LLC"</f>
        <v>LEF EQUITY LLC</v>
      </c>
      <c r="C7278" s="1" t="str">
        <f>"WEIRTON DR SOUTHFIELD 2ND LOT 201"</f>
        <v>WEIRTON DR SOUTHFIELD 2ND LOT 201</v>
      </c>
      <c r="D7278" s="1">
        <v>569.46</v>
      </c>
    </row>
    <row r="7279" spans="1:4" x14ac:dyDescent="0.3">
      <c r="A7279" s="1" t="str">
        <f>"01006969600"</f>
        <v>01006969600</v>
      </c>
      <c r="B7279" s="1" t="str">
        <f>"LEFTWICH LARRY E"</f>
        <v>LEFTWICH LARRY E</v>
      </c>
      <c r="C7279" s="1" t="str">
        <f>"DELBERT RD MULBUR PARK LOT 93"</f>
        <v>DELBERT RD MULBUR PARK LOT 93</v>
      </c>
      <c r="D7279" s="1">
        <v>106.29</v>
      </c>
    </row>
    <row r="7280" spans="1:4" x14ac:dyDescent="0.3">
      <c r="A7280" s="1" t="str">
        <f>"01011903500"</f>
        <v>01011903500</v>
      </c>
      <c r="B7280" s="1" t="str">
        <f>"LEFTWICH PEARLENE"</f>
        <v>LEFTWICH PEARLENE</v>
      </c>
      <c r="C7280" s="1" t="str">
        <f>"GROVEWOOD DR SOUTHFIELD LOT 58"</f>
        <v>GROVEWOOD DR SOUTHFIELD LOT 58</v>
      </c>
      <c r="D7280" s="1">
        <v>1940</v>
      </c>
    </row>
    <row r="7281" spans="1:4" x14ac:dyDescent="0.3">
      <c r="A7281" s="1" t="str">
        <f>"01004543600"</f>
        <v>01004543600</v>
      </c>
      <c r="B7281" s="1" t="str">
        <f>"LEGACY BUILDING GROUP LLC"</f>
        <v>LEGACY BUILDING GROUP LLC</v>
      </c>
      <c r="C7281" s="1" t="str">
        <f>"468 RHODES AVE MARTIN &amp; STAGES LOT 11"</f>
        <v>468 RHODES AVE MARTIN &amp; STAGES LOT 11</v>
      </c>
      <c r="D7281" s="1">
        <v>170.73</v>
      </c>
    </row>
    <row r="7282" spans="1:4" x14ac:dyDescent="0.3">
      <c r="A7282" s="1" t="str">
        <f>"01009215200"</f>
        <v>01009215200</v>
      </c>
      <c r="B7282" s="1" t="str">
        <f>"LEGACY BUILDING GROUP LLC"</f>
        <v>LEGACY BUILDING GROUP LLC</v>
      </c>
      <c r="C7282" s="1" t="str">
        <f>"MAIN ST BEXLEY PARK EXT LOT 57"</f>
        <v>MAIN ST BEXLEY PARK EXT LOT 57</v>
      </c>
      <c r="D7282" s="1">
        <v>8594.92</v>
      </c>
    </row>
    <row r="7283" spans="1:4" x14ac:dyDescent="0.3">
      <c r="A7283" s="1" t="str">
        <f>"01003825400"</f>
        <v>01003825400</v>
      </c>
      <c r="B7283" s="1" t="str">
        <f>"LEGACY BUILDING GROUP LLC"</f>
        <v>LEGACY BUILDING GROUP LLC</v>
      </c>
      <c r="C7283" s="1" t="str">
        <f>"MAIN ST BEXLEY PARK EST LOT 55-56"</f>
        <v>MAIN ST BEXLEY PARK EST LOT 55-56</v>
      </c>
      <c r="D7283" s="1">
        <v>1727.76</v>
      </c>
    </row>
    <row r="7284" spans="1:4" x14ac:dyDescent="0.3">
      <c r="A7284" s="1" t="str">
        <f>"01005301900"</f>
        <v>01005301900</v>
      </c>
      <c r="B7284" s="1" t="str">
        <f>"LEGACY BUILDING GROUP LLC"</f>
        <v>LEGACY BUILDING GROUP LLC</v>
      </c>
      <c r="C7284" s="1" t="str">
        <f>"1878 E MAIN ST MARTIN &amp; STAGES LOT SUB 11"</f>
        <v>1878 E MAIN ST MARTIN &amp; STAGES LOT SUB 11</v>
      </c>
      <c r="D7284" s="1">
        <v>1527.52</v>
      </c>
    </row>
    <row r="7285" spans="1:4" x14ac:dyDescent="0.3">
      <c r="A7285" s="1" t="str">
        <f>"01001626800"</f>
        <v>01001626800</v>
      </c>
      <c r="B7285" s="1" t="str">
        <f>"LEGACY BUILDING GROUP LLC"</f>
        <v>LEGACY BUILDING GROUP LLC</v>
      </c>
      <c r="C7285" s="1" t="str">
        <f>"1890 E MAIN ST ALL 13 &amp; 62.932 FT E S OF 12 &amp;"</f>
        <v>1890 E MAIN ST ALL 13 &amp; 62.932 FT E S OF 12 &amp;</v>
      </c>
      <c r="D7285" s="1">
        <v>10125.59</v>
      </c>
    </row>
    <row r="7286" spans="1:4" x14ac:dyDescent="0.3">
      <c r="A7286" s="1" t="str">
        <f>"01000363600"</f>
        <v>01000363600</v>
      </c>
      <c r="B7286" s="1" t="str">
        <f>"LEGACY HOME INVESTMENTS LLC"</f>
        <v>LEGACY HOME INVESTMENTS LLC</v>
      </c>
      <c r="C7286" s="1" t="str">
        <f>"1449 E FULTON ST T MILLER LOT 38 EX 22' E S"</f>
        <v>1449 E FULTON ST T MILLER LOT 38 EX 22' E S</v>
      </c>
      <c r="D7286" s="1">
        <v>312.63</v>
      </c>
    </row>
    <row r="7287" spans="1:4" x14ac:dyDescent="0.3">
      <c r="A7287" s="1" t="str">
        <f>"01014408100"</f>
        <v>01014408100</v>
      </c>
      <c r="B7287" s="1" t="str">
        <f>"LEGACY OHIO HOMES LLC"</f>
        <v>LEGACY OHIO HOMES LLC</v>
      </c>
      <c r="C7287" s="1" t="str">
        <f>"DEVONSHIRE 7 LOT 965 "</f>
        <v xml:space="preserve">DEVONSHIRE 7 LOT 965 </v>
      </c>
      <c r="D7287" s="1">
        <v>561.29999999999995</v>
      </c>
    </row>
    <row r="7288" spans="1:4" x14ac:dyDescent="0.3">
      <c r="A7288" s="1" t="str">
        <f>"20000185900"</f>
        <v>20000185900</v>
      </c>
      <c r="B7288" s="1" t="str">
        <f>"LEGACY RE GROUP LLC"</f>
        <v>LEGACY RE GROUP LLC</v>
      </c>
      <c r="C7288" s="1" t="str">
        <f>"SATURN RD STRATFORD 3 9 "</f>
        <v xml:space="preserve">SATURN RD STRATFORD 3 9 </v>
      </c>
      <c r="D7288" s="1">
        <v>763.81</v>
      </c>
    </row>
    <row r="7289" spans="1:4" x14ac:dyDescent="0.3">
      <c r="A7289" s="1" t="str">
        <f>"01000522900"</f>
        <v>01000522900</v>
      </c>
      <c r="B7289" s="1" t="str">
        <f>"LEGACY X BLIMPTOWN LLC"</f>
        <v>LEGACY X BLIMPTOWN LLC</v>
      </c>
      <c r="C7289" s="1" t="str">
        <f>"NEFF ST MONYPENY LOT 22"</f>
        <v>NEFF ST MONYPENY LOT 22</v>
      </c>
      <c r="D7289" s="1">
        <v>395.49</v>
      </c>
    </row>
    <row r="7290" spans="1:4" x14ac:dyDescent="0.3">
      <c r="A7290" s="1" t="str">
        <f>"01000523000"</f>
        <v>01000523000</v>
      </c>
      <c r="B7290" s="1" t="str">
        <f>"LEGACY X BLIMPTOWN LLC"</f>
        <v>LEGACY X BLIMPTOWN LLC</v>
      </c>
      <c r="C7290" s="1" t="str">
        <f>"NEFF ST MONYPENY LOT 23"</f>
        <v>NEFF ST MONYPENY LOT 23</v>
      </c>
      <c r="D7290" s="1">
        <v>395.49</v>
      </c>
    </row>
    <row r="7291" spans="1:4" x14ac:dyDescent="0.3">
      <c r="A7291" s="1" t="str">
        <f>"01000523100"</f>
        <v>01000523100</v>
      </c>
      <c r="B7291" s="1" t="str">
        <f>"LEGACY X BLIMPTOWN LLC"</f>
        <v>LEGACY X BLIMPTOWN LLC</v>
      </c>
      <c r="C7291" s="1" t="str">
        <f>"NEFF ST MONYPENY LOT 24"</f>
        <v>NEFF ST MONYPENY LOT 24</v>
      </c>
      <c r="D7291" s="1">
        <v>395.49</v>
      </c>
    </row>
    <row r="7292" spans="1:4" x14ac:dyDescent="0.3">
      <c r="A7292" s="1" t="str">
        <f>"01000523200"</f>
        <v>01000523200</v>
      </c>
      <c r="B7292" s="1" t="str">
        <f>"LEGACY X BLIMPTOWN LLC"</f>
        <v>LEGACY X BLIMPTOWN LLC</v>
      </c>
      <c r="C7292" s="1" t="str">
        <f>"64 W NEFF MONYPENY LOT 25"</f>
        <v>64 W NEFF MONYPENY LOT 25</v>
      </c>
      <c r="D7292" s="1">
        <v>6430.51</v>
      </c>
    </row>
    <row r="7293" spans="1:4" x14ac:dyDescent="0.3">
      <c r="A7293" s="1" t="str">
        <f>"01003362400"</f>
        <v>01003362400</v>
      </c>
      <c r="B7293" s="1" t="str">
        <f>"LEGACY X BLIMPTOWN LLC"</f>
        <v>LEGACY X BLIMPTOWN LLC</v>
      </c>
      <c r="C7293" s="1" t="str">
        <f>"58 W NEFF AVE MONYOENY LOT 26"</f>
        <v>58 W NEFF AVE MONYOENY LOT 26</v>
      </c>
      <c r="D7293" s="1">
        <v>3128.04</v>
      </c>
    </row>
    <row r="7294" spans="1:4" x14ac:dyDescent="0.3">
      <c r="A7294" s="1" t="str">
        <f>"01001506100"</f>
        <v>01001506100</v>
      </c>
      <c r="B7294" s="1" t="str">
        <f>"LEGUE MARY E"</f>
        <v>LEGUE MARY E</v>
      </c>
      <c r="C7294" s="1" t="str">
        <f>"795 SO 18TH ST SWAYNE LOTS 268-269"</f>
        <v>795 SO 18TH ST SWAYNE LOTS 268-269</v>
      </c>
      <c r="D7294" s="1">
        <v>1527.57</v>
      </c>
    </row>
    <row r="7295" spans="1:4" x14ac:dyDescent="0.3">
      <c r="A7295" s="1" t="str">
        <f>"53016408300"</f>
        <v>53016408300</v>
      </c>
      <c r="B7295" s="1" t="str">
        <f>"LEGUE RAYMOND E JR"</f>
        <v>LEGUE RAYMOND E JR</v>
      </c>
      <c r="C7295" s="1" t="str">
        <f>"BIG WALNUT DRIVE THREE RIVERS LOT 178"</f>
        <v>BIG WALNUT DRIVE THREE RIVERS LOT 178</v>
      </c>
      <c r="D7295" s="1">
        <v>4175.51</v>
      </c>
    </row>
    <row r="7296" spans="1:4" x14ac:dyDescent="0.3">
      <c r="A7296" s="1" t="str">
        <f>"01001976700"</f>
        <v>01001976700</v>
      </c>
      <c r="B7296" s="1" t="str">
        <f>"LEHMAN CAROL E"</f>
        <v>LEHMAN CAROL E</v>
      </c>
      <c r="C7296" s="1" t="str">
        <f>"872 THOMAS AVE OSBORN PLACE LOT 339"</f>
        <v>872 THOMAS AVE OSBORN PLACE LOT 339</v>
      </c>
      <c r="D7296" s="1">
        <v>1874.89</v>
      </c>
    </row>
    <row r="7297" spans="1:4" x14ac:dyDescent="0.3">
      <c r="A7297" s="1" t="str">
        <f>"04001020400"</f>
        <v>04001020400</v>
      </c>
      <c r="B7297" s="1" t="str">
        <f>"LEHMAN JAMES N"</f>
        <v>LEHMAN JAMES N</v>
      </c>
      <c r="C7297" s="1" t="str">
        <f>"MARLANE DR ENTRY 6843-8231 0.960 ACRES"</f>
        <v>MARLANE DR ENTRY 6843-8231 0.960 ACRES</v>
      </c>
      <c r="D7297" s="1">
        <v>127.15</v>
      </c>
    </row>
    <row r="7298" spans="1:4" x14ac:dyDescent="0.3">
      <c r="A7298" s="1" t="str">
        <f>"04000496800"</f>
        <v>04000496800</v>
      </c>
      <c r="B7298" s="1" t="str">
        <f>"LEHMAN JAMES N, LEHMAN SUZANNE C"</f>
        <v>LEHMAN JAMES N, LEHMAN SUZANNE C</v>
      </c>
      <c r="C7298" s="1" t="str">
        <f>"2938 LONDON-GRPT RD MEADOW SHIRE 209.95'NE LOT 5"</f>
        <v>2938 LONDON-GRPT RD MEADOW SHIRE 209.95'NE LOT 5</v>
      </c>
      <c r="D7298" s="1">
        <v>284.08</v>
      </c>
    </row>
    <row r="7299" spans="1:4" x14ac:dyDescent="0.3">
      <c r="A7299" s="1" t="str">
        <f>"49027946800"</f>
        <v>49027946800</v>
      </c>
      <c r="B7299" s="1" t="str">
        <f>"LEHMAN MEADOWS HOMEOWNERS ASSOC INC"</f>
        <v>LEHMAN MEADOWS HOMEOWNERS ASSOC INC</v>
      </c>
      <c r="C7299" s="1" t="s">
        <v>25</v>
      </c>
      <c r="D7299" s="1">
        <v>110.21</v>
      </c>
    </row>
    <row r="7300" spans="1:4" x14ac:dyDescent="0.3">
      <c r="A7300" s="1" t="str">
        <f>"01009822200"</f>
        <v>01009822200</v>
      </c>
      <c r="B7300" s="1" t="str">
        <f>"LEHNER BRIAN TR"</f>
        <v>LEHNER BRIAN TR</v>
      </c>
      <c r="C7300" s="1" t="str">
        <f>"NORRIS DR MAIZE MANNOR LOT 42"</f>
        <v>NORRIS DR MAIZE MANNOR LOT 42</v>
      </c>
      <c r="D7300" s="1">
        <v>1378.89</v>
      </c>
    </row>
    <row r="7301" spans="1:4" x14ac:dyDescent="0.3">
      <c r="A7301" s="1" t="str">
        <f>"01015775700"</f>
        <v>01015775700</v>
      </c>
      <c r="B7301" s="1" t="str">
        <f>"LEHNER COMPANY LLC"</f>
        <v>LEHNER COMPANY LLC</v>
      </c>
      <c r="C7301" s="1" t="str">
        <f>"JEWETT DRIVE SHARON WOODS SECT 7 LOT 686"</f>
        <v>JEWETT DRIVE SHARON WOODS SECT 7 LOT 686</v>
      </c>
      <c r="D7301" s="1">
        <v>2328.35</v>
      </c>
    </row>
    <row r="7302" spans="1:4" x14ac:dyDescent="0.3">
      <c r="A7302" s="1" t="str">
        <f>"12000066100"</f>
        <v>12000066100</v>
      </c>
      <c r="B7302" s="1" t="str">
        <f>"LEIBROCK RANDY L, LEIBROCK CYNTHIA A"</f>
        <v>LEIBROCK RANDY L, LEIBROCK CYNTHIA A</v>
      </c>
      <c r="C7302" s="1" t="str">
        <f>"1704 AMITY PIKE 7.023 ACRES ENTRY 1046"</f>
        <v>1704 AMITY PIKE 7.023 ACRES ENTRY 1046</v>
      </c>
      <c r="D7302" s="1">
        <v>8690.42</v>
      </c>
    </row>
    <row r="7303" spans="1:4" x14ac:dyDescent="0.3">
      <c r="A7303" s="1" t="str">
        <f>"59022403800"</f>
        <v>59022403800</v>
      </c>
      <c r="B7303" s="1" t="str">
        <f>"LEIDER MEREDITH, LEIDER MATTHEW"</f>
        <v>LEIDER MEREDITH, LEIDER MATTHEW</v>
      </c>
      <c r="C7303" s="1" t="str">
        <f>"BETHEL VILLAGE CONDOMINIUM 7TH AMD UNIT 74D"</f>
        <v>BETHEL VILLAGE CONDOMINIUM 7TH AMD UNIT 74D</v>
      </c>
      <c r="D7303" s="1">
        <v>5027.21</v>
      </c>
    </row>
    <row r="7304" spans="1:4" x14ac:dyDescent="0.3">
      <c r="A7304" s="1" t="str">
        <f>"25000678500"</f>
        <v>25000678500</v>
      </c>
      <c r="B7304" s="1" t="str">
        <f>"LEIDHEISER MELODY B TR"</f>
        <v>LEIDHEISER MELODY B TR</v>
      </c>
      <c r="C7304" s="1" t="str">
        <f>"LOOKOUT POINT DR WORTHINGTON HILLS 1 LOT 185"</f>
        <v>LOOKOUT POINT DR WORTHINGTON HILLS 1 LOT 185</v>
      </c>
      <c r="D7304" s="1">
        <v>669.23</v>
      </c>
    </row>
    <row r="7305" spans="1:4" x14ac:dyDescent="0.3">
      <c r="A7305" s="1" t="str">
        <f>"01016689800"</f>
        <v>01016689800</v>
      </c>
      <c r="B7305" s="1" t="str">
        <f>"LEIGH GEORGE K, LEIGH TERSA L"</f>
        <v>LEIGH GEORGE K, LEIGH TERSA L</v>
      </c>
      <c r="C7305" s="1" t="str">
        <f>"2130 ARGYLE DRIVE AMVET HOMESTEAD 2 LOT 26 BLK M"</f>
        <v>2130 ARGYLE DRIVE AMVET HOMESTEAD 2 LOT 26 BLK M</v>
      </c>
      <c r="D7305" s="1">
        <v>2030.97</v>
      </c>
    </row>
    <row r="7306" spans="1:4" x14ac:dyDescent="0.3">
      <c r="A7306" s="1" t="str">
        <f>"01003670600"</f>
        <v>01003670600</v>
      </c>
      <c r="B7306" s="1" t="str">
        <f>"LEIGH JANET"</f>
        <v>LEIGH JANET</v>
      </c>
      <c r="C7306" s="1" t="str">
        <f>"2004 N GREENWAY AVE EAST GATE 2 LOT 8 BLK 13"</f>
        <v>2004 N GREENWAY AVE EAST GATE 2 LOT 8 BLK 13</v>
      </c>
      <c r="D7306" s="1">
        <v>6019.26</v>
      </c>
    </row>
    <row r="7307" spans="1:4" x14ac:dyDescent="0.3">
      <c r="A7307" s="1" t="str">
        <f>"02000343800"</f>
        <v>02000343800</v>
      </c>
      <c r="B7307" s="1" t="str">
        <f>"LEINBACH O CHARLES"</f>
        <v>LEINBACH O CHARLES</v>
      </c>
      <c r="C7307" s="1" t="str">
        <f>"973 MONTROSE AVE LIVINGSTON HTS 41 "</f>
        <v xml:space="preserve">973 MONTROSE AVE LIVINGSTON HTS 41 </v>
      </c>
      <c r="D7307" s="1">
        <v>882.37</v>
      </c>
    </row>
    <row r="7308" spans="1:4" x14ac:dyDescent="0.3">
      <c r="A7308" s="1" t="str">
        <f>"10000455300"</f>
        <v>10000455300</v>
      </c>
      <c r="B7308" s="1" t="str">
        <f>"LEIS BRIAN N TR, LEIS LINDA F TR"</f>
        <v>LEIS BRIAN N TR, LEIS LINDA F TR</v>
      </c>
      <c r="C7308" s="1" t="str">
        <f>"517 POE AVE WORTHINGWAY 4 LOT 301"</f>
        <v>517 POE AVE WORTHINGWAY 4 LOT 301</v>
      </c>
      <c r="D7308" s="1">
        <v>6108.53</v>
      </c>
    </row>
    <row r="7309" spans="1:4" x14ac:dyDescent="0.3">
      <c r="A7309" s="1" t="str">
        <f>"01028249800"</f>
        <v>01028249800</v>
      </c>
      <c r="B7309" s="1" t="str">
        <f>"LEITERMAN MICHAEL A, LEITERMAN HEATHER D"</f>
        <v>LEITERMAN MICHAEL A, LEITERMAN HEATHER D</v>
      </c>
      <c r="C7309" s="1" t="str">
        <f>"THE BRUNSON               CONDOMINIUM 1ST AMD       UNIT L-305               "</f>
        <v xml:space="preserve">THE BRUNSON               CONDOMINIUM 1ST AMD       UNIT L-305               </v>
      </c>
      <c r="D7309" s="1">
        <v>1779.27</v>
      </c>
    </row>
    <row r="7310" spans="1:4" x14ac:dyDescent="0.3">
      <c r="A7310" s="1" t="str">
        <f>"24000535400"</f>
        <v>24000535400</v>
      </c>
      <c r="B7310" s="1" t="str">
        <f>"LEMASTER BRIAN"</f>
        <v>LEMASTER BRIAN</v>
      </c>
      <c r="C7310" s="1" t="str">
        <f>"EDGEWATER AV LAKE DARBY EST 1 LOT 139"</f>
        <v>EDGEWATER AV LAKE DARBY EST 1 LOT 139</v>
      </c>
      <c r="D7310" s="1">
        <v>166.56</v>
      </c>
    </row>
    <row r="7311" spans="1:4" x14ac:dyDescent="0.3">
      <c r="A7311" s="1" t="str">
        <f>"60019884000"</f>
        <v>60019884000</v>
      </c>
      <c r="B7311" s="1" t="str">
        <f>"LEMASTER LILLIAN, AMERINE JENNIFER"</f>
        <v>LEMASTER LILLIAN, AMERINE JENNIFER</v>
      </c>
      <c r="C7311" s="1" t="str">
        <f>"GRANADA HILLS DR COOPERWOODS CONDO UNIT 3125 BLDG 5"</f>
        <v>GRANADA HILLS DR COOPERWOODS CONDO UNIT 3125 BLDG 5</v>
      </c>
      <c r="D7311" s="1">
        <v>1859.53</v>
      </c>
    </row>
    <row r="7312" spans="1:4" x14ac:dyDescent="0.3">
      <c r="A7312" s="1" t="str">
        <f>"01027475000"</f>
        <v>01027475000</v>
      </c>
      <c r="B7312" s="1" t="str">
        <f>"LEMASTER LINDA K"</f>
        <v>LEMASTER LINDA K</v>
      </c>
      <c r="C7312" s="1" t="str">
        <f>"6014 MCCOTTER ROAD        HAYDEN FARMS SECTION 1    LOT 33                   "</f>
        <v xml:space="preserve">6014 MCCOTTER ROAD        HAYDEN FARMS SECTION 1    LOT 33                   </v>
      </c>
      <c r="D7312" s="1">
        <v>197.56</v>
      </c>
    </row>
    <row r="7313" spans="1:4" x14ac:dyDescent="0.3">
      <c r="A7313" s="1" t="str">
        <f>"56022649700"</f>
        <v>56022649700</v>
      </c>
      <c r="B7313" s="1" t="str">
        <f>"LEMASTER TERESA J, LEMASTER TERESA"</f>
        <v>LEMASTER TERESA J, LEMASTER TERESA</v>
      </c>
      <c r="C7313" s="1" t="str">
        <f>"BRITTANY OAKS CONDOMINIUM 6TH AMD UNIT 2701"</f>
        <v>BRITTANY OAKS CONDOMINIUM 6TH AMD UNIT 2701</v>
      </c>
      <c r="D7313" s="1">
        <v>2234.1</v>
      </c>
    </row>
    <row r="7314" spans="1:4" x14ac:dyDescent="0.3">
      <c r="A7314" s="1" t="str">
        <f>"49025674700"</f>
        <v>49025674700</v>
      </c>
      <c r="B7314" s="1" t="str">
        <f>"LEMHAMED MOUSTAPHA"</f>
        <v>LEMHAMED MOUSTAPHA</v>
      </c>
      <c r="C7314" s="1" t="str">
        <f>"CRESCENT BOAT LANE LEHMAN ESTATES SECTION 3 PART 1 LOT 137"</f>
        <v>CRESCENT BOAT LANE LEHMAN ESTATES SECTION 3 PART 1 LOT 137</v>
      </c>
      <c r="D7314" s="1">
        <v>3676.33</v>
      </c>
    </row>
    <row r="7315" spans="1:4" x14ac:dyDescent="0.3">
      <c r="A7315" s="1" t="str">
        <f>"20000243500"</f>
        <v>20000243500</v>
      </c>
      <c r="B7315" s="1" t="str">
        <f>"LEMING MARTHA K, LEMING JAMES R, ERICKSON MARY LOUISE"</f>
        <v>LEMING MARTHA K, LEMING JAMES R, ERICKSON MARY LOUISE</v>
      </c>
      <c r="C7315" s="1" t="str">
        <f>"DARBYSHIRE DR RIDGEWOOD ESTATES 2 LOT 25-26 BLK 3"</f>
        <v>DARBYSHIRE DR RIDGEWOOD ESTATES 2 LOT 25-26 BLK 3</v>
      </c>
      <c r="D7315" s="1">
        <v>8944.9699999999993</v>
      </c>
    </row>
    <row r="7316" spans="1:4" x14ac:dyDescent="0.3">
      <c r="A7316" s="1" t="str">
        <f>"01012857600"</f>
        <v>01012857600</v>
      </c>
      <c r="B7316" s="1" t="str">
        <f>"LEMLEY BEVERLY F"</f>
        <v>LEMLEY BEVERLY F</v>
      </c>
      <c r="C7316" s="1" t="str">
        <f>"MEADOWVIEW CT MOORES &amp; DALES 5 LOT 49"</f>
        <v>MEADOWVIEW CT MOORES &amp; DALES 5 LOT 49</v>
      </c>
      <c r="D7316" s="1">
        <v>2461.61</v>
      </c>
    </row>
    <row r="7317" spans="1:4" x14ac:dyDescent="0.3">
      <c r="A7317" s="1" t="str">
        <f>"01002416000"</f>
        <v>01002416000</v>
      </c>
      <c r="B7317" s="1" t="str">
        <f>"LEMLEY BEVERLY F TTEE"</f>
        <v>LEMLEY BEVERLY F TTEE</v>
      </c>
      <c r="C7317" s="1" t="str">
        <f>"3277 N HIGH ST &amp; 18-20 W COMO AVE LOT 1-2"</f>
        <v>3277 N HIGH ST &amp; 18-20 W COMO AVE LOT 1-2</v>
      </c>
      <c r="D7317" s="1">
        <v>4760.17</v>
      </c>
    </row>
    <row r="7318" spans="1:4" x14ac:dyDescent="0.3">
      <c r="A7318" s="1" t="str">
        <f>"01007079700"</f>
        <v>01007079700</v>
      </c>
      <c r="B7318" s="1" t="str">
        <f>"LEMMON TRACEY T"</f>
        <v>LEMMON TRACEY T</v>
      </c>
      <c r="C7318" s="1" t="str">
        <f>"1918 HUDSON ST ES LOT 29 &amp; WS 30 MUL-BUR HTS AMD"</f>
        <v>1918 HUDSON ST ES LOT 29 &amp; WS 30 MUL-BUR HTS AMD</v>
      </c>
      <c r="D7318" s="1">
        <v>6.69</v>
      </c>
    </row>
    <row r="7319" spans="1:4" x14ac:dyDescent="0.3">
      <c r="A7319" s="1" t="str">
        <f>"01000980900"</f>
        <v>01000980900</v>
      </c>
      <c r="B7319" s="1" t="str">
        <f>"LEMONADE LLC"</f>
        <v>LEMONADE LLC</v>
      </c>
      <c r="C7319" s="1" t="str">
        <f>"431 18TH AVE INDIANOLA SUMMIT LOT 16 BLK 8"</f>
        <v>431 18TH AVE INDIANOLA SUMMIT LOT 16 BLK 8</v>
      </c>
      <c r="D7319" s="1">
        <v>174.56</v>
      </c>
    </row>
    <row r="7320" spans="1:4" x14ac:dyDescent="0.3">
      <c r="A7320" s="1" t="str">
        <f>"16000283000"</f>
        <v>16000283000</v>
      </c>
      <c r="B7320" s="1" t="str">
        <f>"LEONARD HARRY E, O DONNEL LEONARD THERESE M"</f>
        <v>LEONARD HARRY E, O DONNEL LEONARD THERESE M</v>
      </c>
      <c r="C7320" s="1" t="str">
        <f>"4465 GROVE CITY RD ENTRY 1383 5.1818 ACRES"</f>
        <v>4465 GROVE CITY RD ENTRY 1383 5.1818 ACRES</v>
      </c>
      <c r="D7320" s="1">
        <v>2969.63</v>
      </c>
    </row>
    <row r="7321" spans="1:4" x14ac:dyDescent="0.3">
      <c r="A7321" s="1" t="str">
        <f>"08000768500"</f>
        <v>08000768500</v>
      </c>
      <c r="B7321" s="1" t="str">
        <f>"LEONARD RICHARD A"</f>
        <v>LEONARD RICHARD A</v>
      </c>
      <c r="C7321" s="1" t="str">
        <f>"241 SPRING HOLLOW LN SPRING HOLLOW VLGE 1 LOT 24"</f>
        <v>241 SPRING HOLLOW LN SPRING HOLLOW VLGE 1 LOT 24</v>
      </c>
      <c r="D7321" s="1">
        <v>755.44</v>
      </c>
    </row>
    <row r="7322" spans="1:4" x14ac:dyDescent="0.3">
      <c r="A7322" s="1" t="str">
        <f>"01008884500"</f>
        <v>01008884500</v>
      </c>
      <c r="B7322" s="1" t="str">
        <f>"LEON-VIJOSA ARACELI, DE JESUS-FELIPE ALFREDO"</f>
        <v>LEON-VIJOSA ARACELI, DE JESUS-FELIPE ALFREDO</v>
      </c>
      <c r="C7322" s="1" t="str">
        <f>"NAPOLEON AVE MAIN ST TERRACE LOT 150"</f>
        <v>NAPOLEON AVE MAIN ST TERRACE LOT 150</v>
      </c>
      <c r="D7322" s="1">
        <v>1006.89</v>
      </c>
    </row>
    <row r="7323" spans="1:4" x14ac:dyDescent="0.3">
      <c r="A7323" s="1" t="str">
        <f>"18400260300"</f>
        <v>18400260300</v>
      </c>
      <c r="B7323" s="1" t="str">
        <f>"LE-PHAM LANA D"</f>
        <v>LE-PHAM LANA D</v>
      </c>
      <c r="C7323" s="1" t="str">
        <f>"MAC DRIVE CANAL COVE SECTION 2 PART 1 LOT 31"</f>
        <v>MAC DRIVE CANAL COVE SECTION 2 PART 1 LOT 31</v>
      </c>
      <c r="D7323" s="1">
        <v>3200.48</v>
      </c>
    </row>
    <row r="7324" spans="1:4" x14ac:dyDescent="0.3">
      <c r="A7324" s="1" t="str">
        <f>"57014621400"</f>
        <v>57014621400</v>
      </c>
      <c r="B7324" s="1" t="str">
        <f>"LEPPERT STANLEY E"</f>
        <v>LEPPERT STANLEY E</v>
      </c>
      <c r="C7324" s="1" t="str">
        <f>"3548 CLIME RD OQ 840 ENTRY 1396 0.2195 ACRE"</f>
        <v>3548 CLIME RD OQ 840 ENTRY 1396 0.2195 ACRE</v>
      </c>
      <c r="D7324" s="1">
        <v>1446.06</v>
      </c>
    </row>
    <row r="7325" spans="1:4" x14ac:dyDescent="0.3">
      <c r="A7325" s="1" t="str">
        <f>"01004092300"</f>
        <v>01004092300</v>
      </c>
      <c r="B7325" s="1" t="str">
        <f>"LEROY &amp; MAGGIE LLC"</f>
        <v>LEROY &amp; MAGGIE LLC</v>
      </c>
      <c r="C7325" s="1" t="str">
        <f>"173 LANE AVE T R HEAD LOT 45"</f>
        <v>173 LANE AVE T R HEAD LOT 45</v>
      </c>
      <c r="D7325" s="1">
        <v>230.75</v>
      </c>
    </row>
    <row r="7326" spans="1:4" x14ac:dyDescent="0.3">
      <c r="A7326" s="1" t="str">
        <f>"10000441200"</f>
        <v>10000441200</v>
      </c>
      <c r="B7326" s="1" t="str">
        <f>"LESLEY JANE E"</f>
        <v>LESLEY JANE E</v>
      </c>
      <c r="C7326" s="1" t="str">
        <f>"256 WEYDON RD WORTHINGWAY LOT 43"</f>
        <v>256 WEYDON RD WORTHINGWAY LOT 43</v>
      </c>
      <c r="D7326" s="1">
        <v>1021.81</v>
      </c>
    </row>
    <row r="7327" spans="1:4" x14ac:dyDescent="0.3">
      <c r="A7327" s="1" t="str">
        <f>"01000054300"</f>
        <v>01000054300</v>
      </c>
      <c r="B7327" s="1" t="str">
        <f>"LESSNER DIANA L TR"</f>
        <v>LESSNER DIANA L TR</v>
      </c>
      <c r="C7327" s="1" t="str">
        <f>"800 KERR ST               22FT SS W A GILL          LOT 86                   "</f>
        <v xml:space="preserve">800 KERR ST               22FT SS W A GILL          LOT 86                   </v>
      </c>
      <c r="D7327" s="1">
        <v>354.91</v>
      </c>
    </row>
    <row r="7328" spans="1:4" x14ac:dyDescent="0.3">
      <c r="A7328" s="1" t="str">
        <f>"09000065800"</f>
        <v>09000065800</v>
      </c>
      <c r="B7328" s="1" t="str">
        <f>"LESTER ROBERT R"</f>
        <v>LESTER ROBERT R</v>
      </c>
      <c r="C7328" s="1" t="str">
        <f>"ST ANTHONY LANE NORTON FIELD PLAT 1 162"</f>
        <v>ST ANTHONY LANE NORTON FIELD PLAT 1 162</v>
      </c>
      <c r="D7328" s="1">
        <v>111.9</v>
      </c>
    </row>
    <row r="7329" spans="1:4" x14ac:dyDescent="0.3">
      <c r="A7329" s="1" t="str">
        <f>"17000391600"</f>
        <v>17000391600</v>
      </c>
      <c r="B7329" s="1" t="str">
        <f>"LESTER RONALD E TR, RINER CHRISTINE A TR"</f>
        <v>LESTER RONALD E TR, RINER CHRISTINE A TR</v>
      </c>
      <c r="C7329" s="1" t="str">
        <f>"BOWFIN ROAD RESERVE AT CLARK STATE SECTION 2 LOT 27"</f>
        <v>BOWFIN ROAD RESERVE AT CLARK STATE SECTION 2 LOT 27</v>
      </c>
      <c r="D7329" s="1">
        <v>653.83000000000004</v>
      </c>
    </row>
    <row r="7330" spans="1:4" x14ac:dyDescent="0.3">
      <c r="A7330" s="1" t="str">
        <f>"18000316300"</f>
        <v>18000316300</v>
      </c>
      <c r="B7330" s="1" t="str">
        <f>"LESTER ZACHARY N, LESTER AMANDA M"</f>
        <v>LESTER ZACHARY N, LESTER AMANDA M</v>
      </c>
      <c r="C7330" s="1" t="str">
        <f>"SEDALIA DR BLACKLICK ESTATES 3 519 "</f>
        <v xml:space="preserve">SEDALIA DR BLACKLICK ESTATES 3 519 </v>
      </c>
      <c r="D7330" s="1">
        <v>1821.47</v>
      </c>
    </row>
    <row r="7331" spans="1:4" x14ac:dyDescent="0.3">
      <c r="A7331" s="1" t="str">
        <f>"55013698200"</f>
        <v>55013698200</v>
      </c>
      <c r="B7331" s="1" t="str">
        <f>"LETZELTER LAURA L"</f>
        <v>LETZELTER LAURA L</v>
      </c>
      <c r="C7331" s="1" t="str">
        <f>"6448 BALSAM DR RED FOX HOLLOW 2 LOT 120"</f>
        <v>6448 BALSAM DR RED FOX HOLLOW 2 LOT 120</v>
      </c>
      <c r="D7331" s="1">
        <v>105.94</v>
      </c>
    </row>
    <row r="7332" spans="1:4" x14ac:dyDescent="0.3">
      <c r="A7332" s="1" t="str">
        <f>"01006762300"</f>
        <v>01006762300</v>
      </c>
      <c r="B7332" s="1" t="str">
        <f>"LEUNG CHEUK YIN"</f>
        <v>LEUNG CHEUK YIN</v>
      </c>
      <c r="C7332" s="1" t="str">
        <f>"552 S TERRACE AVE SCHOENE HEIGHTS LOT 21"</f>
        <v>552 S TERRACE AVE SCHOENE HEIGHTS LOT 21</v>
      </c>
      <c r="D7332" s="1">
        <v>1378.71</v>
      </c>
    </row>
    <row r="7333" spans="1:4" x14ac:dyDescent="0.3">
      <c r="A7333" s="1" t="str">
        <f>"01025499300"</f>
        <v>01025499300</v>
      </c>
      <c r="B7333" s="1" t="str">
        <f>"LEUNG LIT H, LEUNG YUI HWAI, FONG LOUISE"</f>
        <v>LEUNG LIT H, LEUNG YUI HWAI, FONG LOUISE</v>
      </c>
      <c r="C7333" s="1" t="str">
        <f>"1 MIRANOVA PL CONDO # 2015 "</f>
        <v xml:space="preserve">1 MIRANOVA PL CONDO # 2015 </v>
      </c>
      <c r="D7333" s="1">
        <v>361.43</v>
      </c>
    </row>
    <row r="7334" spans="1:4" x14ac:dyDescent="0.3">
      <c r="A7334" s="1" t="str">
        <f>"56024228700"</f>
        <v>56024228700</v>
      </c>
      <c r="B7334" s="1" t="str">
        <f>"LEUZINGER JUDITH A"</f>
        <v>LEUZINGER JUDITH A</v>
      </c>
      <c r="C7334" s="1" t="str">
        <f>"HILLIARD GREEN DRIVE HILLIARD GREEN SECTION 5 LOT 389"</f>
        <v>HILLIARD GREEN DRIVE HILLIARD GREEN SECTION 5 LOT 389</v>
      </c>
      <c r="D7334" s="1">
        <v>990</v>
      </c>
    </row>
    <row r="7335" spans="1:4" x14ac:dyDescent="0.3">
      <c r="A7335" s="1" t="str">
        <f>"01019519300"</f>
        <v>01019519300</v>
      </c>
      <c r="B7335" s="1" t="str">
        <f>"LEVENTHAL SHAYNE L"</f>
        <v>LEVENTHAL SHAYNE L</v>
      </c>
      <c r="C7335" s="1" t="str">
        <f>"E BROAD ST PARK TOWERS CONDO UNIT 604"</f>
        <v>E BROAD ST PARK TOWERS CONDO UNIT 604</v>
      </c>
      <c r="D7335" s="1">
        <v>1437.83</v>
      </c>
    </row>
    <row r="7336" spans="1:4" x14ac:dyDescent="0.3">
      <c r="A7336" s="1" t="str">
        <f>"14000350400"</f>
        <v>14000350400</v>
      </c>
      <c r="B7336" s="1" t="str">
        <f>"LEVERING ANDREW"</f>
        <v>LEVERING ANDREW</v>
      </c>
      <c r="C7336" s="1" t="str">
        <f>"S EUREKA AVE LOT 58 EUREKA PARK BLK 21"</f>
        <v>S EUREKA AVE LOT 58 EUREKA PARK BLK 21</v>
      </c>
      <c r="D7336" s="1">
        <v>495.32</v>
      </c>
    </row>
    <row r="7337" spans="1:4" x14ac:dyDescent="0.3">
      <c r="A7337" s="1" t="str">
        <f>"01011954600"</f>
        <v>01011954600</v>
      </c>
      <c r="B7337" s="1" t="str">
        <f>"LEVERING ANDREW"</f>
        <v>LEVERING ANDREW</v>
      </c>
      <c r="C7337" s="1" t="str">
        <f>"SHELLY DR SCIOTO VILLAGE LOT 195"</f>
        <v>SHELLY DR SCIOTO VILLAGE LOT 195</v>
      </c>
      <c r="D7337" s="1">
        <v>1347.25</v>
      </c>
    </row>
    <row r="7338" spans="1:4" x14ac:dyDescent="0.3">
      <c r="A7338" s="1" t="str">
        <f>"01002530000"</f>
        <v>01002530000</v>
      </c>
      <c r="B7338" s="1" t="str">
        <f>"LEVERING ANDREW"</f>
        <v>LEVERING ANDREW</v>
      </c>
      <c r="C7338" s="1" t="str">
        <f>"2515 W BROAD ST LANDSCAPE ADD LOT 11"</f>
        <v>2515 W BROAD ST LANDSCAPE ADD LOT 11</v>
      </c>
      <c r="D7338" s="1">
        <v>540.30999999999995</v>
      </c>
    </row>
    <row r="7339" spans="1:4" x14ac:dyDescent="0.3">
      <c r="A7339" s="1" t="str">
        <f>"01004531800"</f>
        <v>01004531800</v>
      </c>
      <c r="B7339" s="1" t="str">
        <f>"LEVERING ANDREW"</f>
        <v>LEVERING ANDREW</v>
      </c>
      <c r="C7339" s="1" t="str">
        <f>"153 N PRINCETON AVE KNAUSS AMD SUB 164"</f>
        <v>153 N PRINCETON AVE KNAUSS AMD SUB 164</v>
      </c>
      <c r="D7339" s="1">
        <v>954.89</v>
      </c>
    </row>
    <row r="7340" spans="1:4" x14ac:dyDescent="0.3">
      <c r="A7340" s="1" t="str">
        <f>"14000350500"</f>
        <v>14000350500</v>
      </c>
      <c r="B7340" s="1" t="str">
        <f>"LEVERING ANDREW"</f>
        <v>LEVERING ANDREW</v>
      </c>
      <c r="C7340" s="1" t="str">
        <f>"1240 S EUREKA AVE EUREKA PARK 59 BLK 2"</f>
        <v>1240 S EUREKA AVE EUREKA PARK 59 BLK 2</v>
      </c>
      <c r="D7340" s="1">
        <v>689.26</v>
      </c>
    </row>
    <row r="7341" spans="1:4" x14ac:dyDescent="0.3">
      <c r="A7341" s="1" t="str">
        <f>"01005055400"</f>
        <v>01005055400</v>
      </c>
      <c r="B7341" s="1" t="str">
        <f>"LEVERING MARTIN"</f>
        <v>LEVERING MARTIN</v>
      </c>
      <c r="C7341" s="1" t="str">
        <f>"132 N YALE AVE FRANKLIN 2ND LOT 33"</f>
        <v>132 N YALE AVE FRANKLIN 2ND LOT 33</v>
      </c>
      <c r="D7341" s="1">
        <v>990.35</v>
      </c>
    </row>
    <row r="7342" spans="1:4" x14ac:dyDescent="0.3">
      <c r="A7342" s="1" t="str">
        <f>"01019100200"</f>
        <v>01019100200</v>
      </c>
      <c r="B7342" s="1" t="str">
        <f>"LEVERING MARTIN, LEVERING SHERRY"</f>
        <v>LEVERING MARTIN, LEVERING SHERRY</v>
      </c>
      <c r="C7342" s="1" t="str">
        <f>"WORTHINGTON FOREST CONDO UNIT 753 BLDG 1C"</f>
        <v>WORTHINGTON FOREST CONDO UNIT 753 BLDG 1C</v>
      </c>
      <c r="D7342" s="1">
        <v>1832.88</v>
      </c>
    </row>
    <row r="7343" spans="1:4" x14ac:dyDescent="0.3">
      <c r="A7343" s="1" t="str">
        <f>"60016480700"</f>
        <v>60016480700</v>
      </c>
      <c r="B7343" s="1" t="str">
        <f>"LEVERT SAMUEL C, LEVERT ORA L"</f>
        <v>LEVERT SAMUEL C, LEVERT ORA L</v>
      </c>
      <c r="C7343" s="1" t="str">
        <f>"MACINTOSH DRIVE MCDANNALD ESTATES 5 LOT 76"</f>
        <v>MACINTOSH DRIVE MCDANNALD ESTATES 5 LOT 76</v>
      </c>
      <c r="D7343" s="1">
        <v>391.27</v>
      </c>
    </row>
    <row r="7344" spans="1:4" x14ac:dyDescent="0.3">
      <c r="A7344" s="1" t="str">
        <f>"01007446200"</f>
        <v>01007446200</v>
      </c>
      <c r="B7344" s="1" t="str">
        <f>"LEVI YHEZKEL"</f>
        <v>LEVI YHEZKEL</v>
      </c>
      <c r="C7344" s="1" t="str">
        <f>"1250 HUDSON ST HIGHWAY PK LOT 8"</f>
        <v>1250 HUDSON ST HIGHWAY PK LOT 8</v>
      </c>
      <c r="D7344" s="1">
        <v>478.92</v>
      </c>
    </row>
    <row r="7345" spans="1:4" x14ac:dyDescent="0.3">
      <c r="A7345" s="1" t="str">
        <f>"02000413000"</f>
        <v>02000413000</v>
      </c>
      <c r="B7345" s="1" t="str">
        <f>"LEVIN MICHAEL TTEE, SCHIRRA JEREMY TTEE"</f>
        <v>LEVIN MICHAEL TTEE, SCHIRRA JEREMY TTEE</v>
      </c>
      <c r="C7345" s="1" t="str">
        <f>"161 S PARKVIEW AVE LOT 2 BLK 26 BULLITT PARK AMD"</f>
        <v>161 S PARKVIEW AVE LOT 2 BLK 26 BULLITT PARK AMD</v>
      </c>
      <c r="D7345" s="1">
        <v>14224.43</v>
      </c>
    </row>
    <row r="7346" spans="1:4" x14ac:dyDescent="0.3">
      <c r="A7346" s="1" t="str">
        <f>"01001535100"</f>
        <v>01001535100</v>
      </c>
      <c r="B7346" s="1" t="str">
        <f>"LEVY EYAL"</f>
        <v>LEVY EYAL</v>
      </c>
      <c r="C7346" s="1" t="str">
        <f>"153 BECK ST RADERS 2ND LOT 5"</f>
        <v>153 BECK ST RADERS 2ND LOT 5</v>
      </c>
      <c r="D7346" s="1">
        <v>10197.66</v>
      </c>
    </row>
    <row r="7347" spans="1:4" x14ac:dyDescent="0.3">
      <c r="A7347" s="1" t="str">
        <f>"01030052500"</f>
        <v>01030052500</v>
      </c>
      <c r="B7347" s="1" t="str">
        <f>"LEVY ROBERT A"</f>
        <v>LEVY ROBERT A</v>
      </c>
      <c r="C7347" s="1" t="str">
        <f>"INVERNESS PLACE LOT 4 "</f>
        <v xml:space="preserve">INVERNESS PLACE LOT 4 </v>
      </c>
      <c r="D7347" s="1">
        <v>36.89</v>
      </c>
    </row>
    <row r="7348" spans="1:4" x14ac:dyDescent="0.3">
      <c r="A7348" s="1" t="str">
        <f>"18000418900"</f>
        <v>18000418900</v>
      </c>
      <c r="B7348" s="1" t="str">
        <f>"LEWIS BRADLEY J TTEE (BRADLEY J LEWIS TRUST), LEWIS ELAINE M TTEE (ELAINE M LEWIS TRUST)"</f>
        <v>LEWIS BRADLEY J TTEE (BRADLEY J LEWIS TRUST), LEWIS ELAINE M TTEE (ELAINE M LEWIS TRUST)</v>
      </c>
      <c r="C7348" s="1" t="str">
        <f>"6773 LITHOPOLIS RD 18.069 ACRES N E QR "</f>
        <v xml:space="preserve">6773 LITHOPOLIS RD 18.069 ACRES N E QR </v>
      </c>
      <c r="D7348" s="1">
        <v>713.35</v>
      </c>
    </row>
    <row r="7349" spans="1:4" x14ac:dyDescent="0.3">
      <c r="A7349" s="1" t="str">
        <f>"01007525100"</f>
        <v>01007525100</v>
      </c>
      <c r="B7349" s="1" t="str">
        <f>"LEWIS CHRISTINE L"</f>
        <v>LEWIS CHRISTINE L</v>
      </c>
      <c r="C7349" s="1" t="str">
        <f>"2242 ATWOOD TERRACE GRASMERE GARDENS LOT 488"</f>
        <v>2242 ATWOOD TERRACE GRASMERE GARDENS LOT 488</v>
      </c>
      <c r="D7349" s="1">
        <v>1019.76</v>
      </c>
    </row>
    <row r="7350" spans="1:4" x14ac:dyDescent="0.3">
      <c r="A7350" s="1" t="str">
        <f>"06000862700"</f>
        <v>06000862700</v>
      </c>
      <c r="B7350" s="1" t="str">
        <f>"LEWIS DAVID K, LEWIS DAWN L"</f>
        <v>LEWIS DAVID K, LEWIS DAWN L</v>
      </c>
      <c r="C7350" s="1" t="str">
        <f>"BELLOW PARK DRIVE THE PARK AT WAGGONER SEC 2 PART 1 LOT 89"</f>
        <v>BELLOW PARK DRIVE THE PARK AT WAGGONER SEC 2 PART 1 LOT 89</v>
      </c>
      <c r="D7350" s="1">
        <v>353.71</v>
      </c>
    </row>
    <row r="7351" spans="1:4" x14ac:dyDescent="0.3">
      <c r="A7351" s="1" t="str">
        <f>"01003302800"</f>
        <v>01003302800</v>
      </c>
      <c r="B7351" s="1" t="str">
        <f>"LEWIS DENNIS S"</f>
        <v>LEWIS DENNIS S</v>
      </c>
      <c r="C7351" s="1" t="str">
        <f>"744 THOMAS AVE OSBORN PLACE LOTS 366 &amp; 367"</f>
        <v>744 THOMAS AVE OSBORN PLACE LOTS 366 &amp; 367</v>
      </c>
      <c r="D7351" s="1">
        <v>1290.52</v>
      </c>
    </row>
    <row r="7352" spans="1:4" x14ac:dyDescent="0.3">
      <c r="A7352" s="1" t="str">
        <f>"01012269900"</f>
        <v>01012269900</v>
      </c>
      <c r="B7352" s="1" t="str">
        <f>"LEWIS GAREY"</f>
        <v>LEWIS GAREY</v>
      </c>
      <c r="C7352" s="1" t="str">
        <f>"GAULT ST 1893 CARVER LOT 73"</f>
        <v>GAULT ST 1893 CARVER LOT 73</v>
      </c>
      <c r="D7352" s="1">
        <v>89.28</v>
      </c>
    </row>
    <row r="7353" spans="1:4" x14ac:dyDescent="0.3">
      <c r="A7353" s="1" t="str">
        <f>"01012273300"</f>
        <v>01012273300</v>
      </c>
      <c r="B7353" s="1" t="str">
        <f>"LEWIS GAREY L"</f>
        <v>LEWIS GAREY L</v>
      </c>
      <c r="C7353" s="1" t="str">
        <f>"CLAY CT 849 CARVER LOT 108"</f>
        <v>CLAY CT 849 CARVER LOT 108</v>
      </c>
      <c r="D7353" s="1">
        <v>1169.17</v>
      </c>
    </row>
    <row r="7354" spans="1:4" x14ac:dyDescent="0.3">
      <c r="A7354" s="1" t="str">
        <f>"01012276300"</f>
        <v>01012276300</v>
      </c>
      <c r="B7354" s="1" t="str">
        <f>"LEWIS GAREY L"</f>
        <v>LEWIS GAREY L</v>
      </c>
      <c r="C7354" s="1" t="str">
        <f>"855 LYMAN AVE CARVER LOT 142"</f>
        <v>855 LYMAN AVE CARVER LOT 142</v>
      </c>
      <c r="D7354" s="1">
        <v>111.38</v>
      </c>
    </row>
    <row r="7355" spans="1:4" x14ac:dyDescent="0.3">
      <c r="A7355" s="1" t="str">
        <f>"01004428800"</f>
        <v>01004428800</v>
      </c>
      <c r="B7355" s="1" t="str">
        <f>"LEWIS HOWARD E JR"</f>
        <v>LEWIS HOWARD E JR</v>
      </c>
      <c r="C7355" s="1" t="str">
        <f>"429 S WAYNE AVE BELLAIRE EXT LOT 310"</f>
        <v>429 S WAYNE AVE BELLAIRE EXT LOT 310</v>
      </c>
      <c r="D7355" s="1">
        <v>90.78</v>
      </c>
    </row>
    <row r="7356" spans="1:4" x14ac:dyDescent="0.3">
      <c r="A7356" s="1" t="str">
        <f>"01004428900"</f>
        <v>01004428900</v>
      </c>
      <c r="B7356" s="1" t="str">
        <f>"LEWIS HOWARD E JR"</f>
        <v>LEWIS HOWARD E JR</v>
      </c>
      <c r="C7356" s="1" t="str">
        <f>"S WAYNE AVE BELLAIRE EXT LOT 309"</f>
        <v>S WAYNE AVE BELLAIRE EXT LOT 309</v>
      </c>
      <c r="D7356" s="1">
        <v>12.32</v>
      </c>
    </row>
    <row r="7357" spans="1:4" x14ac:dyDescent="0.3">
      <c r="A7357" s="1" t="str">
        <f>"01014341700"</f>
        <v>01014341700</v>
      </c>
      <c r="B7357" s="1" t="str">
        <f>"LEWIS JANET"</f>
        <v>LEWIS JANET</v>
      </c>
      <c r="C7357" s="1" t="str">
        <f>"PLUM ORCHARD DR THE GREENBRIER FARM NO 3 LOT 35"</f>
        <v>PLUM ORCHARD DR THE GREENBRIER FARM NO 3 LOT 35</v>
      </c>
      <c r="D7357" s="1">
        <v>619.04</v>
      </c>
    </row>
    <row r="7358" spans="1:4" x14ac:dyDescent="0.3">
      <c r="A7358" s="1" t="str">
        <f>"53017214200"</f>
        <v>53017214200</v>
      </c>
      <c r="B7358" s="1" t="str">
        <f>"LEWIS JOHN E"</f>
        <v>LEWIS JOHN E</v>
      </c>
      <c r="C7358" s="1" t="str">
        <f>"SUNSET HOLLOW COUNTRYVIEW VLLG 1 LOT 2"</f>
        <v>SUNSET HOLLOW COUNTRYVIEW VLLG 1 LOT 2</v>
      </c>
      <c r="D7358" s="1">
        <v>3135.85</v>
      </c>
    </row>
    <row r="7359" spans="1:4" x14ac:dyDescent="0.3">
      <c r="A7359" s="1" t="str">
        <f>"16000262000"</f>
        <v>16000262000</v>
      </c>
      <c r="B7359" s="1" t="str">
        <f>"LEWIS LESLIE T"</f>
        <v>LEWIS LESLIE T</v>
      </c>
      <c r="C7359" s="1" t="str">
        <f>"ZUBER RD 5.001 ACRES "</f>
        <v xml:space="preserve">ZUBER RD 5.001 ACRES </v>
      </c>
      <c r="D7359" s="1">
        <v>303.72000000000003</v>
      </c>
    </row>
    <row r="7360" spans="1:4" x14ac:dyDescent="0.3">
      <c r="A7360" s="1" t="str">
        <f>"09000338400"</f>
        <v>09000338400</v>
      </c>
      <c r="B7360" s="1" t="str">
        <f>"LEWIS LINDA"</f>
        <v>LEWIS LINDA</v>
      </c>
      <c r="C7360" s="1" t="str">
        <f>"990 COLGATE RD TRURO ESTATES LOT 154"</f>
        <v>990 COLGATE RD TRURO ESTATES LOT 154</v>
      </c>
      <c r="D7360" s="1">
        <v>40.96</v>
      </c>
    </row>
    <row r="7361" spans="1:4" x14ac:dyDescent="0.3">
      <c r="A7361" s="1" t="str">
        <f>"56023840200"</f>
        <v>56023840200</v>
      </c>
      <c r="B7361" s="1" t="str">
        <f>"LEWIS MATTHEW R, LEWIS ELIZABETH N"</f>
        <v>LEWIS MATTHEW R, LEWIS ELIZABETH N</v>
      </c>
      <c r="C7361" s="1" t="str">
        <f>"PINEFIELD DRIVE WESTBROOKE SECTION 3 PART 1 LOT 167"</f>
        <v>PINEFIELD DRIVE WESTBROOKE SECTION 3 PART 1 LOT 167</v>
      </c>
      <c r="D7361" s="1">
        <v>4257.3999999999996</v>
      </c>
    </row>
    <row r="7362" spans="1:4" x14ac:dyDescent="0.3">
      <c r="A7362" s="1" t="str">
        <f>"24000556000"</f>
        <v>24000556000</v>
      </c>
      <c r="B7362" s="1" t="str">
        <f>"LEWIS MELONLEE J"</f>
        <v>LEWIS MELONLEE J</v>
      </c>
      <c r="C7362" s="1" t="str">
        <f>"VILLAGE PARK ELM PARK DRIVE LOT 92"</f>
        <v>VILLAGE PARK ELM PARK DRIVE LOT 92</v>
      </c>
      <c r="D7362" s="1">
        <v>1465.02</v>
      </c>
    </row>
    <row r="7363" spans="1:4" x14ac:dyDescent="0.3">
      <c r="A7363" s="1" t="str">
        <f>"01019501400"</f>
        <v>01019501400</v>
      </c>
      <c r="B7363" s="1" t="str">
        <f>"LEWIS PAUL A"</f>
        <v>LEWIS PAUL A</v>
      </c>
      <c r="C7363" s="1" t="str">
        <f>"1259A LAKE SHORE DR HIDDEN LAKE CONDO PH4 UNIT 229 BLDG 15"</f>
        <v>1259A LAKE SHORE DR HIDDEN LAKE CONDO PH4 UNIT 229 BLDG 15</v>
      </c>
      <c r="D7363" s="1">
        <v>1388.89</v>
      </c>
    </row>
    <row r="7364" spans="1:4" x14ac:dyDescent="0.3">
      <c r="A7364" s="1" t="str">
        <f>"07000862200"</f>
        <v>07000862200</v>
      </c>
      <c r="B7364" s="1" t="str">
        <f>"LEWIS RANDI G TR"</f>
        <v>LEWIS RANDI G TR</v>
      </c>
      <c r="C7364" s="1" t="str">
        <f>"2714 WESTMONT BLVD BRANDON HTS EXT 2 28"</f>
        <v>2714 WESTMONT BLVD BRANDON HTS EXT 2 28</v>
      </c>
      <c r="D7364" s="1">
        <v>11804.27</v>
      </c>
    </row>
    <row r="7365" spans="1:4" x14ac:dyDescent="0.3">
      <c r="A7365" s="1" t="str">
        <f>"01004871000"</f>
        <v>01004871000</v>
      </c>
      <c r="B7365" s="1" t="str">
        <f>"LEWIS RICHARD MATTHEW"</f>
        <v>LEWIS RICHARD MATTHEW</v>
      </c>
      <c r="C7365" s="1" t="str">
        <f>"INDIANOLA HIGHLANDS LOT 380-1 "</f>
        <v xml:space="preserve">INDIANOLA HIGHLANDS LOT 380-1 </v>
      </c>
      <c r="D7365" s="1">
        <v>2037.22</v>
      </c>
    </row>
    <row r="7366" spans="1:4" x14ac:dyDescent="0.3">
      <c r="A7366" s="1" t="str">
        <f>"01002603600"</f>
        <v>01002603600</v>
      </c>
      <c r="B7366" s="1" t="str">
        <f>"LEWIS RICKEY A, LEWIS SHERYL L"</f>
        <v>LEWIS RICKEY A, LEWIS SHERYL L</v>
      </c>
      <c r="C7366" s="1" t="str">
        <f>"DORENS CENTRAL AVE LOT 124-125 "</f>
        <v xml:space="preserve">DORENS CENTRAL AVE LOT 124-125 </v>
      </c>
      <c r="D7366" s="1">
        <v>708.11</v>
      </c>
    </row>
    <row r="7367" spans="1:4" x14ac:dyDescent="0.3">
      <c r="A7367" s="1" t="str">
        <f>"01010152500"</f>
        <v>01010152500</v>
      </c>
      <c r="B7367" s="1" t="str">
        <f>"LEWIS SHAWNTEL L"</f>
        <v>LEWIS SHAWNTEL L</v>
      </c>
      <c r="C7367" s="1" t="str">
        <f>"SCOTTWOOD RD BERWICK HTS 2 LOT 168"</f>
        <v>SCOTTWOOD RD BERWICK HTS 2 LOT 168</v>
      </c>
      <c r="D7367" s="1">
        <v>4000</v>
      </c>
    </row>
    <row r="7368" spans="1:4" x14ac:dyDescent="0.3">
      <c r="A7368" s="1" t="str">
        <f>"01003471200"</f>
        <v>01003471200</v>
      </c>
      <c r="B7368" s="1" t="str">
        <f>"LEWIS TERRA R"</f>
        <v>LEWIS TERRA R</v>
      </c>
      <c r="C7368" s="1" t="str">
        <f>"473 PARKWOOD AVE 13.23FT NSL 24 &amp; 24.33 FT SS L25"</f>
        <v>473 PARKWOOD AVE 13.23FT NSL 24 &amp; 24.33 FT SS L25</v>
      </c>
      <c r="D7368" s="1">
        <v>3115.24</v>
      </c>
    </row>
    <row r="7369" spans="1:4" x14ac:dyDescent="0.3">
      <c r="A7369" s="1" t="str">
        <f>"01012910600"</f>
        <v>01012910600</v>
      </c>
      <c r="B7369" s="1" t="str">
        <f>"LEWIS THERESA E"</f>
        <v>LEWIS THERESA E</v>
      </c>
      <c r="C7369" s="1" t="str">
        <f>"KERMIT AVE MILLBROOK LOT 244"</f>
        <v>KERMIT AVE MILLBROOK LOT 244</v>
      </c>
      <c r="D7369" s="1">
        <v>679.47</v>
      </c>
    </row>
    <row r="7370" spans="1:4" x14ac:dyDescent="0.3">
      <c r="A7370" s="1" t="str">
        <f>"02000208700"</f>
        <v>02000208700</v>
      </c>
      <c r="B7370" s="1" t="str">
        <f>"LEWIS THOMAS M, LEWIS ANNE E"</f>
        <v>LEWIS THOMAS M, LEWIS ANNE E</v>
      </c>
      <c r="C7370" s="1" t="str">
        <f>"137 STANWOOD RD ARDMORE 2 353 "</f>
        <v xml:space="preserve">137 STANWOOD RD ARDMORE 2 353 </v>
      </c>
      <c r="D7370" s="1">
        <v>668.01</v>
      </c>
    </row>
    <row r="7371" spans="1:4" x14ac:dyDescent="0.3">
      <c r="A7371" s="1" t="str">
        <f>"01001744900"</f>
        <v>01001744900</v>
      </c>
      <c r="B7371" s="1" t="str">
        <f>"LEWISHELPS LLC"</f>
        <v>LEWISHELPS LLC</v>
      </c>
      <c r="C7371" s="1" t="str">
        <f>"1074-76 15TH AVE DREXEL PK LOT 136"</f>
        <v>1074-76 15TH AVE DREXEL PK LOT 136</v>
      </c>
      <c r="D7371" s="1">
        <v>3516.66</v>
      </c>
    </row>
    <row r="7372" spans="1:4" x14ac:dyDescent="0.3">
      <c r="A7372" s="1" t="str">
        <f>"05300071900"</f>
        <v>05300071900</v>
      </c>
      <c r="B7372" s="1" t="str">
        <f>"LEYLI OMAR MIRAD, ADAN NAFISO IBRAHIM"</f>
        <v>LEYLI OMAR MIRAD, ADAN NAFISO IBRAHIM</v>
      </c>
      <c r="C7372" s="1" t="str">
        <f>"TARLTON MEADOWS WEST SECTION 4 PHASE 1 LOT 192"</f>
        <v>TARLTON MEADOWS WEST SECTION 4 PHASE 1 LOT 192</v>
      </c>
      <c r="D7372" s="1">
        <v>10529.18</v>
      </c>
    </row>
    <row r="7373" spans="1:4" x14ac:dyDescent="0.3">
      <c r="A7373" s="1" t="str">
        <f>"57017777700"</f>
        <v>57017777700</v>
      </c>
      <c r="B7373" s="1" t="str">
        <f>"LEZAMA AIDEE AGUILAR"</f>
        <v>LEZAMA AIDEE AGUILAR</v>
      </c>
      <c r="C7373" s="1" t="str">
        <f>"BRANDING IRON DR GREENE COUNTRIE SEC3 PH1 LOT 264"</f>
        <v>BRANDING IRON DR GREENE COUNTRIE SEC3 PH1 LOT 264</v>
      </c>
      <c r="D7373" s="1">
        <v>4345.6099999999997</v>
      </c>
    </row>
    <row r="7374" spans="1:4" x14ac:dyDescent="0.3">
      <c r="A7374" s="1" t="str">
        <f>"01000282000"</f>
        <v>01000282000</v>
      </c>
      <c r="B7374" s="1" t="str">
        <f>"LG VENTURE OHIO LLC"</f>
        <v>LG VENTURE OHIO LLC</v>
      </c>
      <c r="C7374" s="1" t="str">
        <f>"33 WILSON AVE IDE PLACE LOT 13"</f>
        <v>33 WILSON AVE IDE PLACE LOT 13</v>
      </c>
      <c r="D7374" s="1">
        <v>2254.5700000000002</v>
      </c>
    </row>
    <row r="7375" spans="1:4" x14ac:dyDescent="0.3">
      <c r="A7375" s="1" t="str">
        <f>"59020027900"</f>
        <v>59020027900</v>
      </c>
      <c r="B7375" s="1" t="str">
        <f>"LH ADVISORY LLC"</f>
        <v>LH ADVISORY LLC</v>
      </c>
      <c r="C7375" s="1" t="str">
        <f>"HEDGEROW ROAD ENCLAVE CONDO UNIT 2261H"</f>
        <v>HEDGEROW ROAD ENCLAVE CONDO UNIT 2261H</v>
      </c>
      <c r="D7375" s="1">
        <v>1593.3</v>
      </c>
    </row>
    <row r="7376" spans="1:4" x14ac:dyDescent="0.3">
      <c r="A7376" s="1" t="str">
        <f>"01019147100"</f>
        <v>01019147100</v>
      </c>
      <c r="B7376" s="1" t="str">
        <f>"LH MARSHALL CO"</f>
        <v>LH MARSHALL CO</v>
      </c>
      <c r="C7376" s="1" t="str">
        <f>"1601 WOODLAND AVE LEONARD HRS 4.629 ACRES"</f>
        <v>1601 WOODLAND AVE LEONARD HRS 4.629 ACRES</v>
      </c>
      <c r="D7376" s="1">
        <v>2376.16</v>
      </c>
    </row>
    <row r="7377" spans="1:4" x14ac:dyDescent="0.3">
      <c r="A7377" s="1" t="str">
        <f>"01007417700"</f>
        <v>01007417700</v>
      </c>
      <c r="B7377" s="1" t="str">
        <f>"LHI AZELDA LLC"</f>
        <v>LHI AZELDA LLC</v>
      </c>
      <c r="C7377" s="1" t="str">
        <f>"AZELDA ST ALMADA LOT 550"</f>
        <v>AZELDA ST ALMADA LOT 550</v>
      </c>
      <c r="D7377" s="1">
        <v>231.09</v>
      </c>
    </row>
    <row r="7378" spans="1:4" x14ac:dyDescent="0.3">
      <c r="A7378" s="1" t="str">
        <f>"01005977700"</f>
        <v>01005977700</v>
      </c>
      <c r="B7378" s="1" t="str">
        <f>"LI CONSTRUCTIONS LLC"</f>
        <v>LI CONSTRUCTIONS LLC</v>
      </c>
      <c r="C7378" s="1" t="str">
        <f>"ABERDEEN AVE LINDEN LOT 433"</f>
        <v>ABERDEEN AVE LINDEN LOT 433</v>
      </c>
      <c r="D7378" s="1">
        <v>224.76</v>
      </c>
    </row>
    <row r="7379" spans="1:4" x14ac:dyDescent="0.3">
      <c r="A7379" s="1" t="str">
        <f>"27301088900"</f>
        <v>27301088900</v>
      </c>
      <c r="B7379" s="1" t="str">
        <f>"LI HAICHANG, ZHAO LI"</f>
        <v>LI HAICHANG, ZHAO LI</v>
      </c>
      <c r="C7379" s="1" t="str">
        <f>"WESTON CIRCLE WEST WESTBURY SECTION 7 LOT 257"</f>
        <v>WESTON CIRCLE WEST WESTBURY SECTION 7 LOT 257</v>
      </c>
      <c r="D7379" s="1">
        <v>1488.91</v>
      </c>
    </row>
    <row r="7380" spans="1:4" x14ac:dyDescent="0.3">
      <c r="A7380" s="1" t="str">
        <f>"07001413100"</f>
        <v>07001413100</v>
      </c>
      <c r="B7380" s="1" t="str">
        <f>"LI HUAXIA"</f>
        <v>LI HUAXIA</v>
      </c>
      <c r="C7380" s="1" t="str">
        <f>"MONTAGUE CT CONCORD VILLAGE PH 7 .1026 ACRE LOT 19"</f>
        <v>MONTAGUE CT CONCORD VILLAGE PH 7 .1026 ACRE LOT 19</v>
      </c>
      <c r="D7380" s="1">
        <v>324.24</v>
      </c>
    </row>
    <row r="7381" spans="1:4" x14ac:dyDescent="0.3">
      <c r="A7381" s="1" t="str">
        <f>"54523617000"</f>
        <v>54523617000</v>
      </c>
      <c r="B7381" s="1" t="str">
        <f>"LI JAMIE"</f>
        <v>LI JAMIE</v>
      </c>
      <c r="C7381" s="1" t="str">
        <f>"FODOR ROAD HAMPSTED VILLAGE SECTION 5 LOT 207"</f>
        <v>FODOR ROAD HAMPSTED VILLAGE SECTION 5 LOT 207</v>
      </c>
      <c r="D7381" s="1">
        <v>507.73</v>
      </c>
    </row>
    <row r="7382" spans="1:4" x14ac:dyDescent="0.3">
      <c r="A7382" s="1" t="str">
        <f>"01019746100"</f>
        <v>01019746100</v>
      </c>
      <c r="B7382" s="1" t="str">
        <f>"LI JING"</f>
        <v>LI JING</v>
      </c>
      <c r="C7382" s="1" t="str">
        <f>"SPRUCEFLD CT TOWNHM CONDO 2ND AMD UNIT 2093"</f>
        <v>SPRUCEFLD CT TOWNHM CONDO 2ND AMD UNIT 2093</v>
      </c>
      <c r="D7382" s="1">
        <v>1971.19</v>
      </c>
    </row>
    <row r="7383" spans="1:4" x14ac:dyDescent="0.3">
      <c r="A7383" s="1" t="str">
        <f>"59019491400"</f>
        <v>59019491400</v>
      </c>
      <c r="B7383" s="1" t="str">
        <f>"LI PING XIANG TTEE"</f>
        <v>LI PING XIANG TTEE</v>
      </c>
      <c r="C7383" s="1" t="str">
        <f>"DUNSWORTH DR SUMMERWOOD 4 PART 2 LOT 391"</f>
        <v>DUNSWORTH DR SUMMERWOOD 4 PART 2 LOT 391</v>
      </c>
      <c r="D7383" s="1">
        <v>278.83</v>
      </c>
    </row>
    <row r="7384" spans="1:4" x14ac:dyDescent="0.3">
      <c r="A7384" s="1" t="str">
        <f>"20332754900"</f>
        <v>20332754900</v>
      </c>
      <c r="B7384" s="1" t="str">
        <f>"LIAN DAVID THANG, PAR MAH THA"</f>
        <v>LIAN DAVID THANG, PAR MAH THA</v>
      </c>
      <c r="C7384" s="1" t="str">
        <f>"RENNER PARK SECTION 3 LOT 137"</f>
        <v>RENNER PARK SECTION 3 LOT 137</v>
      </c>
      <c r="D7384" s="1">
        <v>206.9</v>
      </c>
    </row>
    <row r="7385" spans="1:4" x14ac:dyDescent="0.3">
      <c r="A7385" s="1" t="str">
        <f>"59019690900"</f>
        <v>59019690900</v>
      </c>
      <c r="B7385" s="1" t="str">
        <f>"LIANG REAL PROPERTIES LLC"</f>
        <v>LIANG REAL PROPERTIES LLC</v>
      </c>
      <c r="C7385" s="1" t="str">
        <f>"SHILOH DR SHILOH STA CONDO V UNIT 5333 BLDG 19"</f>
        <v>SHILOH DR SHILOH STA CONDO V UNIT 5333 BLDG 19</v>
      </c>
      <c r="D7385" s="1">
        <v>157.91</v>
      </c>
    </row>
    <row r="7386" spans="1:4" x14ac:dyDescent="0.3">
      <c r="A7386" s="1" t="str">
        <f>"01013079900"</f>
        <v>01013079900</v>
      </c>
      <c r="B7386" s="1" t="str">
        <f>"LIBERATORE JACK, LIBERATORE TRACY PENN"</f>
        <v>LIBERATORE JACK, LIBERATORE TRACY PENN</v>
      </c>
      <c r="C7386" s="1" t="str">
        <f>"KENNY RD KENDALE SEC 1 LOT 97"</f>
        <v>KENNY RD KENDALE SEC 1 LOT 97</v>
      </c>
      <c r="D7386" s="1">
        <v>6580.62</v>
      </c>
    </row>
    <row r="7387" spans="1:4" x14ac:dyDescent="0.3">
      <c r="A7387" s="1" t="str">
        <f>"01009589200"</f>
        <v>01009589200</v>
      </c>
      <c r="B7387" s="1" t="str">
        <f>"LICHTINGER PAUL S"</f>
        <v>LICHTINGER PAUL S</v>
      </c>
      <c r="C7387" s="1" t="str">
        <f>"HAMILTON AVE 20FT NS 5&amp;ALL 6 HAMILTON AVE LOT 5-6"</f>
        <v>HAMILTON AVE 20FT NS 5&amp;ALL 6 HAMILTON AVE LOT 5-6</v>
      </c>
      <c r="D7387" s="1">
        <v>117.16</v>
      </c>
    </row>
    <row r="7388" spans="1:4" x14ac:dyDescent="0.3">
      <c r="A7388" s="1" t="str">
        <f>"01007397800"</f>
        <v>01007397800</v>
      </c>
      <c r="B7388" s="1" t="str">
        <f>"LICKLIDER TRENT"</f>
        <v>LICKLIDER TRENT</v>
      </c>
      <c r="C7388" s="1" t="str">
        <f>"BEULAH RD HOMECROFT LOT221"</f>
        <v>BEULAH RD HOMECROFT LOT221</v>
      </c>
      <c r="D7388" s="1">
        <v>121.98</v>
      </c>
    </row>
    <row r="7389" spans="1:4" x14ac:dyDescent="0.3">
      <c r="A7389" s="1" t="str">
        <f>"05000042000"</f>
        <v>05000042000</v>
      </c>
      <c r="B7389" s="1" t="str">
        <f>"LIEB JEFFREY"</f>
        <v>LIEB JEFFREY</v>
      </c>
      <c r="C7389" s="1" t="str">
        <f>"3940 LINDA ROAD CONNOR-MC DAVID LOT 9"</f>
        <v>3940 LINDA ROAD CONNOR-MC DAVID LOT 9</v>
      </c>
      <c r="D7389" s="1">
        <v>2517.59</v>
      </c>
    </row>
    <row r="7390" spans="1:4" x14ac:dyDescent="0.3">
      <c r="A7390" s="1" t="str">
        <f>"27300395000"</f>
        <v>27300395000</v>
      </c>
      <c r="B7390" s="1" t="str">
        <f>"LIEBERT JOSHUA, LIEBERT MEGAN"</f>
        <v>LIEBERT JOSHUA, LIEBERT MEGAN</v>
      </c>
      <c r="C7390" s="1" t="str">
        <f>"GREY FRIAR WAY MUIRFIELD VILLAGE PHASE 32 LOT 1523"</f>
        <v>GREY FRIAR WAY MUIRFIELD VILLAGE PHASE 32 LOT 1523</v>
      </c>
      <c r="D7390" s="1">
        <v>1113.5899999999999</v>
      </c>
    </row>
    <row r="7391" spans="1:4" x14ac:dyDescent="0.3">
      <c r="A7391" s="1" t="str">
        <f>"01016591300"</f>
        <v>01016591300</v>
      </c>
      <c r="B7391" s="1" t="str">
        <f>"LIEBTAG CHRISTOPHER E, LIEBTAG CARRIE L B"</f>
        <v>LIEBTAG CHRISTOPHER E, LIEBTAG CARRIE L B</v>
      </c>
      <c r="C7391" s="1" t="str">
        <f>"WILLOW CREEK CIRCLE GREENBRIER FARM NO 5 LOT 37"</f>
        <v>WILLOW CREEK CIRCLE GREENBRIER FARM NO 5 LOT 37</v>
      </c>
      <c r="D7391" s="1">
        <v>2180.12</v>
      </c>
    </row>
    <row r="7392" spans="1:4" x14ac:dyDescent="0.3">
      <c r="A7392" s="1" t="str">
        <f>"01010345300"</f>
        <v>01010345300</v>
      </c>
      <c r="B7392" s="1" t="str">
        <f>"LIEDTKE FREDERICK"</f>
        <v>LIEDTKE FREDERICK</v>
      </c>
      <c r="C7392" s="1" t="str">
        <f>"KARL KREST LOT 55 "</f>
        <v xml:space="preserve">KARL KREST LOT 55 </v>
      </c>
      <c r="D7392" s="1">
        <v>107.25</v>
      </c>
    </row>
    <row r="7393" spans="1:4" x14ac:dyDescent="0.3">
      <c r="A7393" s="1" t="str">
        <f>"01010759600"</f>
        <v>01010759600</v>
      </c>
      <c r="B7393" s="1" t="str">
        <f>"LIEDTKE SHANNON MARIE"</f>
        <v>LIEDTKE SHANNON MARIE</v>
      </c>
      <c r="C7393" s="1" t="str">
        <f>"GILROY RD BERWICK MANOR 2 LOT 79"</f>
        <v>GILROY RD BERWICK MANOR 2 LOT 79</v>
      </c>
      <c r="D7393" s="1">
        <v>144.07</v>
      </c>
    </row>
    <row r="7394" spans="1:4" x14ac:dyDescent="0.3">
      <c r="A7394" s="1" t="str">
        <f>"56021520700"</f>
        <v>56021520700</v>
      </c>
      <c r="B7394" s="1" t="str">
        <f>"LIEU DANG"</f>
        <v>LIEU DANG</v>
      </c>
      <c r="C7394" s="1" t="str">
        <f>"HILLIARD HEIGHTS CONDOMINIUM 3RD AMD UNIT 11C"</f>
        <v>HILLIARD HEIGHTS CONDOMINIUM 3RD AMD UNIT 11C</v>
      </c>
      <c r="D7394" s="1">
        <v>3235.34</v>
      </c>
    </row>
    <row r="7395" spans="1:4" x14ac:dyDescent="0.3">
      <c r="A7395" s="1" t="str">
        <f>"60025260100"</f>
        <v>60025260100</v>
      </c>
      <c r="B7395" s="1" t="str">
        <f>"LIEU HUONG, THACH KHOUNG"</f>
        <v>LIEU HUONG, THACH KHOUNG</v>
      </c>
      <c r="C7395" s="1" t="str">
        <f>"BLENDON BEND WAY NOBLE VILLAGE LOT 60"</f>
        <v>BLENDON BEND WAY NOBLE VILLAGE LOT 60</v>
      </c>
      <c r="D7395" s="1">
        <v>1270.82</v>
      </c>
    </row>
    <row r="7396" spans="1:4" x14ac:dyDescent="0.3">
      <c r="A7396" s="1" t="str">
        <f>"01003865000"</f>
        <v>01003865000</v>
      </c>
      <c r="B7396" s="1" t="str">
        <f>"LIFELONG LEARNING ADMINISTRATION CORPORATION"</f>
        <v>LIFELONG LEARNING ADMINISTRATION CORPORATION</v>
      </c>
      <c r="C7396" s="1" t="str">
        <f>"W BROAD ST FRANKLINTON PT LOTS 121-122"</f>
        <v>W BROAD ST FRANKLINTON PT LOTS 121-122</v>
      </c>
      <c r="D7396" s="1">
        <v>6823.21</v>
      </c>
    </row>
    <row r="7397" spans="1:4" x14ac:dyDescent="0.3">
      <c r="A7397" s="1" t="str">
        <f>"60030365400"</f>
        <v>60030365400</v>
      </c>
      <c r="B7397" s="1" t="str">
        <f>"LIFTER ROBIN B"</f>
        <v>LIFTER ROBIN B</v>
      </c>
      <c r="C7397" s="1" t="str">
        <f>"THE COVE SECTION 2 LOT 49"</f>
        <v>THE COVE SECTION 2 LOT 49</v>
      </c>
      <c r="D7397" s="1">
        <v>253.47</v>
      </c>
    </row>
    <row r="7398" spans="1:4" x14ac:dyDescent="0.3">
      <c r="A7398" s="1" t="str">
        <f>"27400125900"</f>
        <v>27400125900</v>
      </c>
      <c r="B7398" s="1" t="str">
        <f>"LIGGETT MARGARETT JO TR, SCHNUG BUCK MARY TTEE"</f>
        <v>LIGGETT MARGARETT JO TR, SCHNUG BUCK MARY TTEE</v>
      </c>
      <c r="C7398" s="1" t="str">
        <f>"4.07 ACRES OQ 1180 ENTRY 6953 SUB 2"</f>
        <v>4.07 ACRES OQ 1180 ENTRY 6953 SUB 2</v>
      </c>
      <c r="D7398" s="1">
        <v>141.66999999999999</v>
      </c>
    </row>
    <row r="7399" spans="1:4" x14ac:dyDescent="0.3">
      <c r="A7399" s="1" t="str">
        <f>"27400126000"</f>
        <v>27400126000</v>
      </c>
      <c r="B7399" s="1" t="str">
        <f>"LIGGETT MARGARETT JO TR, SCHNUG BUCK MARY TTEE"</f>
        <v>LIGGETT MARGARETT JO TR, SCHNUG BUCK MARY TTEE</v>
      </c>
      <c r="C7399" s="1" t="str">
        <f>"COSGRAY RD 32.44 ACRES OQ1180 ENT6953 SUB1"</f>
        <v>COSGRAY RD 32.44 ACRES OQ1180 ENT6953 SUB1</v>
      </c>
      <c r="D7399" s="1">
        <v>7577.08</v>
      </c>
    </row>
    <row r="7400" spans="1:4" x14ac:dyDescent="0.3">
      <c r="A7400" s="1" t="str">
        <f>"27400126100"</f>
        <v>27400126100</v>
      </c>
      <c r="B7400" s="1" t="str">
        <f>"LIGGETT MARGARETT JO TR, SCHNUG BUCK MARY TTEE"</f>
        <v>LIGGETT MARGARETT JO TR, SCHNUG BUCK MARY TTEE</v>
      </c>
      <c r="C7400" s="1" t="str">
        <f>"COSGRAY RD ACRES 28.10 "</f>
        <v xml:space="preserve">COSGRAY RD ACRES 28.10 </v>
      </c>
      <c r="D7400" s="1">
        <v>1840.75</v>
      </c>
    </row>
    <row r="7401" spans="1:4" x14ac:dyDescent="0.3">
      <c r="A7401" s="1" t="str">
        <f>"01007295400"</f>
        <v>01007295400</v>
      </c>
      <c r="B7401" s="1" t="str">
        <f>"LIGGETT MICHAEL"</f>
        <v>LIGGETT MICHAEL</v>
      </c>
      <c r="C7401" s="1" t="str">
        <f>"ATWOOD TERR ALMADA LOT 38"</f>
        <v>ATWOOD TERR ALMADA LOT 38</v>
      </c>
      <c r="D7401" s="1">
        <v>1829.25</v>
      </c>
    </row>
    <row r="7402" spans="1:4" x14ac:dyDescent="0.3">
      <c r="A7402" s="1" t="str">
        <f>"01007637400"</f>
        <v>01007637400</v>
      </c>
      <c r="B7402" s="1" t="str">
        <f>"LIGHTFOOT PROPERTIES LLC"</f>
        <v>LIGHTFOOT PROPERTIES LLC</v>
      </c>
      <c r="C7402" s="1" t="str">
        <f>"18TH AVE HIGHLAND PLACE LOT 104"</f>
        <v>18TH AVE HIGHLAND PLACE LOT 104</v>
      </c>
      <c r="D7402" s="1">
        <v>3062.3</v>
      </c>
    </row>
    <row r="7403" spans="1:4" x14ac:dyDescent="0.3">
      <c r="A7403" s="1" t="str">
        <f>"01024635900"</f>
        <v>01024635900</v>
      </c>
      <c r="B7403" s="1" t="str">
        <f>"LIGHTHOUSE JEREMIAH C, LIGHTHOUSE CHRISTY A"</f>
        <v>LIGHTHOUSE JEREMIAH C, LIGHTHOUSE CHRISTY A</v>
      </c>
      <c r="C7403" s="1" t="str">
        <f>"DEFOREST DRIVE CHATTERTON SECTION 2 LOT 129"</f>
        <v>DEFOREST DRIVE CHATTERTON SECTION 2 LOT 129</v>
      </c>
      <c r="D7403" s="1">
        <v>2120.71</v>
      </c>
    </row>
    <row r="7404" spans="1:4" x14ac:dyDescent="0.3">
      <c r="A7404" s="1" t="str">
        <f>"01009138000"</f>
        <v>01009138000</v>
      </c>
      <c r="B7404" s="1" t="str">
        <f>"LIII DEVELOPMENT LLC"</f>
        <v>LIII DEVELOPMENT LLC</v>
      </c>
      <c r="C7404" s="1" t="str">
        <f>"LIVINGSTON AVE EAST HAMPTON LOT 156"</f>
        <v>LIVINGSTON AVE EAST HAMPTON LOT 156</v>
      </c>
      <c r="D7404" s="1">
        <v>1587.65</v>
      </c>
    </row>
    <row r="7405" spans="1:4" x14ac:dyDescent="0.3">
      <c r="A7405" s="1" t="str">
        <f>"01001371600"</f>
        <v>01001371600</v>
      </c>
      <c r="B7405" s="1" t="str">
        <f>"LILLEY &amp; FULTON ENTERPRISES LLC"</f>
        <v>LILLEY &amp; FULTON ENTERPRISES LLC</v>
      </c>
      <c r="C7405" s="1" t="str">
        <f>"1525 FULTON ST A B COIT MID PT LOTS 11-13"</f>
        <v>1525 FULTON ST A B COIT MID PT LOTS 11-13</v>
      </c>
      <c r="D7405" s="1">
        <v>1161.72</v>
      </c>
    </row>
    <row r="7406" spans="1:4" x14ac:dyDescent="0.3">
      <c r="A7406" s="1" t="str">
        <f>"08000038000"</f>
        <v>08000038000</v>
      </c>
      <c r="B7406" s="1" t="str">
        <f>"LILLEY DAVID A"</f>
        <v>LILLEY DAVID A</v>
      </c>
      <c r="C7406" s="1" t="str">
        <f>"49W PLUM ST 1-4 ACRE NEW 105 "</f>
        <v xml:space="preserve">49W PLUM ST 1-4 ACRE NEW 105 </v>
      </c>
      <c r="D7406" s="1">
        <v>3314.82</v>
      </c>
    </row>
    <row r="7407" spans="1:4" x14ac:dyDescent="0.3">
      <c r="A7407" s="1" t="str">
        <f>"56022623100"</f>
        <v>56022623100</v>
      </c>
      <c r="B7407" s="1" t="str">
        <f>"LILLY SHERRY"</f>
        <v>LILLY SHERRY</v>
      </c>
      <c r="C7407" s="1" t="str">
        <f>"3643LAKESTONE CIRCLE LAKES AT MILL RUN CONDO BLDG1 UNIT3643"</f>
        <v>3643LAKESTONE CIRCLE LAKES AT MILL RUN CONDO BLDG1 UNIT3643</v>
      </c>
      <c r="D7407" s="1">
        <v>310.39999999999998</v>
      </c>
    </row>
    <row r="7408" spans="1:4" x14ac:dyDescent="0.3">
      <c r="A7408" s="1" t="str">
        <f>"61017825000"</f>
        <v>61017825000</v>
      </c>
      <c r="B7408" s="1" t="str">
        <f>"LIMA GERALD, LIMA JUDITH A"</f>
        <v>LIMA GERALD, LIMA JUDITH A</v>
      </c>
      <c r="C7408" s="1" t="str">
        <f>"DELEGATE DR THE WOODS@JOSEPHINUM LOT 28"</f>
        <v>DELEGATE DR THE WOODS@JOSEPHINUM LOT 28</v>
      </c>
      <c r="D7408" s="1">
        <v>319.3</v>
      </c>
    </row>
    <row r="7409" spans="1:4" x14ac:dyDescent="0.3">
      <c r="A7409" s="1" t="str">
        <f>"51022872600"</f>
        <v>51022872600</v>
      </c>
      <c r="B7409" s="1" t="str">
        <f>"LIMBACH JOHN J, LIMBACH ELIZABETH B"</f>
        <v>LIMBACH JOHN J, LIMBACH ELIZABETH B</v>
      </c>
      <c r="C7409" s="1" t="str">
        <f>"CROSSPOINTE DRIVE CROSS POINTE SEC 2 LOT 35"</f>
        <v>CROSSPOINTE DRIVE CROSS POINTE SEC 2 LOT 35</v>
      </c>
      <c r="D7409" s="1">
        <v>160.72999999999999</v>
      </c>
    </row>
    <row r="7410" spans="1:4" x14ac:dyDescent="0.3">
      <c r="A7410" s="1" t="str">
        <f>"21300059200"</f>
        <v>21300059200</v>
      </c>
      <c r="B7410" s="1" t="str">
        <f>"LIN CALVIN S"</f>
        <v>LIN CALVIN S</v>
      </c>
      <c r="C7410" s="1" t="str">
        <f>"BROOKDOWN DR BROOKSIDE ESTATES 2 LOT 35"</f>
        <v>BROOKDOWN DR BROOKSIDE ESTATES 2 LOT 35</v>
      </c>
      <c r="D7410" s="1">
        <v>6355.66</v>
      </c>
    </row>
    <row r="7411" spans="1:4" x14ac:dyDescent="0.3">
      <c r="A7411" s="1" t="str">
        <f>"27300787700"</f>
        <v>27300787700</v>
      </c>
      <c r="B7411" s="1" t="str">
        <f>"LIN HATHAWAY LLC"</f>
        <v>LIN HATHAWAY LLC</v>
      </c>
      <c r="C7411" s="1" t="str">
        <f>"HATHAWAY AVENUE BALGRIFFIN SECTION 1 LOT 16"</f>
        <v>HATHAWAY AVENUE BALGRIFFIN SECTION 1 LOT 16</v>
      </c>
      <c r="D7411" s="1">
        <v>485.14</v>
      </c>
    </row>
    <row r="7412" spans="1:4" x14ac:dyDescent="0.3">
      <c r="A7412" s="1" t="str">
        <f>"01018842700"</f>
        <v>01018842700</v>
      </c>
      <c r="B7412" s="1" t="str">
        <f>"LIN KATRINA"</f>
        <v>LIN KATRINA</v>
      </c>
      <c r="C7412" s="1" t="str">
        <f>"MERRIMAR CIR S HEARTHSTONE CONDO UNIT 1080-B BLDG 18"</f>
        <v>MERRIMAR CIR S HEARTHSTONE CONDO UNIT 1080-B BLDG 18</v>
      </c>
      <c r="D7412" s="1">
        <v>1035.72</v>
      </c>
    </row>
    <row r="7413" spans="1:4" x14ac:dyDescent="0.3">
      <c r="A7413" s="1" t="str">
        <f>"59017964300"</f>
        <v>59017964300</v>
      </c>
      <c r="B7413" s="1" t="str">
        <f>"LIN MARY"</f>
        <v>LIN MARY</v>
      </c>
      <c r="C7413" s="1" t="str">
        <f>"ESSINGTON DR RIVERSIDE GREEN SO 1 LOT 7"</f>
        <v>ESSINGTON DR RIVERSIDE GREEN SO 1 LOT 7</v>
      </c>
      <c r="D7413" s="1">
        <v>4000</v>
      </c>
    </row>
    <row r="7414" spans="1:4" x14ac:dyDescent="0.3">
      <c r="A7414" s="1" t="str">
        <f>"59022465200"</f>
        <v>59022465200</v>
      </c>
      <c r="B7414" s="1" t="str">
        <f>"LIN TINGHUI"</f>
        <v>LIN TINGHUI</v>
      </c>
      <c r="C7414" s="1" t="str">
        <f>"BETHEL VILLAGE CONDOMINIUM 9TH AMD UNIT 95C"</f>
        <v>BETHEL VILLAGE CONDOMINIUM 9TH AMD UNIT 95C</v>
      </c>
      <c r="D7414" s="1">
        <v>205.34</v>
      </c>
    </row>
    <row r="7415" spans="1:4" x14ac:dyDescent="0.3">
      <c r="A7415" s="1" t="str">
        <f>"02500289100"</f>
        <v>02500289100</v>
      </c>
      <c r="B7415" s="1" t="str">
        <f>"LINCIFORT JANAE, LINCIFORT SCHNEIDER"</f>
        <v>LINCIFORT JANAE, LINCIFORT SCHNEIDER</v>
      </c>
      <c r="C7415" s="1" t="str">
        <f>"420 BARWOOD DRIVE BRENTWOOD ESTATES SEC 1 81"</f>
        <v>420 BARWOOD DRIVE BRENTWOOD ESTATES SEC 1 81</v>
      </c>
      <c r="D7415" s="1">
        <v>2524.29</v>
      </c>
    </row>
    <row r="7416" spans="1:4" x14ac:dyDescent="0.3">
      <c r="A7416" s="1" t="str">
        <f>"01021380900"</f>
        <v>01021380900</v>
      </c>
      <c r="B7416" s="1" t="str">
        <f>"LINCOLN ELECTRIC AUTOMATION INC"</f>
        <v>LINCOLN ELECTRIC AUTOMATION INC</v>
      </c>
      <c r="C7416" s="1" t="str">
        <f>"1700 JETWAY BL MAPLE LAWN 7.403 ACRES"</f>
        <v>1700 JETWAY BL MAPLE LAWN 7.403 ACRES</v>
      </c>
      <c r="D7416" s="1">
        <v>2989.72</v>
      </c>
    </row>
    <row r="7417" spans="1:4" x14ac:dyDescent="0.3">
      <c r="A7417" s="1" t="str">
        <f>"01030258200"</f>
        <v>01030258200</v>
      </c>
      <c r="B7417" s="1" t="str">
        <f>"LINCOLN ROAD PROPERTIES LLC"</f>
        <v>LINCOLN ROAD PROPERTIES LLC</v>
      </c>
      <c r="C7417" s="1" t="str">
        <f>"GRANDVIEW AVE R23 T1 S12 4.092 ACRES"</f>
        <v>GRANDVIEW AVE R23 T1 S12 4.092 ACRES</v>
      </c>
      <c r="D7417" s="1">
        <v>3870.95</v>
      </c>
    </row>
    <row r="7418" spans="1:4" x14ac:dyDescent="0.3">
      <c r="A7418" s="1" t="str">
        <f>"07000502000"</f>
        <v>07000502000</v>
      </c>
      <c r="B7418" s="1" t="str">
        <f>"LIND STEVE"</f>
        <v>LIND STEVE</v>
      </c>
      <c r="C7418" s="1" t="str">
        <f>"SUNSET DRIVE RIVER RIDGE 12 BLK 3"</f>
        <v>SUNSET DRIVE RIVER RIDGE 12 BLK 3</v>
      </c>
      <c r="D7418" s="1">
        <v>378.19</v>
      </c>
    </row>
    <row r="7419" spans="1:4" x14ac:dyDescent="0.3">
      <c r="A7419" s="1" t="str">
        <f>"27300555300"</f>
        <v>27300555300</v>
      </c>
      <c r="B7419" s="1" t="str">
        <f>"LINDBERG CRAIG J, LINDBERG SALLY J"</f>
        <v>LINDBERG CRAIG J, LINDBERG SALLY J</v>
      </c>
      <c r="C7419" s="1" t="str">
        <f>"COVENTRY WOODS COURT COVENTRY WOODS SEC 2 LOT 136"</f>
        <v>COVENTRY WOODS COURT COVENTRY WOODS SEC 2 LOT 136</v>
      </c>
      <c r="D7419" s="1">
        <v>864.09</v>
      </c>
    </row>
    <row r="7420" spans="1:4" x14ac:dyDescent="0.3">
      <c r="A7420" s="1" t="str">
        <f>"01022529700"</f>
        <v>01022529700</v>
      </c>
      <c r="B7420" s="1" t="str">
        <f>"LINDELL SARA A, MCCARTY KYLE"</f>
        <v>LINDELL SARA A, MCCARTY KYLE</v>
      </c>
      <c r="C7420" s="1" t="str">
        <f>"SAVANNAH ESTATES CONDOMINIUM 4TH AMD UNIT 5794"</f>
        <v>SAVANNAH ESTATES CONDOMINIUM 4TH AMD UNIT 5794</v>
      </c>
      <c r="D7420" s="1">
        <v>2675.1</v>
      </c>
    </row>
    <row r="7421" spans="1:4" x14ac:dyDescent="0.3">
      <c r="A7421" s="1" t="str">
        <f>"03000018200"</f>
        <v>03000018200</v>
      </c>
      <c r="B7421" s="1" t="str">
        <f>"LINDEMANN LP"</f>
        <v>LINDEMANN LP</v>
      </c>
      <c r="C7421" s="1" t="str">
        <f>"1217 GRANDVIEW AVE 50 FT S S GRANDVIEW 41"</f>
        <v>1217 GRANDVIEW AVE 50 FT S S GRANDVIEW 41</v>
      </c>
      <c r="D7421" s="1">
        <v>501.1</v>
      </c>
    </row>
    <row r="7422" spans="1:4" x14ac:dyDescent="0.3">
      <c r="A7422" s="1" t="str">
        <f>"03000054900"</f>
        <v>03000054900</v>
      </c>
      <c r="B7422" s="1" t="str">
        <f>"LINDEMANN LP"</f>
        <v>LINDEMANN LP</v>
      </c>
      <c r="C7422" s="1" t="str">
        <f>"1516 W FIRST AVENUE 50 FT W S GRANDVIEW  48"</f>
        <v>1516 W FIRST AVENUE 50 FT W S GRANDVIEW  48</v>
      </c>
      <c r="D7422" s="1">
        <v>415.68</v>
      </c>
    </row>
    <row r="7423" spans="1:4" x14ac:dyDescent="0.3">
      <c r="A7423" s="1" t="str">
        <f>"01005212800"</f>
        <v>01005212800</v>
      </c>
      <c r="B7423" s="1" t="str">
        <f>"LINDEMANN LP"</f>
        <v>LINDEMANN LP</v>
      </c>
      <c r="C7423" s="1" t="str">
        <f>"209 TO 19 ARCADIA AVE 106.54FT EE GEO WILLIAMS LOT 434"</f>
        <v>209 TO 19 ARCADIA AVE 106.54FT EE GEO WILLIAMS LOT 434</v>
      </c>
      <c r="D7423" s="1">
        <v>592.88</v>
      </c>
    </row>
    <row r="7424" spans="1:4" x14ac:dyDescent="0.3">
      <c r="A7424" s="1" t="str">
        <f>"07000143000"</f>
        <v>07000143000</v>
      </c>
      <c r="B7424" s="1" t="str">
        <f>"LINDEMANN LP"</f>
        <v>LINDEMANN LP</v>
      </c>
      <c r="C7424" s="1" t="str">
        <f>"2068 ARLINGTON AVE UPPER ARLINGTON AMD PLAT BLK 37"</f>
        <v>2068 ARLINGTON AVE UPPER ARLINGTON AMD PLAT BLK 37</v>
      </c>
      <c r="D7424" s="1">
        <v>520.49</v>
      </c>
    </row>
    <row r="7425" spans="1:4" x14ac:dyDescent="0.3">
      <c r="A7425" s="1" t="str">
        <f>"07000194100"</f>
        <v>07000194100</v>
      </c>
      <c r="B7425" s="1" t="str">
        <f>"LINDEMANN LP"</f>
        <v>LINDEMANN LP</v>
      </c>
      <c r="C7425" s="1" t="str">
        <f>"2064-66 ARLINGTON UPPER ARLINGTON AMD PLAT BLK 37"</f>
        <v>2064-66 ARLINGTON UPPER ARLINGTON AMD PLAT BLK 37</v>
      </c>
      <c r="D7425" s="1">
        <v>484.17</v>
      </c>
    </row>
    <row r="7426" spans="1:4" x14ac:dyDescent="0.3">
      <c r="A7426" s="1" t="str">
        <f>"11000000800"</f>
        <v>11000000800</v>
      </c>
      <c r="B7426" s="1" t="str">
        <f>"LINDEMANN POLLY B TTEE"</f>
        <v>LINDEMANN POLLY B TTEE</v>
      </c>
      <c r="C7426" s="1" t="str">
        <f>"ULRY ROAD ROLLING RIDGE PT RES B=4.95 ACRES"</f>
        <v>ULRY ROAD ROLLING RIDGE PT RES B=4.95 ACRES</v>
      </c>
      <c r="D7426" s="1">
        <v>122.84</v>
      </c>
    </row>
    <row r="7427" spans="1:4" x14ac:dyDescent="0.3">
      <c r="A7427" s="1" t="str">
        <f>"11000000200"</f>
        <v>11000000200</v>
      </c>
      <c r="B7427" s="1" t="str">
        <f>"LINDEMANN POLLY B TTEE"</f>
        <v>LINDEMANN POLLY B TTEE</v>
      </c>
      <c r="C7427" s="1" t="str">
        <f>"HIGHTOP DR .866 ACRES ROLLING RIDGE"</f>
        <v>HIGHTOP DR .866 ACRES ROLLING RIDGE</v>
      </c>
      <c r="D7427" s="1">
        <v>7.07</v>
      </c>
    </row>
    <row r="7428" spans="1:4" x14ac:dyDescent="0.3">
      <c r="A7428" s="1" t="str">
        <f>"11000309900"</f>
        <v>11000309900</v>
      </c>
      <c r="B7428" s="1" t="str">
        <f>"LINDEMANN POLLY B TTEE"</f>
        <v>LINDEMANN POLLY B TTEE</v>
      </c>
      <c r="C7428" s="1" t="str">
        <f>"HIGHTOP DR ROLLING RIDGE LOT 35"</f>
        <v>HIGHTOP DR ROLLING RIDGE LOT 35</v>
      </c>
      <c r="D7428" s="1">
        <v>802.93</v>
      </c>
    </row>
    <row r="7429" spans="1:4" x14ac:dyDescent="0.3">
      <c r="A7429" s="1" t="str">
        <f>"01006688800"</f>
        <v>01006688800</v>
      </c>
      <c r="B7429" s="1" t="str">
        <f>"LINDEN  EQUITIES LLC"</f>
        <v>LINDEN  EQUITIES LLC</v>
      </c>
      <c r="C7429" s="1" t="str">
        <f>"727 E MAIN ST CROSBY PT LOT 84=1.210 ACRE"</f>
        <v>727 E MAIN ST CROSBY PT LOT 84=1.210 ACRE</v>
      </c>
      <c r="D7429" s="1">
        <v>8885.51</v>
      </c>
    </row>
    <row r="7430" spans="1:4" x14ac:dyDescent="0.3">
      <c r="A7430" s="1" t="str">
        <f>"01013797600"</f>
        <v>01013797600</v>
      </c>
      <c r="B7430" s="1" t="str">
        <f>"LINDENWOOD ROAD PROPERTIES LLC"</f>
        <v>LINDENWOOD ROAD PROPERTIES LLC</v>
      </c>
      <c r="C7430" s="1" t="str">
        <f>"LINDENWOOD RD FOREST PARK 5 LOT 844"</f>
        <v>LINDENWOOD RD FOREST PARK 5 LOT 844</v>
      </c>
      <c r="D7430" s="1">
        <v>4726.1499999999996</v>
      </c>
    </row>
    <row r="7431" spans="1:4" x14ac:dyDescent="0.3">
      <c r="A7431" s="1" t="str">
        <f>"01024137100"</f>
        <v>01024137100</v>
      </c>
      <c r="B7431" s="1" t="str">
        <f>"LINDIMORE SHANE"</f>
        <v>LINDIMORE SHANE</v>
      </c>
      <c r="C7431" s="1" t="str">
        <f>"BLENDON PARK CONDOMINIUM 9TH AMD UNIT 88A"</f>
        <v>BLENDON PARK CONDOMINIUM 9TH AMD UNIT 88A</v>
      </c>
      <c r="D7431" s="1">
        <v>1745.35</v>
      </c>
    </row>
    <row r="7432" spans="1:4" x14ac:dyDescent="0.3">
      <c r="A7432" s="1" t="str">
        <f>"01000932800"</f>
        <v>01000932800</v>
      </c>
      <c r="B7432" s="1" t="str">
        <f>"LINDNER RICHARD O III   TTEE"</f>
        <v>LINDNER RICHARD O III   TTEE</v>
      </c>
      <c r="C7432" s="1" t="str">
        <f>"E THOMPKINS STREET GEO WILLIAMS 121.61'NL ES LOT 255"</f>
        <v>E THOMPKINS STREET GEO WILLIAMS 121.61'NL ES LOT 255</v>
      </c>
      <c r="D7432" s="1">
        <v>3676.43</v>
      </c>
    </row>
    <row r="7433" spans="1:4" x14ac:dyDescent="0.3">
      <c r="A7433" s="1" t="str">
        <f>"13000151100"</f>
        <v>13000151100</v>
      </c>
      <c r="B7433" s="1" t="str">
        <f>"LINDNER RICHARD O TR"</f>
        <v>LINDNER RICHARD O TR</v>
      </c>
      <c r="C7433" s="1" t="str">
        <f>"900 E COOKE RD 2.0568 AC LOT 9"</f>
        <v>900 E COOKE RD 2.0568 AC LOT 9</v>
      </c>
      <c r="D7433" s="1">
        <v>408.83</v>
      </c>
    </row>
    <row r="7434" spans="1:4" x14ac:dyDescent="0.3">
      <c r="A7434" s="1" t="str">
        <f>"01001314800"</f>
        <v>01001314800</v>
      </c>
      <c r="B7434" s="1" t="str">
        <f>"LINDSEY BRIAN S, LINDSEY REBECCA H"</f>
        <v>LINDSEY BRIAN S, LINDSEY REBECCA H</v>
      </c>
      <c r="C7434" s="1" t="str">
        <f>"136 W 8TH 9.5FT WS 29&amp;18.5 FT ES 30 KINGS 2ND"</f>
        <v>136 W 8TH 9.5FT WS 29&amp;18.5 FT ES 30 KINGS 2ND</v>
      </c>
      <c r="D7434" s="1">
        <v>258.24</v>
      </c>
    </row>
    <row r="7435" spans="1:4" x14ac:dyDescent="0.3">
      <c r="A7435" s="1" t="str">
        <f>"56019269800"</f>
        <v>56019269800</v>
      </c>
      <c r="B7435" s="1" t="str">
        <f>"LINDSEY DAVID J"</f>
        <v>LINDSEY DAVID J</v>
      </c>
      <c r="C7435" s="1" t="str">
        <f>"TALCOTT DR CIDER MILL PT N E LOT 69"</f>
        <v>TALCOTT DR CIDER MILL PT N E LOT 69</v>
      </c>
      <c r="D7435" s="1">
        <v>972.61</v>
      </c>
    </row>
    <row r="7436" spans="1:4" x14ac:dyDescent="0.3">
      <c r="A7436" s="1" t="str">
        <f>"01002078300"</f>
        <v>01002078300</v>
      </c>
      <c r="B7436" s="1" t="str">
        <f>"LINDSEY JOHN NEIL"</f>
        <v>LINDSEY JOHN NEIL</v>
      </c>
      <c r="C7436" s="1" t="str">
        <f>"3152E5THAVE KRUMMS 2ND LOT 5"</f>
        <v>3152E5THAVE KRUMMS 2ND LOT 5</v>
      </c>
      <c r="D7436" s="1">
        <v>531.49</v>
      </c>
    </row>
    <row r="7437" spans="1:4" x14ac:dyDescent="0.3">
      <c r="A7437" s="1" t="str">
        <f>"01027972800"</f>
        <v>01027972800</v>
      </c>
      <c r="B7437" s="1" t="str">
        <f>"LINDSEY TREVA BLAINE"</f>
        <v>LINDSEY TREVA BLAINE</v>
      </c>
      <c r="C7437" s="1" t="str">
        <f>"TERRACES ON GRANT         CONDOMINIUMS              UNIT 504                 "</f>
        <v xml:space="preserve">TERRACES ON GRANT         CONDOMINIUMS              UNIT 504                 </v>
      </c>
      <c r="D7437" s="1">
        <v>183.8</v>
      </c>
    </row>
    <row r="7438" spans="1:4" x14ac:dyDescent="0.3">
      <c r="A7438" s="1" t="str">
        <f>"21300166700"</f>
        <v>21300166700</v>
      </c>
      <c r="B7438" s="1" t="str">
        <f>"LINKHORN JERRY"</f>
        <v>LINKHORN JERRY</v>
      </c>
      <c r="C7438" s="1" t="str">
        <f>"MAY COURT BROOKSIDE ESTATES 5 LOT 96"</f>
        <v>MAY COURT BROOKSIDE ESTATES 5 LOT 96</v>
      </c>
      <c r="D7438" s="1">
        <v>6071.04</v>
      </c>
    </row>
    <row r="7439" spans="1:4" x14ac:dyDescent="0.3">
      <c r="A7439" s="1" t="str">
        <f>"04000626400"</f>
        <v>04000626400</v>
      </c>
      <c r="B7439" s="1" t="str">
        <f>"LINLEY ORRIS R"</f>
        <v>LINLEY ORRIS R</v>
      </c>
      <c r="C7439" s="1" t="str">
        <f>"3234 VENTURA BLVD CASTLE FARMS 42"</f>
        <v>3234 VENTURA BLVD CASTLE FARMS 42</v>
      </c>
      <c r="D7439" s="1">
        <v>974.75</v>
      </c>
    </row>
    <row r="7440" spans="1:4" x14ac:dyDescent="0.3">
      <c r="A7440" s="1" t="str">
        <f>"01027703200"</f>
        <v>01027703200</v>
      </c>
      <c r="B7440" s="1" t="str">
        <f>"LINNEN STEPHEN P"</f>
        <v>LINNEN STEPHEN P</v>
      </c>
      <c r="C7440" s="1" t="str">
        <f>"OLENTANGY POINT AND COVE CONDOMINIUM UNIT G-2983"</f>
        <v>OLENTANGY POINT AND COVE CONDOMINIUM UNIT G-2983</v>
      </c>
      <c r="D7440" s="1">
        <v>159.69999999999999</v>
      </c>
    </row>
    <row r="7441" spans="1:4" x14ac:dyDescent="0.3">
      <c r="A7441" s="1" t="str">
        <f>"01027125700"</f>
        <v>01027125700</v>
      </c>
      <c r="B7441" s="1" t="str">
        <f>"LINNIK OLESYA NIKOLAEVNA"</f>
        <v>LINNIK OLESYA NIKOLAEVNA</v>
      </c>
      <c r="C7441" s="1" t="str">
        <f>"VILLAGE AT GALLOWAY RUN S-F HOMES CONDOMINIUM 9TH AMD UNIT 97"</f>
        <v>VILLAGE AT GALLOWAY RUN S-F HOMES CONDOMINIUM 9TH AMD UNIT 97</v>
      </c>
      <c r="D7441" s="1">
        <v>1667.79</v>
      </c>
    </row>
    <row r="7442" spans="1:4" x14ac:dyDescent="0.3">
      <c r="A7442" s="1" t="str">
        <f>"10000383100"</f>
        <v>10000383100</v>
      </c>
      <c r="B7442" s="1" t="str">
        <f>"LINSCOTT ALBERTA C"</f>
        <v>LINSCOTT ALBERTA C</v>
      </c>
      <c r="C7442" s="1" t="str">
        <f>"489 LAMBOURNE AVE WORTHINGTON ESTATES LOT 8 BLK S"</f>
        <v>489 LAMBOURNE AVE WORTHINGTON ESTATES LOT 8 BLK S</v>
      </c>
      <c r="D7442" s="1">
        <v>376.04</v>
      </c>
    </row>
    <row r="7443" spans="1:4" x14ac:dyDescent="0.3">
      <c r="A7443" s="1" t="str">
        <f>"02500028400"</f>
        <v>02500028400</v>
      </c>
      <c r="B7443" s="1" t="str">
        <f>"LINTNER HELEN D TR (HELEN D LINTNER TRUST), LINTNER LARRY L TR (LARRY L LINTNER TRUST)"</f>
        <v>LINTNER HELEN D TR (HELEN D LINTNER TRUST), LINTNER LARRY L TR (LARRY L LINTNER TRUST)</v>
      </c>
      <c r="C7443" s="1" t="str">
        <f>"364 GRANVILLE ST 0.4807 ACRE R17 T1 1/4T4-1 LOT 1"</f>
        <v>364 GRANVILLE ST 0.4807 ACRE R17 T1 1/4T4-1 LOT 1</v>
      </c>
      <c r="D7443" s="1">
        <v>9651.41</v>
      </c>
    </row>
    <row r="7444" spans="1:4" x14ac:dyDescent="0.3">
      <c r="A7444" s="1" t="str">
        <f>"01004085800"</f>
        <v>01004085800</v>
      </c>
      <c r="B7444" s="1" t="str">
        <f>"LIONHEART VENTURES LLC"</f>
        <v>LIONHEART VENTURES LLC</v>
      </c>
      <c r="C7444" s="1" t="str">
        <f>"671 KELTON AVE KENTS 2ND SUB 68"</f>
        <v>671 KELTON AVE KENTS 2ND SUB 68</v>
      </c>
      <c r="D7444" s="1">
        <v>2644.19</v>
      </c>
    </row>
    <row r="7445" spans="1:4" x14ac:dyDescent="0.3">
      <c r="A7445" s="1" t="str">
        <f>"01008483300"</f>
        <v>01008483300</v>
      </c>
      <c r="B7445" s="1" t="str">
        <f>"LIPARI LISBETH A"</f>
        <v>LIPARI LISBETH A</v>
      </c>
      <c r="C7445" s="1" t="str">
        <f>"BEAUMONT RD HIGHLAND GARDENS 2 LOT 506 &amp; 506 1/2"</f>
        <v>BEAUMONT RD HIGHLAND GARDENS 2 LOT 506 &amp; 506 1/2</v>
      </c>
      <c r="D7445" s="1">
        <v>260.10000000000002</v>
      </c>
    </row>
    <row r="7446" spans="1:4" x14ac:dyDescent="0.3">
      <c r="A7446" s="1" t="str">
        <f>"01008017000"</f>
        <v>01008017000</v>
      </c>
      <c r="B7446" s="1" t="str">
        <f>"LISKA BETSY A"</f>
        <v>LISKA BETSY A</v>
      </c>
      <c r="C7446" s="1" t="str">
        <f>"NORWOOD ST KENMORE PARK 2 BLK 20"</f>
        <v>NORWOOD ST KENMORE PARK 2 BLK 20</v>
      </c>
      <c r="D7446" s="1">
        <v>3016.12</v>
      </c>
    </row>
    <row r="7447" spans="1:4" x14ac:dyDescent="0.3">
      <c r="A7447" s="1" t="str">
        <f>"59018085600"</f>
        <v>59018085600</v>
      </c>
      <c r="B7447" s="1" t="str">
        <f>"LISTER THERESA M"</f>
        <v>LISTER THERESA M</v>
      </c>
      <c r="C7447" s="1" t="str">
        <f>"MAYBROOK ST SMOKY ROW MANOR S LOT 20"</f>
        <v>MAYBROOK ST SMOKY ROW MANOR S LOT 20</v>
      </c>
      <c r="D7447" s="1">
        <v>244.77</v>
      </c>
    </row>
    <row r="7448" spans="1:4" x14ac:dyDescent="0.3">
      <c r="A7448" s="1" t="str">
        <f>"01019174600"</f>
        <v>01019174600</v>
      </c>
      <c r="B7448" s="1" t="str">
        <f>"LISTON ANA PAULA, HOLLAND ROBERT LEE"</f>
        <v>LISTON ANA PAULA, HOLLAND ROBERT LEE</v>
      </c>
      <c r="C7448" s="1" t="str">
        <f>"923 STUDER AVE STUDER AMD 88.8 FT E E LOT 103"</f>
        <v>923 STUDER AVE STUDER AMD 88.8 FT E E LOT 103</v>
      </c>
      <c r="D7448" s="1">
        <v>1283.1400000000001</v>
      </c>
    </row>
    <row r="7449" spans="1:4" x14ac:dyDescent="0.3">
      <c r="A7449" s="1" t="str">
        <f>"59020028200"</f>
        <v>59020028200</v>
      </c>
      <c r="B7449" s="1" t="str">
        <f>"LITCH FRANCOISE M"</f>
        <v>LITCH FRANCOISE M</v>
      </c>
      <c r="C7449" s="1" t="str">
        <f>"HEDGEROW ROAD ENCLAVE CONDO UNIT 2265C"</f>
        <v>HEDGEROW ROAD ENCLAVE CONDO UNIT 2265C</v>
      </c>
      <c r="D7449" s="1">
        <v>1679.9</v>
      </c>
    </row>
    <row r="7450" spans="1:4" x14ac:dyDescent="0.3">
      <c r="A7450" s="1" t="str">
        <f>"01006026700"</f>
        <v>01006026700</v>
      </c>
      <c r="B7450" s="1" t="str">
        <f>"LITTLE BOY PROPERTIES LLC"</f>
        <v>LITTLE BOY PROPERTIES LLC</v>
      </c>
      <c r="C7450" s="1" t="str">
        <f>"1511 24TH AVE WALDEMERE LOT 112"</f>
        <v>1511 24TH AVE WALDEMERE LOT 112</v>
      </c>
      <c r="D7450" s="1">
        <v>435.96</v>
      </c>
    </row>
    <row r="7451" spans="1:4" x14ac:dyDescent="0.3">
      <c r="A7451" s="1" t="str">
        <f>"01006080300"</f>
        <v>01006080300</v>
      </c>
      <c r="B7451" s="1" t="str">
        <f>"LITTLE BOY PROPERTIES LLC"</f>
        <v>LITTLE BOY PROPERTIES LLC</v>
      </c>
      <c r="C7451" s="1" t="str">
        <f>"25TH AVE INNIS CREST LOT 91"</f>
        <v>25TH AVE INNIS CREST LOT 91</v>
      </c>
      <c r="D7451" s="1">
        <v>443.34</v>
      </c>
    </row>
    <row r="7452" spans="1:4" x14ac:dyDescent="0.3">
      <c r="A7452" s="1" t="str">
        <f>"01006371500"</f>
        <v>01006371500</v>
      </c>
      <c r="B7452" s="1" t="str">
        <f>"LITTLE BOY PROPERTIES LLC"</f>
        <v>LITTLE BOY PROPERTIES LLC</v>
      </c>
      <c r="C7452" s="1" t="str">
        <f>"2217 SULLIVANT AVE LINKES LOT 13"</f>
        <v>2217 SULLIVANT AVE LINKES LOT 13</v>
      </c>
      <c r="D7452" s="1">
        <v>1090.7</v>
      </c>
    </row>
    <row r="7453" spans="1:4" x14ac:dyDescent="0.3">
      <c r="A7453" s="1" t="str">
        <f>"01006036000"</f>
        <v>01006036000</v>
      </c>
      <c r="B7453" s="1" t="str">
        <f>"LITTLE GIRL PROPERTIES LLC"</f>
        <v>LITTLE GIRL PROPERTIES LLC</v>
      </c>
      <c r="C7453" s="1" t="str">
        <f>"24TH AVE WALDEMERE LOT 67"</f>
        <v>24TH AVE WALDEMERE LOT 67</v>
      </c>
      <c r="D7453" s="1">
        <v>725.26</v>
      </c>
    </row>
    <row r="7454" spans="1:4" x14ac:dyDescent="0.3">
      <c r="A7454" s="1" t="str">
        <f>"17100224000"</f>
        <v>17100224000</v>
      </c>
      <c r="B7454" s="1" t="str">
        <f>"LITTLE HEATHER LYNN, LITTLE JOSEPH A"</f>
        <v>LITTLE HEATHER LYNN, LITTLE JOSEPH A</v>
      </c>
      <c r="C7454" s="1" t="str">
        <f>"MORRISON FARMS EAST SECTION 6 LOT 225"</f>
        <v>MORRISON FARMS EAST SECTION 6 LOT 225</v>
      </c>
      <c r="D7454" s="1">
        <v>486.37</v>
      </c>
    </row>
    <row r="7455" spans="1:4" x14ac:dyDescent="0.3">
      <c r="A7455" s="1" t="str">
        <f>"01011131000"</f>
        <v>01011131000</v>
      </c>
      <c r="B7455" s="1" t="str">
        <f>"LITTLE HOWARD M"</f>
        <v>LITTLE HOWARD M</v>
      </c>
      <c r="C7455" s="1" t="str">
        <f>"SOUTHAMPTON AV JOAN HTS LOT 15"</f>
        <v>SOUTHAMPTON AV JOAN HTS LOT 15</v>
      </c>
      <c r="D7455" s="1">
        <v>407.05</v>
      </c>
    </row>
    <row r="7456" spans="1:4" x14ac:dyDescent="0.3">
      <c r="A7456" s="1" t="str">
        <f>"11000329700"</f>
        <v>11000329700</v>
      </c>
      <c r="B7456" s="1" t="str">
        <f>"LITTLE IDEA HOLDINGS LLC"</f>
        <v>LITTLE IDEA HOLDINGS LLC</v>
      </c>
      <c r="C7456" s="1" t="str">
        <f>"5576 MADRID DR H C HUBER PLAT 48 SEC 3 1365"</f>
        <v>5576 MADRID DR H C HUBER PLAT 48 SEC 3 1365</v>
      </c>
      <c r="D7456" s="1">
        <v>3327.83</v>
      </c>
    </row>
    <row r="7457" spans="1:4" x14ac:dyDescent="0.3">
      <c r="A7457" s="1" t="str">
        <f>"16100086400"</f>
        <v>16100086400</v>
      </c>
      <c r="B7457" s="1" t="str">
        <f>"LITTLE IDEA HOLDINGS LLC"</f>
        <v>LITTLE IDEA HOLDINGS LLC</v>
      </c>
      <c r="C7457" s="1" t="str">
        <f>"2820 MAPLE ST 6 BLK 7 URBANCREST"</f>
        <v>2820 MAPLE ST 6 BLK 7 URBANCREST</v>
      </c>
      <c r="D7457" s="1">
        <v>699.79</v>
      </c>
    </row>
    <row r="7458" spans="1:4" x14ac:dyDescent="0.3">
      <c r="A7458" s="1" t="str">
        <f>"16100086500"</f>
        <v>16100086500</v>
      </c>
      <c r="B7458" s="1" t="str">
        <f>"LITTLE IDEA HOLDINGS LLC"</f>
        <v>LITTLE IDEA HOLDINGS LLC</v>
      </c>
      <c r="C7458" s="1" t="str">
        <f>"MAPLE ST 7 BLK 7 URBANCREST"</f>
        <v>MAPLE ST 7 BLK 7 URBANCREST</v>
      </c>
      <c r="D7458" s="1">
        <v>52.91</v>
      </c>
    </row>
    <row r="7459" spans="1:4" x14ac:dyDescent="0.3">
      <c r="A7459" s="1" t="str">
        <f>"16100086600"</f>
        <v>16100086600</v>
      </c>
      <c r="B7459" s="1" t="str">
        <f>"LITTLE IDEA HOLDINGS LLC"</f>
        <v>LITTLE IDEA HOLDINGS LLC</v>
      </c>
      <c r="C7459" s="1" t="str">
        <f>"MAPLE ST 8 BLK 7 URBANCREST"</f>
        <v>MAPLE ST 8 BLK 7 URBANCREST</v>
      </c>
      <c r="D7459" s="1">
        <v>52.91</v>
      </c>
    </row>
    <row r="7460" spans="1:4" x14ac:dyDescent="0.3">
      <c r="A7460" s="1" t="str">
        <f>"01010614200"</f>
        <v>01010614200</v>
      </c>
      <c r="B7460" s="1" t="str">
        <f>"LITTLE MICHAEL S"</f>
        <v>LITTLE MICHAEL S</v>
      </c>
      <c r="C7460" s="1" t="str">
        <f>"BAXTER DR LEA-WOOD GDNS LOT 41"</f>
        <v>BAXTER DR LEA-WOOD GDNS LOT 41</v>
      </c>
      <c r="D7460" s="1">
        <v>1720.43</v>
      </c>
    </row>
    <row r="7461" spans="1:4" x14ac:dyDescent="0.3">
      <c r="A7461" s="1" t="str">
        <f>"01009147700"</f>
        <v>01009147700</v>
      </c>
      <c r="B7461" s="1" t="str">
        <f>"LITTLE STEPS BIG STEPS DAYCARE ACADEMY LLC"</f>
        <v>LITTLE STEPS BIG STEPS DAYCARE ACADEMY LLC</v>
      </c>
      <c r="C7461" s="1" t="str">
        <f>"LIVINGSTON AVE EAST HAMPTON LOT 253"</f>
        <v>LIVINGSTON AVE EAST HAMPTON LOT 253</v>
      </c>
      <c r="D7461" s="1">
        <v>291.27</v>
      </c>
    </row>
    <row r="7462" spans="1:4" x14ac:dyDescent="0.3">
      <c r="A7462" s="1" t="str">
        <f>"04000019400"</f>
        <v>04000019400</v>
      </c>
      <c r="B7462" s="1" t="str">
        <f>"LITTLE THEATRE OFF BROADWAY INC"</f>
        <v>LITTLE THEATRE OFF BROADWAY INC</v>
      </c>
      <c r="C7462" s="1" t="str">
        <f>"3981 BROADWAY 35X85 FT HARRISBURG PK "</f>
        <v xml:space="preserve">3981 BROADWAY 35X85 FT HARRISBURG PK </v>
      </c>
      <c r="D7462" s="1">
        <v>2676.76</v>
      </c>
    </row>
    <row r="7463" spans="1:4" x14ac:dyDescent="0.3">
      <c r="A7463" s="1" t="str">
        <f>"01013257500"</f>
        <v>01013257500</v>
      </c>
      <c r="B7463" s="1" t="str">
        <f>"LITTLE VIRGINIA L AFDT"</f>
        <v>LITTLE VIRGINIA L AFDT</v>
      </c>
      <c r="C7463" s="1" t="str">
        <f>"WOODSIDE DR WOODWARD PK LOT 173"</f>
        <v>WOODSIDE DR WOODWARD PK LOT 173</v>
      </c>
      <c r="D7463" s="1">
        <v>1124.43</v>
      </c>
    </row>
    <row r="7464" spans="1:4" x14ac:dyDescent="0.3">
      <c r="A7464" s="1" t="str">
        <f>"06000727500"</f>
        <v>06000727500</v>
      </c>
      <c r="B7464" s="1" t="str">
        <f>"LITTLETON TERRY WOODFORD TR, LITTLETON JEANNIE MAE TR"</f>
        <v>LITTLETON TERRY WOODFORD TR, LITTLETON JEANNIE MAE TR</v>
      </c>
      <c r="C7464" s="1" t="str">
        <f>"PATHFINDER DRIVE INDIAN CREEK SEC 2 LOT 81"</f>
        <v>PATHFINDER DRIVE INDIAN CREEK SEC 2 LOT 81</v>
      </c>
      <c r="D7464" s="1">
        <v>399.16</v>
      </c>
    </row>
    <row r="7465" spans="1:4" x14ac:dyDescent="0.3">
      <c r="A7465" s="1" t="str">
        <f>"09000328400"</f>
        <v>09000328400</v>
      </c>
      <c r="B7465" s="1" t="str">
        <f>"LITTLETON TERRY WOODFORD TTEE, LITTLETON JEANNIE MAE TTEE"</f>
        <v>LITTLETON TERRY WOODFORD TTEE, LITTLETON JEANNIE MAE TTEE</v>
      </c>
      <c r="C7465" s="1" t="str">
        <f>"829 EXETER RD TRURO ESTATES LOT 54"</f>
        <v>829 EXETER RD TRURO ESTATES LOT 54</v>
      </c>
      <c r="D7465" s="1">
        <v>117.57</v>
      </c>
    </row>
    <row r="7466" spans="1:4" x14ac:dyDescent="0.3">
      <c r="A7466" s="1" t="str">
        <f>"01001164000"</f>
        <v>01001164000</v>
      </c>
      <c r="B7466" s="1" t="str">
        <f>"LIU ERIC"</f>
        <v>LIU ERIC</v>
      </c>
      <c r="C7466" s="1" t="str">
        <f>"153 N WARREN AVE WICKLOW 3RD LOT 954-55"</f>
        <v>153 N WARREN AVE WICKLOW 3RD LOT 954-55</v>
      </c>
      <c r="D7466" s="1">
        <v>68.099999999999994</v>
      </c>
    </row>
    <row r="7467" spans="1:4" x14ac:dyDescent="0.3">
      <c r="A7467" s="1" t="str">
        <f>"01009452000"</f>
        <v>01009452000</v>
      </c>
      <c r="B7467" s="1" t="str">
        <f>"LIU ERIC"</f>
        <v>LIU ERIC</v>
      </c>
      <c r="C7467" s="1" t="str">
        <f>"WHEATLAND AVE TONTI AMD LOT 50"</f>
        <v>WHEATLAND AVE TONTI AMD LOT 50</v>
      </c>
      <c r="D7467" s="1">
        <v>89.4</v>
      </c>
    </row>
    <row r="7468" spans="1:4" x14ac:dyDescent="0.3">
      <c r="A7468" s="1" t="str">
        <f>"01009453100"</f>
        <v>01009453100</v>
      </c>
      <c r="B7468" s="1" t="str">
        <f>"LIU ERIC"</f>
        <v>LIU ERIC</v>
      </c>
      <c r="C7468" s="1" t="str">
        <f>"WHEATLAND AVE TONTI AMD LOT 61"</f>
        <v>WHEATLAND AVE TONTI AMD LOT 61</v>
      </c>
      <c r="D7468" s="1">
        <v>51.97</v>
      </c>
    </row>
    <row r="7469" spans="1:4" x14ac:dyDescent="0.3">
      <c r="A7469" s="1" t="str">
        <f>"01002871800"</f>
        <v>01002871800</v>
      </c>
      <c r="B7469" s="1" t="str">
        <f>"LIU ERIC"</f>
        <v>LIU ERIC</v>
      </c>
      <c r="C7469" s="1" t="str">
        <f>"459 BURGESS AVE SO BRONX LOT 10"</f>
        <v>459 BURGESS AVE SO BRONX LOT 10</v>
      </c>
      <c r="D7469" s="1">
        <v>92.25</v>
      </c>
    </row>
    <row r="7470" spans="1:4" x14ac:dyDescent="0.3">
      <c r="A7470" s="1" t="str">
        <f>"01003447700"</f>
        <v>01003447700</v>
      </c>
      <c r="B7470" s="1" t="str">
        <f>"LIU ERIC"</f>
        <v>LIU ERIC</v>
      </c>
      <c r="C7470" s="1" t="str">
        <f>"BREHL AVE MONETTS CENTRAL AVE LOT 87"</f>
        <v>BREHL AVE MONETTS CENTRAL AVE LOT 87</v>
      </c>
      <c r="D7470" s="1">
        <v>3.79</v>
      </c>
    </row>
    <row r="7471" spans="1:4" x14ac:dyDescent="0.3">
      <c r="A7471" s="1" t="str">
        <f>"01005200500"</f>
        <v>01005200500</v>
      </c>
      <c r="B7471" s="1" t="str">
        <f>"LIU ERIC"</f>
        <v>LIU ERIC</v>
      </c>
      <c r="C7471" s="1" t="str">
        <f>"392 BREHL AVE MONETTS CENTRAL AVE LOT 86"</f>
        <v>392 BREHL AVE MONETTS CENTRAL AVE LOT 86</v>
      </c>
      <c r="D7471" s="1">
        <v>67.989999999999995</v>
      </c>
    </row>
    <row r="7472" spans="1:4" x14ac:dyDescent="0.3">
      <c r="A7472" s="1" t="str">
        <f>"59019202500"</f>
        <v>59019202500</v>
      </c>
      <c r="B7472" s="1" t="str">
        <f>"LIU KAI"</f>
        <v>LIU KAI</v>
      </c>
      <c r="C7472" s="1" t="str">
        <f>"SALTERGATE VILLAGE TOWNHOMES CONDO BLDG 6 UNIT 7748"</f>
        <v>SALTERGATE VILLAGE TOWNHOMES CONDO BLDG 6 UNIT 7748</v>
      </c>
      <c r="D7472" s="1">
        <v>1406.86</v>
      </c>
    </row>
    <row r="7473" spans="1:4" x14ac:dyDescent="0.3">
      <c r="A7473" s="1" t="str">
        <f>"01019432300"</f>
        <v>01019432300</v>
      </c>
      <c r="B7473" s="1" t="str">
        <f>"LIU KAI"</f>
        <v>LIU KAI</v>
      </c>
      <c r="C7473" s="1" t="str">
        <f>"5315-203 PORTLAND ST NORTHAMPTON VILLAGE CONDO PH1 BLDG 3 UNIT 55"</f>
        <v>5315-203 PORTLAND ST NORTHAMPTON VILLAGE CONDO PH1 BLDG 3 UNIT 55</v>
      </c>
      <c r="D7473" s="1">
        <v>974.42</v>
      </c>
    </row>
    <row r="7474" spans="1:4" x14ac:dyDescent="0.3">
      <c r="A7474" s="1" t="str">
        <f>"01017724500"</f>
        <v>01017724500</v>
      </c>
      <c r="B7474" s="1" t="str">
        <f>"LIU KAI"</f>
        <v>LIU KAI</v>
      </c>
      <c r="C7474" s="1" t="str">
        <f>"HENDEREED VIL CONDO UNIT BLDG 1770 36 "</f>
        <v xml:space="preserve">HENDEREED VIL CONDO UNIT BLDG 1770 36 </v>
      </c>
      <c r="D7474" s="1">
        <v>1461.13</v>
      </c>
    </row>
    <row r="7475" spans="1:4" x14ac:dyDescent="0.3">
      <c r="A7475" s="1" t="str">
        <f>"59022370200"</f>
        <v>59022370200</v>
      </c>
      <c r="B7475" s="1" t="str">
        <f>"LIU LU P, LIU DARFA"</f>
        <v>LIU LU P, LIU DARFA</v>
      </c>
      <c r="C7475" s="1" t="str">
        <f>"BETHEL VILLAGE CONDOMINIUM 6TH AMD UNIT 72E"</f>
        <v>BETHEL VILLAGE CONDOMINIUM 6TH AMD UNIT 72E</v>
      </c>
      <c r="D7475" s="1">
        <v>4907.28</v>
      </c>
    </row>
    <row r="7476" spans="1:4" x14ac:dyDescent="0.3">
      <c r="A7476" s="1" t="str">
        <f>"01010697000"</f>
        <v>01010697000</v>
      </c>
      <c r="B7476" s="1" t="str">
        <f>"LIU PAUL"</f>
        <v>LIU PAUL</v>
      </c>
      <c r="C7476" s="1" t="str">
        <f>"BARNETT HTS AMD LOT 64 "</f>
        <v xml:space="preserve">BARNETT HTS AMD LOT 64 </v>
      </c>
      <c r="D7476" s="1">
        <v>131.61000000000001</v>
      </c>
    </row>
    <row r="7477" spans="1:4" x14ac:dyDescent="0.3">
      <c r="A7477" s="1" t="str">
        <f>"01006827300"</f>
        <v>01006827300</v>
      </c>
      <c r="B7477" s="1" t="str">
        <f>"LIU PAUL"</f>
        <v>LIU PAUL</v>
      </c>
      <c r="C7477" s="1" t="str">
        <f>"560 S WARREN AVE HEFFNER HEIGHTS LOT 47"</f>
        <v>560 S WARREN AVE HEFFNER HEIGHTS LOT 47</v>
      </c>
      <c r="D7477" s="1">
        <v>52</v>
      </c>
    </row>
    <row r="7478" spans="1:4" x14ac:dyDescent="0.3">
      <c r="A7478" s="1" t="str">
        <f>"01016570100"</f>
        <v>01016570100</v>
      </c>
      <c r="B7478" s="1" t="str">
        <f>"LIU PAUL"</f>
        <v>LIU PAUL</v>
      </c>
      <c r="C7478" s="1" t="str">
        <f>"PLANTATION LAKES CONDOMINIUM BLDG 54 UNIT A"</f>
        <v>PLANTATION LAKES CONDOMINIUM BLDG 54 UNIT A</v>
      </c>
      <c r="D7478" s="1">
        <v>65.03</v>
      </c>
    </row>
    <row r="7479" spans="1:4" x14ac:dyDescent="0.3">
      <c r="A7479" s="1" t="str">
        <f>"01027733500"</f>
        <v>01027733500</v>
      </c>
      <c r="B7479" s="1" t="str">
        <f>"LIU PAUL SHUCHIANG, LIU JULIE YUNGJUE"</f>
        <v>LIU PAUL SHUCHIANG, LIU JULIE YUNGJUE</v>
      </c>
      <c r="C7479" s="1" t="str">
        <f>"PRESERVE CROSSING         CONDOMINIUM               BLDG 6 UNIT 6-6328       "</f>
        <v xml:space="preserve">PRESERVE CROSSING         CONDOMINIUM               BLDG 6 UNIT 6-6328       </v>
      </c>
      <c r="D7479" s="1">
        <v>104.58</v>
      </c>
    </row>
    <row r="7480" spans="1:4" x14ac:dyDescent="0.3">
      <c r="A7480" s="1" t="str">
        <f>"59022925100"</f>
        <v>59022925100</v>
      </c>
      <c r="B7480" s="1" t="str">
        <f>"LIU SHU HONG, LIU BAO GUI"</f>
        <v>LIU SHU HONG, LIU BAO GUI</v>
      </c>
      <c r="C7480" s="1" t="str">
        <f>"BETHEL VILLAGE CONDOMINIUM 15TH AMD UNIT 1C"</f>
        <v>BETHEL VILLAGE CONDOMINIUM 15TH AMD UNIT 1C</v>
      </c>
      <c r="D7480" s="1">
        <v>2513.19</v>
      </c>
    </row>
    <row r="7481" spans="1:4" x14ac:dyDescent="0.3">
      <c r="A7481" s="1" t="str">
        <f>"15000249400"</f>
        <v>15000249400</v>
      </c>
      <c r="B7481" s="1" t="str">
        <f>"LIU STAN"</f>
        <v>LIU STAN</v>
      </c>
      <c r="C7481" s="1" t="str">
        <f>"179 BUCKEYE CR STEEPLECHASE GARDENS BLDG 7 UNIT B179"</f>
        <v>179 BUCKEYE CR STEEPLECHASE GARDENS BLDG 7 UNIT B179</v>
      </c>
      <c r="D7481" s="1">
        <v>160.85</v>
      </c>
    </row>
    <row r="7482" spans="1:4" x14ac:dyDescent="0.3">
      <c r="A7482" s="1" t="str">
        <f>"06100001200"</f>
        <v>06100001200</v>
      </c>
      <c r="B7482" s="1" t="str">
        <f>"LIU STAN"</f>
        <v>LIU STAN</v>
      </c>
      <c r="C7482" s="1" t="str">
        <f>"8130 REYNOLDSWOOD DR THE PARK AT WAGGONER SECTION 2 PART 3 LOT 194"</f>
        <v>8130 REYNOLDSWOOD DR THE PARK AT WAGGONER SECTION 2 PART 3 LOT 194</v>
      </c>
      <c r="D7482" s="1">
        <v>420.66</v>
      </c>
    </row>
    <row r="7483" spans="1:4" x14ac:dyDescent="0.3">
      <c r="A7483" s="1" t="str">
        <f>"09000675700"</f>
        <v>09000675700</v>
      </c>
      <c r="B7483" s="1" t="str">
        <f>"LIU STAN"</f>
        <v>LIU STAN</v>
      </c>
      <c r="C7483" s="1" t="str">
        <f>"4345 E BROAD ST ACRES .383 SHERMANS E BROAD ST 5-6"</f>
        <v>4345 E BROAD ST ACRES .383 SHERMANS E BROAD ST 5-6</v>
      </c>
      <c r="D7483" s="1">
        <v>452.27</v>
      </c>
    </row>
    <row r="7484" spans="1:4" x14ac:dyDescent="0.3">
      <c r="A7484" s="1" t="str">
        <f>"01009453200"</f>
        <v>01009453200</v>
      </c>
      <c r="B7484" s="1" t="str">
        <f>"LIU STAN"</f>
        <v>LIU STAN</v>
      </c>
      <c r="C7484" s="1" t="str">
        <f>"WHEATLAND AVE TONTI AMD LOT 62"</f>
        <v>WHEATLAND AVE TONTI AMD LOT 62</v>
      </c>
      <c r="D7484" s="1">
        <v>43.05</v>
      </c>
    </row>
    <row r="7485" spans="1:4" x14ac:dyDescent="0.3">
      <c r="A7485" s="1" t="str">
        <f>"01003883900"</f>
        <v>01003883900</v>
      </c>
      <c r="B7485" s="1" t="str">
        <f>"LIU STAN"</f>
        <v>LIU STAN</v>
      </c>
      <c r="C7485" s="1" t="str">
        <f>"1717 JEFRERSON DREXEL PK LOT 203-204"</f>
        <v>1717 JEFRERSON DREXEL PK LOT 203-204</v>
      </c>
      <c r="D7485" s="1">
        <v>79.930000000000007</v>
      </c>
    </row>
    <row r="7486" spans="1:4" x14ac:dyDescent="0.3">
      <c r="A7486" s="1" t="str">
        <f>"01006823300"</f>
        <v>01006823300</v>
      </c>
      <c r="B7486" s="1" t="str">
        <f>"LIU STAN"</f>
        <v>LIU STAN</v>
      </c>
      <c r="C7486" s="1" t="str">
        <f>"VIDA PL HEFFNER HEIGHTS LOT 7"</f>
        <v>VIDA PL HEFFNER HEIGHTS LOT 7</v>
      </c>
      <c r="D7486" s="1">
        <v>99.21</v>
      </c>
    </row>
    <row r="7487" spans="1:4" x14ac:dyDescent="0.3">
      <c r="A7487" s="1" t="str">
        <f>"01004143100"</f>
        <v>01004143100</v>
      </c>
      <c r="B7487" s="1" t="str">
        <f>"LIU STAN"</f>
        <v>LIU STAN</v>
      </c>
      <c r="C7487" s="1" t="str">
        <f>"780 COLUMBUS ST BUTLER LOT 85-6"</f>
        <v>780 COLUMBUS ST BUTLER LOT 85-6</v>
      </c>
      <c r="D7487" s="1">
        <v>65.16</v>
      </c>
    </row>
    <row r="7488" spans="1:4" x14ac:dyDescent="0.3">
      <c r="A7488" s="1" t="str">
        <f>"01006827100"</f>
        <v>01006827100</v>
      </c>
      <c r="B7488" s="1" t="str">
        <f>"LIU STAN"</f>
        <v>LIU STAN</v>
      </c>
      <c r="C7488" s="1" t="str">
        <f>"570  S WARREN AVE HEFFNER HTS LOT 45"</f>
        <v>570  S WARREN AVE HEFFNER HTS LOT 45</v>
      </c>
      <c r="D7488" s="1">
        <v>81.99</v>
      </c>
    </row>
    <row r="7489" spans="1:4" x14ac:dyDescent="0.3">
      <c r="A7489" s="1" t="str">
        <f>"01004153000"</f>
        <v>01004153000</v>
      </c>
      <c r="B7489" s="1" t="str">
        <f>"LIU STAN"</f>
        <v>LIU STAN</v>
      </c>
      <c r="C7489" s="1" t="str">
        <f>"63 BELVIDIER 40.1-3X 167.75FT OBLENNESS LOT SUB 9"</f>
        <v>63 BELVIDIER 40.1-3X 167.75FT OBLENNESS LOT SUB 9</v>
      </c>
      <c r="D7489" s="1">
        <v>57.07</v>
      </c>
    </row>
    <row r="7490" spans="1:4" x14ac:dyDescent="0.3">
      <c r="A7490" s="1" t="str">
        <f>"01000737100"</f>
        <v>01000737100</v>
      </c>
      <c r="B7490" s="1" t="str">
        <f>"LIU STAN"</f>
        <v>LIU STAN</v>
      </c>
      <c r="C7490" s="1" t="str">
        <f>"313 S WARREN AVE WICKLOW LOT 423"</f>
        <v>313 S WARREN AVE WICKLOW LOT 423</v>
      </c>
      <c r="D7490" s="1">
        <v>123.3</v>
      </c>
    </row>
    <row r="7491" spans="1:4" x14ac:dyDescent="0.3">
      <c r="A7491" s="1" t="str">
        <f>"01007452000"</f>
        <v>01007452000</v>
      </c>
      <c r="B7491" s="1" t="str">
        <f>"LIU STAN"</f>
        <v>LIU STAN</v>
      </c>
      <c r="C7491" s="1" t="str">
        <f>"LORETTA AVE HIGHWAY PARK LOT 122"</f>
        <v>LORETTA AVE HIGHWAY PARK LOT 122</v>
      </c>
      <c r="D7491" s="1">
        <v>68.790000000000006</v>
      </c>
    </row>
    <row r="7492" spans="1:4" x14ac:dyDescent="0.3">
      <c r="A7492" s="1" t="str">
        <f>"01004334100"</f>
        <v>01004334100</v>
      </c>
      <c r="B7492" s="1" t="str">
        <f>"LIU STAN"</f>
        <v>LIU STAN</v>
      </c>
      <c r="C7492" s="1" t="str">
        <f>"784 E COLUMBUS ST BUTLER 27.6X90.2 FT SUB 85-86"</f>
        <v>784 E COLUMBUS ST BUTLER 27.6X90.2 FT SUB 85-86</v>
      </c>
      <c r="D7492" s="1">
        <v>18.760000000000002</v>
      </c>
    </row>
    <row r="7493" spans="1:4" x14ac:dyDescent="0.3">
      <c r="A7493" s="1" t="str">
        <f>"01001050500"</f>
        <v>01001050500</v>
      </c>
      <c r="B7493" s="1" t="str">
        <f>"LIU STAN"</f>
        <v>LIU STAN</v>
      </c>
      <c r="C7493" s="1" t="str">
        <f>"281 S SKIDMORE ST POPE &amp; ELLERMAN LOT 41"</f>
        <v>281 S SKIDMORE ST POPE &amp; ELLERMAN LOT 41</v>
      </c>
      <c r="D7493" s="1">
        <v>53.51</v>
      </c>
    </row>
    <row r="7494" spans="1:4" x14ac:dyDescent="0.3">
      <c r="A7494" s="1" t="str">
        <f>"01004680000"</f>
        <v>01004680000</v>
      </c>
      <c r="B7494" s="1" t="str">
        <f>"LIU STAN"</f>
        <v>LIU STAN</v>
      </c>
      <c r="C7494" s="1" t="str">
        <f>"150 HAWKES AVE SINCLAIR LOT 107"</f>
        <v>150 HAWKES AVE SINCLAIR LOT 107</v>
      </c>
      <c r="D7494" s="1">
        <v>73.69</v>
      </c>
    </row>
    <row r="7495" spans="1:4" x14ac:dyDescent="0.3">
      <c r="A7495" s="1" t="str">
        <f>"01002107500"</f>
        <v>01002107500</v>
      </c>
      <c r="B7495" s="1" t="str">
        <f>"LIU STAN"</f>
        <v>LIU STAN</v>
      </c>
      <c r="C7495" s="1" t="str">
        <f>"455 S WARREN AVE WICKLOW LOT 389"</f>
        <v>455 S WARREN AVE WICKLOW LOT 389</v>
      </c>
      <c r="D7495" s="1">
        <v>65.39</v>
      </c>
    </row>
    <row r="7496" spans="1:4" x14ac:dyDescent="0.3">
      <c r="A7496" s="1" t="str">
        <f>"01000407000"</f>
        <v>01000407000</v>
      </c>
      <c r="B7496" s="1" t="str">
        <f>"LIU STAN"</f>
        <v>LIU STAN</v>
      </c>
      <c r="C7496" s="1" t="str">
        <f>"96 GUILFORD AVE GUILFORD PLC LOT 46"</f>
        <v>96 GUILFORD AVE GUILFORD PLC LOT 46</v>
      </c>
      <c r="D7496" s="1">
        <v>52.31</v>
      </c>
    </row>
    <row r="7497" spans="1:4" x14ac:dyDescent="0.3">
      <c r="A7497" s="1" t="str">
        <f>"01002980700"</f>
        <v>01002980700</v>
      </c>
      <c r="B7497" s="1" t="str">
        <f>"LIU STAN"</f>
        <v>LIU STAN</v>
      </c>
      <c r="C7497" s="1" t="str">
        <f>"47 N EUREKA AVE 35 FT S S EUREKA LOT 11"</f>
        <v>47 N EUREKA AVE 35 FT S S EUREKA LOT 11</v>
      </c>
      <c r="D7497" s="1">
        <v>118.32</v>
      </c>
    </row>
    <row r="7498" spans="1:4" x14ac:dyDescent="0.3">
      <c r="A7498" s="1" t="str">
        <f>"01002443700"</f>
        <v>01002443700</v>
      </c>
      <c r="B7498" s="1" t="str">
        <f>"LIU STAN"</f>
        <v>LIU STAN</v>
      </c>
      <c r="C7498" s="1" t="str">
        <f>"JEFFERSON DREXEL PK LOT 202"</f>
        <v>JEFFERSON DREXEL PK LOT 202</v>
      </c>
      <c r="D7498" s="1">
        <v>17.350000000000001</v>
      </c>
    </row>
    <row r="7499" spans="1:4" x14ac:dyDescent="0.3">
      <c r="A7499" s="1" t="str">
        <f>"01001965700"</f>
        <v>01001965700</v>
      </c>
      <c r="B7499" s="1" t="str">
        <f>"LIU STAN"</f>
        <v>LIU STAN</v>
      </c>
      <c r="C7499" s="1" t="str">
        <f>"REAR 487 HIGHLAND AV EDGEWOOD PLACE LOT 60"</f>
        <v>REAR 487 HIGHLAND AV EDGEWOOD PLACE LOT 60</v>
      </c>
      <c r="D7499" s="1">
        <v>42.66</v>
      </c>
    </row>
    <row r="7500" spans="1:4" x14ac:dyDescent="0.3">
      <c r="A7500" s="1" t="str">
        <f>"01003229400"</f>
        <v>01003229400</v>
      </c>
      <c r="B7500" s="1" t="str">
        <f>"LIU STAN"</f>
        <v>LIU STAN</v>
      </c>
      <c r="C7500" s="1" t="str">
        <f>"1222 22ND ST ROSE HILL 21 "</f>
        <v xml:space="preserve">1222 22ND ST ROSE HILL 21 </v>
      </c>
      <c r="D7500" s="1">
        <v>84.4</v>
      </c>
    </row>
    <row r="7501" spans="1:4" x14ac:dyDescent="0.3">
      <c r="A7501" s="1" t="str">
        <f>"01003749700"</f>
        <v>01003749700</v>
      </c>
      <c r="B7501" s="1" t="str">
        <f>"LIU STAN"</f>
        <v>LIU STAN</v>
      </c>
      <c r="C7501" s="1" t="str">
        <f>"57 BELVIDERE AVE OBLENNESS 26X167 2/3' LOT 8"</f>
        <v>57 BELVIDERE AVE OBLENNESS 26X167 2/3' LOT 8</v>
      </c>
      <c r="D7501" s="1">
        <v>58.36</v>
      </c>
    </row>
    <row r="7502" spans="1:4" x14ac:dyDescent="0.3">
      <c r="A7502" s="1" t="str">
        <f>"01000645600"</f>
        <v>01000645600</v>
      </c>
      <c r="B7502" s="1" t="str">
        <f>"LIU STAN"</f>
        <v>LIU STAN</v>
      </c>
      <c r="C7502" s="1" t="str">
        <f>"137 CEDAR ST              63.15 FT N PT ON          CEDAR ST                 "</f>
        <v xml:space="preserve">137 CEDAR ST              63.15 FT N PT ON          CEDAR ST                 </v>
      </c>
      <c r="D7502" s="1">
        <v>181.03</v>
      </c>
    </row>
    <row r="7503" spans="1:4" x14ac:dyDescent="0.3">
      <c r="A7503" s="1" t="str">
        <f>"01002830600"</f>
        <v>01002830600</v>
      </c>
      <c r="B7503" s="1" t="str">
        <f>"LIU STAN"</f>
        <v>LIU STAN</v>
      </c>
      <c r="C7503" s="1" t="str">
        <f>"1573 THOMAS AVE PORTERS PARCELS LOT 112"</f>
        <v>1573 THOMAS AVE PORTERS PARCELS LOT 112</v>
      </c>
      <c r="D7503" s="1">
        <v>50.7</v>
      </c>
    </row>
    <row r="7504" spans="1:4" x14ac:dyDescent="0.3">
      <c r="A7504" s="1" t="str">
        <f>"57018713300"</f>
        <v>57018713300</v>
      </c>
      <c r="B7504" s="1" t="str">
        <f>"LIU STAN"</f>
        <v>LIU STAN</v>
      </c>
      <c r="C7504" s="1" t="str">
        <f>"PIPERS MEADOW DR PIPERS MEADOW CONDO UNIT 5561 BLDG 6"</f>
        <v>PIPERS MEADOW DR PIPERS MEADOW CONDO UNIT 5561 BLDG 6</v>
      </c>
      <c r="D7504" s="1">
        <v>48.13</v>
      </c>
    </row>
    <row r="7505" spans="1:4" x14ac:dyDescent="0.3">
      <c r="A7505" s="1" t="str">
        <f>"60015359400"</f>
        <v>60015359400</v>
      </c>
      <c r="B7505" s="1" t="str">
        <f>"LIU STAN"</f>
        <v>LIU STAN</v>
      </c>
      <c r="C7505" s="1" t="str">
        <f>"TRAIL LANE COURT PARKRIDGE VILLAGE LOT 104-103"</f>
        <v>TRAIL LANE COURT PARKRIDGE VILLAGE LOT 104-103</v>
      </c>
      <c r="D7505" s="1">
        <v>196.07</v>
      </c>
    </row>
    <row r="7506" spans="1:4" x14ac:dyDescent="0.3">
      <c r="A7506" s="1" t="str">
        <f>"01025597700"</f>
        <v>01025597700</v>
      </c>
      <c r="B7506" s="1" t="str">
        <f>"LIU STAN"</f>
        <v>LIU STAN</v>
      </c>
      <c r="C7506" s="1" t="str">
        <f>"IRONWOOD CONDOMINIUM BLDG 17 UNIT 17-61 "</f>
        <v xml:space="preserve">IRONWOOD CONDOMINIUM BLDG 17 UNIT 17-61 </v>
      </c>
      <c r="D7506" s="1">
        <v>198.31</v>
      </c>
    </row>
    <row r="7507" spans="1:4" x14ac:dyDescent="0.3">
      <c r="A7507" s="1" t="str">
        <f>"01015483900"</f>
        <v>01015483900</v>
      </c>
      <c r="B7507" s="1" t="str">
        <f>"LIU STAN"</f>
        <v>LIU STAN</v>
      </c>
      <c r="C7507" s="1" t="str">
        <f>"BRUCETON AVE LEXINGTON SEC 2 LOT 301"</f>
        <v>BRUCETON AVE LEXINGTON SEC 2 LOT 301</v>
      </c>
      <c r="D7507" s="1">
        <v>79.16</v>
      </c>
    </row>
    <row r="7508" spans="1:4" x14ac:dyDescent="0.3">
      <c r="A7508" s="1" t="str">
        <f>"01016660400"</f>
        <v>01016660400</v>
      </c>
      <c r="B7508" s="1" t="str">
        <f>"LIU STAN"</f>
        <v>LIU STAN</v>
      </c>
      <c r="C7508" s="1" t="str">
        <f>"PLANTATION LAKES CONDO PHASE II BLDG 25 UNIT D"</f>
        <v>PLANTATION LAKES CONDO PHASE II BLDG 25 UNIT D</v>
      </c>
      <c r="D7508" s="1">
        <v>67.25</v>
      </c>
    </row>
    <row r="7509" spans="1:4" x14ac:dyDescent="0.3">
      <c r="A7509" s="1" t="str">
        <f>"01018683700"</f>
        <v>01018683700</v>
      </c>
      <c r="B7509" s="1" t="str">
        <f>"LIU STAN"</f>
        <v>LIU STAN</v>
      </c>
      <c r="C7509" s="1" t="str">
        <f>"REDAPPLE RIDGE APPLEWAY EAST CONDO UNIT 5845 BLDG 2"</f>
        <v>REDAPPLE RIDGE APPLEWAY EAST CONDO UNIT 5845 BLDG 2</v>
      </c>
      <c r="D7509" s="1">
        <v>50.36</v>
      </c>
    </row>
    <row r="7510" spans="1:4" x14ac:dyDescent="0.3">
      <c r="A7510" s="1" t="str">
        <f>"01009763400"</f>
        <v>01009763400</v>
      </c>
      <c r="B7510" s="1" t="str">
        <f>"LIU STANIS LAUS TR"</f>
        <v>LIU STANIS LAUS TR</v>
      </c>
      <c r="C7510" s="1" t="str">
        <f>"TOWERS COURT N TOWERS COURT LOT 31"</f>
        <v>TOWERS COURT N TOWERS COURT LOT 31</v>
      </c>
      <c r="D7510" s="1">
        <v>72.400000000000006</v>
      </c>
    </row>
    <row r="7511" spans="1:4" x14ac:dyDescent="0.3">
      <c r="A7511" s="1" t="str">
        <f>"01007770700"</f>
        <v>01007770700</v>
      </c>
      <c r="B7511" s="1" t="str">
        <f>"LIU STANIS LAUS TR"</f>
        <v>LIU STANIS LAUS TR</v>
      </c>
      <c r="C7511" s="1" t="str">
        <f>"355 CYPRESS AVE N 1/2 AVONDALE LOT 41"</f>
        <v>355 CYPRESS AVE N 1/2 AVONDALE LOT 41</v>
      </c>
      <c r="D7511" s="1">
        <v>45.05</v>
      </c>
    </row>
    <row r="7512" spans="1:4" x14ac:dyDescent="0.3">
      <c r="A7512" s="1" t="str">
        <f>"01011468400"</f>
        <v>01011468400</v>
      </c>
      <c r="B7512" s="1" t="str">
        <f>"LIU STANISLAUS"</f>
        <v>LIU STANISLAUS</v>
      </c>
      <c r="C7512" s="1" t="str">
        <f>"1232 FABER AVE ACRES .328 R22 T4 S2"</f>
        <v>1232 FABER AVE ACRES .328 R22 T4 S2</v>
      </c>
      <c r="D7512" s="1">
        <v>72.400000000000006</v>
      </c>
    </row>
    <row r="7513" spans="1:4" x14ac:dyDescent="0.3">
      <c r="A7513" s="1" t="str">
        <f>"01011351100"</f>
        <v>01011351100</v>
      </c>
      <c r="B7513" s="1" t="str">
        <f>"LIU STANISLAUS"</f>
        <v>LIU STANISLAUS</v>
      </c>
      <c r="C7513" s="1" t="str">
        <f>"DEXTER ROAD SOUTH HIGH GARDENS LOT 38"</f>
        <v>DEXTER ROAD SOUTH HIGH GARDENS LOT 38</v>
      </c>
      <c r="D7513" s="1">
        <v>53.28</v>
      </c>
    </row>
    <row r="7514" spans="1:4" x14ac:dyDescent="0.3">
      <c r="A7514" s="1" t="str">
        <f>"06000616100"</f>
        <v>06000616100</v>
      </c>
      <c r="B7514" s="1" t="str">
        <f>"LIU STANISLAUS"</f>
        <v>LIU STANISLAUS</v>
      </c>
      <c r="C7514" s="1" t="str">
        <f>"BARCELONA SQUARE CON UNIT 6543 BLDG 5 "</f>
        <v xml:space="preserve">BARCELONA SQUARE CON UNIT 6543 BLDG 5 </v>
      </c>
      <c r="D7514" s="1">
        <v>68.7</v>
      </c>
    </row>
    <row r="7515" spans="1:4" x14ac:dyDescent="0.3">
      <c r="A7515" s="1" t="str">
        <f>"01001159200"</f>
        <v>01001159200</v>
      </c>
      <c r="B7515" s="1" t="str">
        <f>"LIU STANISLAUS"</f>
        <v>LIU STANISLAUS</v>
      </c>
      <c r="C7515" s="1" t="str">
        <f>"295 S WHEATLAND AVE ARLINGTON LOT 148"</f>
        <v>295 S WHEATLAND AVE ARLINGTON LOT 148</v>
      </c>
      <c r="D7515" s="1">
        <v>54.73</v>
      </c>
    </row>
    <row r="7516" spans="1:4" x14ac:dyDescent="0.3">
      <c r="A7516" s="1" t="str">
        <f>"01007485700"</f>
        <v>01007485700</v>
      </c>
      <c r="B7516" s="1" t="str">
        <f>"LIU STANISLAUS"</f>
        <v>LIU STANISLAUS</v>
      </c>
      <c r="C7516" s="1" t="str">
        <f>"1112 1118 MAYNARD AV GRASMERE GARDENS LOT 91"</f>
        <v>1112 1118 MAYNARD AV GRASMERE GARDENS LOT 91</v>
      </c>
      <c r="D7516" s="1">
        <v>164.17</v>
      </c>
    </row>
    <row r="7517" spans="1:4" x14ac:dyDescent="0.3">
      <c r="A7517" s="1" t="str">
        <f>"01006153600"</f>
        <v>01006153600</v>
      </c>
      <c r="B7517" s="1" t="str">
        <f>"LIU STANISLAUS"</f>
        <v>LIU STANISLAUS</v>
      </c>
      <c r="C7517" s="1" t="str">
        <f>"130 S WARREN AVE WICKLOW ADDN LOT 276 &amp; 277"</f>
        <v>130 S WARREN AVE WICKLOW ADDN LOT 276 &amp; 277</v>
      </c>
      <c r="D7517" s="1">
        <v>74.03</v>
      </c>
    </row>
    <row r="7518" spans="1:4" x14ac:dyDescent="0.3">
      <c r="A7518" s="1" t="str">
        <f>"24000589400"</f>
        <v>24000589400</v>
      </c>
      <c r="B7518" s="1" t="str">
        <f>"LIU STANISLAUS"</f>
        <v>LIU STANISLAUS</v>
      </c>
      <c r="C7518" s="1" t="str">
        <f>"GLENFORD VILL CONDMN UNIT 7-1B "</f>
        <v xml:space="preserve">GLENFORD VILL CONDMN UNIT 7-1B </v>
      </c>
      <c r="D7518" s="1">
        <v>74.930000000000007</v>
      </c>
    </row>
    <row r="7519" spans="1:4" x14ac:dyDescent="0.3">
      <c r="A7519" s="1" t="str">
        <f>"01018683200"</f>
        <v>01018683200</v>
      </c>
      <c r="B7519" s="1" t="str">
        <f>"LIU STANISLAUS"</f>
        <v>LIU STANISLAUS</v>
      </c>
      <c r="C7519" s="1" t="str">
        <f>"REDAPPLE RIDGE APPLEWAY EAST CONDO UNIT 5833 BLDG 1"</f>
        <v>REDAPPLE RIDGE APPLEWAY EAST CONDO UNIT 5833 BLDG 1</v>
      </c>
      <c r="D7519" s="1">
        <v>50.36</v>
      </c>
    </row>
    <row r="7520" spans="1:4" x14ac:dyDescent="0.3">
      <c r="A7520" s="1" t="str">
        <f>"01018684000"</f>
        <v>01018684000</v>
      </c>
      <c r="B7520" s="1" t="str">
        <f>"LIU STANISLAUS"</f>
        <v>LIU STANISLAUS</v>
      </c>
      <c r="C7520" s="1" t="str">
        <f>"REDAPPLE RIDGE APPLEWAY EAST CONDO UNIT 5840 BLDG 3"</f>
        <v>REDAPPLE RIDGE APPLEWAY EAST CONDO UNIT 5840 BLDG 3</v>
      </c>
      <c r="D7520" s="1">
        <v>50.36</v>
      </c>
    </row>
    <row r="7521" spans="1:4" x14ac:dyDescent="0.3">
      <c r="A7521" s="1" t="str">
        <f>"01018684200"</f>
        <v>01018684200</v>
      </c>
      <c r="B7521" s="1" t="str">
        <f>"LIU STANISLAUS"</f>
        <v>LIU STANISLAUS</v>
      </c>
      <c r="C7521" s="1" t="str">
        <f>"SUNAPPLE WAY APPLEWAY EAST CONDO UNIT 1780 BLDG 3"</f>
        <v>SUNAPPLE WAY APPLEWAY EAST CONDO UNIT 1780 BLDG 3</v>
      </c>
      <c r="D7521" s="1">
        <v>50.36</v>
      </c>
    </row>
    <row r="7522" spans="1:4" x14ac:dyDescent="0.3">
      <c r="A7522" s="1" t="str">
        <f>"01018684800"</f>
        <v>01018684800</v>
      </c>
      <c r="B7522" s="1" t="str">
        <f>"LIU STANISLAUS"</f>
        <v>LIU STANISLAUS</v>
      </c>
      <c r="C7522" s="1" t="str">
        <f>"SUNAPPLE WAY APPLEWAY EAST CONDO UNIT 1752 BLDG 5"</f>
        <v>SUNAPPLE WAY APPLEWAY EAST CONDO UNIT 1752 BLDG 5</v>
      </c>
      <c r="D7522" s="1">
        <v>50.36</v>
      </c>
    </row>
    <row r="7523" spans="1:4" x14ac:dyDescent="0.3">
      <c r="A7523" s="1" t="str">
        <f>"01018684900"</f>
        <v>01018684900</v>
      </c>
      <c r="B7523" s="1" t="str">
        <f>"LIU STANISLAUS"</f>
        <v>LIU STANISLAUS</v>
      </c>
      <c r="C7523" s="1" t="str">
        <f>"SUNAPPLE WAY APPLEWAY EAST CONDO UNIT 1754 BLDG 5"</f>
        <v>SUNAPPLE WAY APPLEWAY EAST CONDO UNIT 1754 BLDG 5</v>
      </c>
      <c r="D7523" s="1">
        <v>50.36</v>
      </c>
    </row>
    <row r="7524" spans="1:4" x14ac:dyDescent="0.3">
      <c r="A7524" s="1" t="str">
        <f>"01018685000"</f>
        <v>01018685000</v>
      </c>
      <c r="B7524" s="1" t="str">
        <f>"LIU STANISLAUS"</f>
        <v>LIU STANISLAUS</v>
      </c>
      <c r="C7524" s="1" t="str">
        <f>"SUNAPPLE WAY APPLEWAY EAST CONDO UNIT 1756 BLDG 5"</f>
        <v>SUNAPPLE WAY APPLEWAY EAST CONDO UNIT 1756 BLDG 5</v>
      </c>
      <c r="D7524" s="1">
        <v>50.36</v>
      </c>
    </row>
    <row r="7525" spans="1:4" x14ac:dyDescent="0.3">
      <c r="A7525" s="1" t="str">
        <f>"24000011600"</f>
        <v>24000011600</v>
      </c>
      <c r="B7525" s="1" t="str">
        <f>"LIU STANISLAUS G"</f>
        <v>LIU STANISLAUS G</v>
      </c>
      <c r="C7525" s="1" t="str">
        <f>"6333 ALKIRE RD AC 1.142 OQ 1000 EN 1463"</f>
        <v>6333 ALKIRE RD AC 1.142 OQ 1000 EN 1463</v>
      </c>
      <c r="D7525" s="1">
        <v>126.05</v>
      </c>
    </row>
    <row r="7526" spans="1:4" x14ac:dyDescent="0.3">
      <c r="A7526" s="1" t="str">
        <f>"01008145700"</f>
        <v>01008145700</v>
      </c>
      <c r="B7526" s="1" t="str">
        <f>"LIU STANISLAUS S"</f>
        <v>LIU STANISLAUS S</v>
      </c>
      <c r="C7526" s="1" t="str">
        <f>"512 WREXHAM AVE HIGH RIDGE EXT LOT 14 BLK 4"</f>
        <v>512 WREXHAM AVE HIGH RIDGE EXT LOT 14 BLK 4</v>
      </c>
      <c r="D7526" s="1">
        <v>64.290000000000006</v>
      </c>
    </row>
    <row r="7527" spans="1:4" x14ac:dyDescent="0.3">
      <c r="A7527" s="1" t="str">
        <f>"01007796600"</f>
        <v>01007796600</v>
      </c>
      <c r="B7527" s="1" t="str">
        <f>"LIU STANISLAUS S"</f>
        <v>LIU STANISLAUS S</v>
      </c>
      <c r="C7527" s="1" t="str">
        <f>"262 WREXHAM AVE W1/2 MOLING&amp;LEXHNER LOT 39"</f>
        <v>262 WREXHAM AVE W1/2 MOLING&amp;LEXHNER LOT 39</v>
      </c>
      <c r="D7527" s="1">
        <v>52.31</v>
      </c>
    </row>
    <row r="7528" spans="1:4" x14ac:dyDescent="0.3">
      <c r="A7528" s="1" t="str">
        <f>"01004127100"</f>
        <v>01004127100</v>
      </c>
      <c r="B7528" s="1" t="str">
        <f>"LIU STANISLAUS S"</f>
        <v>LIU STANISLAUS S</v>
      </c>
      <c r="C7528" s="1" t="str">
        <f>"2365 W BROAD ST OAKLEY LOT 104"</f>
        <v>2365 W BROAD ST OAKLEY LOT 104</v>
      </c>
      <c r="D7528" s="1">
        <v>84.5</v>
      </c>
    </row>
    <row r="7529" spans="1:4" x14ac:dyDescent="0.3">
      <c r="A7529" s="1" t="str">
        <f>"19100070800"</f>
        <v>19100070800</v>
      </c>
      <c r="B7529" s="1" t="str">
        <f>"LIU STANISLAUS S"</f>
        <v>LIU STANISLAUS S</v>
      </c>
      <c r="C7529" s="1" t="str">
        <f>"1892 STELZER ROAD ACRES 1.3062 LOT 12 "</f>
        <v xml:space="preserve">1892 STELZER ROAD ACRES 1.3062 LOT 12 </v>
      </c>
      <c r="D7529" s="1">
        <v>178.35</v>
      </c>
    </row>
    <row r="7530" spans="1:4" x14ac:dyDescent="0.3">
      <c r="A7530" s="1" t="str">
        <f>"01005039900"</f>
        <v>01005039900</v>
      </c>
      <c r="B7530" s="1" t="str">
        <f>"LIU STANISLAUS S TR"</f>
        <v>LIU STANISLAUS S TR</v>
      </c>
      <c r="C7530" s="1" t="str">
        <f>"2071 IUKA PTS LOTS 4-5 INDIANOLA FOREST"</f>
        <v>2071 IUKA PTS LOTS 4-5 INDIANOLA FOREST</v>
      </c>
      <c r="D7530" s="1">
        <v>169.19</v>
      </c>
    </row>
    <row r="7531" spans="1:4" x14ac:dyDescent="0.3">
      <c r="A7531" s="1" t="str">
        <f>"01011350900"</f>
        <v>01011350900</v>
      </c>
      <c r="B7531" s="1" t="str">
        <f>"LIU STANISLAUS TR"</f>
        <v>LIU STANISLAUS TR</v>
      </c>
      <c r="C7531" s="1" t="str">
        <f>"210 DELRAY RD S HIGH GARDENS LOT 36"</f>
        <v>210 DELRAY RD S HIGH GARDENS LOT 36</v>
      </c>
      <c r="D7531" s="1">
        <v>67.900000000000006</v>
      </c>
    </row>
    <row r="7532" spans="1:4" x14ac:dyDescent="0.3">
      <c r="A7532" s="1" t="str">
        <f>"01011351000"</f>
        <v>01011351000</v>
      </c>
      <c r="B7532" s="1" t="str">
        <f>"LIU STANISLAUS TR"</f>
        <v>LIU STANISLAUS TR</v>
      </c>
      <c r="C7532" s="1" t="str">
        <f>"228 DELRAY AVE S HIGH GDNS LOT 37"</f>
        <v>228 DELRAY AVE S HIGH GDNS LOT 37</v>
      </c>
      <c r="D7532" s="1">
        <v>49.23</v>
      </c>
    </row>
    <row r="7533" spans="1:4" x14ac:dyDescent="0.3">
      <c r="A7533" s="1" t="str">
        <f>"01011424200"</f>
        <v>01011424200</v>
      </c>
      <c r="B7533" s="1" t="str">
        <f>"LIU STANISLAUS TR"</f>
        <v>LIU STANISLAUS TR</v>
      </c>
      <c r="C7533" s="1" t="str">
        <f>"LEWIS AVE LEWIS SOUTHERN HEIGH TS LOT 21"</f>
        <v>LEWIS AVE LEWIS SOUTHERN HEIGH TS LOT 21</v>
      </c>
      <c r="D7533" s="1">
        <v>51.42</v>
      </c>
    </row>
    <row r="7534" spans="1:4" x14ac:dyDescent="0.3">
      <c r="A7534" s="1" t="str">
        <f>"01008140700"</f>
        <v>01008140700</v>
      </c>
      <c r="B7534" s="1" t="str">
        <f>"LIU STANISLAUS TR"</f>
        <v>LIU STANISLAUS TR</v>
      </c>
      <c r="C7534" s="1" t="str">
        <f>"WHITETHORNE AVE HIGH RIDGE EXT LOT 16 BLK 1"</f>
        <v>WHITETHORNE AVE HIGH RIDGE EXT LOT 16 BLK 1</v>
      </c>
      <c r="D7534" s="1">
        <v>66.86</v>
      </c>
    </row>
    <row r="7535" spans="1:4" x14ac:dyDescent="0.3">
      <c r="A7535" s="1" t="str">
        <f>"01006791400"</f>
        <v>01006791400</v>
      </c>
      <c r="B7535" s="1" t="str">
        <f>"LIU STANISLAUS TR"</f>
        <v>LIU STANISLAUS TR</v>
      </c>
      <c r="C7535" s="1" t="str">
        <f>"472 NASHOBA AVE HILLTONIA ANNEX LOT 31 BLK 3"</f>
        <v>472 NASHOBA AVE HILLTONIA ANNEX LOT 31 BLK 3</v>
      </c>
      <c r="D7535" s="1">
        <v>123.25</v>
      </c>
    </row>
    <row r="7536" spans="1:4" x14ac:dyDescent="0.3">
      <c r="A7536" s="1" t="str">
        <f>"01004987500"</f>
        <v>01004987500</v>
      </c>
      <c r="B7536" s="1" t="str">
        <f>"LIU STANISLAUS TR"</f>
        <v>LIU STANISLAUS TR</v>
      </c>
      <c r="C7536" s="1" t="str">
        <f>"451 S WARREN AVE WICKLOW LOT 391"</f>
        <v>451 S WARREN AVE WICKLOW LOT 391</v>
      </c>
      <c r="D7536" s="1">
        <v>51.16</v>
      </c>
    </row>
    <row r="7537" spans="1:4" x14ac:dyDescent="0.3">
      <c r="A7537" s="1" t="str">
        <f>"01002214000"</f>
        <v>01002214000</v>
      </c>
      <c r="B7537" s="1" t="str">
        <f>"LIU STANISLAUS TR"</f>
        <v>LIU STANISLAUS TR</v>
      </c>
      <c r="C7537" s="1" t="str">
        <f>"1619-21 S 3RD ST 38X148 FT 3RD ST MERION LOT 1"</f>
        <v>1619-21 S 3RD ST 38X148 FT 3RD ST MERION LOT 1</v>
      </c>
      <c r="D7537" s="1">
        <v>129.93</v>
      </c>
    </row>
    <row r="7538" spans="1:4" x14ac:dyDescent="0.3">
      <c r="A7538" s="1" t="str">
        <f>"01000828200"</f>
        <v>01000828200</v>
      </c>
      <c r="B7538" s="1" t="str">
        <f>"LIU STANISLAUS TR"</f>
        <v>LIU STANISLAUS TR</v>
      </c>
      <c r="C7538" s="1" t="str">
        <f>"1024-30 SHADY LANE .574 ACRE R21 T12 S15 1/4S24-25"</f>
        <v>1024-30 SHADY LANE .574 ACRE R21 T12 S15 1/4S24-25</v>
      </c>
      <c r="D7538" s="1">
        <v>633.92999999999995</v>
      </c>
    </row>
    <row r="7539" spans="1:4" x14ac:dyDescent="0.3">
      <c r="A7539" s="1" t="str">
        <f>"01001222400"</f>
        <v>01001222400</v>
      </c>
      <c r="B7539" s="1" t="str">
        <f>"LIU STANISLAUS TR"</f>
        <v>LIU STANISLAUS TR</v>
      </c>
      <c r="C7539" s="1" t="str">
        <f>"334 COLUMBIAN AVE BUCKINGHAM HTS LOT 23"</f>
        <v>334 COLUMBIAN AVE BUCKINGHAM HTS LOT 23</v>
      </c>
      <c r="D7539" s="1">
        <v>107</v>
      </c>
    </row>
    <row r="7540" spans="1:4" x14ac:dyDescent="0.3">
      <c r="A7540" s="1" t="str">
        <f>"19000386800"</f>
        <v>19000386800</v>
      </c>
      <c r="B7540" s="1" t="str">
        <f>"LIU STANISLAUS TR"</f>
        <v>LIU STANISLAUS TR</v>
      </c>
      <c r="C7540" s="1" t="str">
        <f>"LINDALE RD NORTHGLEN SUB LOT 108"</f>
        <v>LINDALE RD NORTHGLEN SUB LOT 108</v>
      </c>
      <c r="D7540" s="1">
        <v>98.83</v>
      </c>
    </row>
    <row r="7541" spans="1:4" x14ac:dyDescent="0.3">
      <c r="A7541" s="1" t="str">
        <f>"01001229200"</f>
        <v>01001229200</v>
      </c>
      <c r="B7541" s="1" t="str">
        <f>"LIU STANISLAVS TR"</f>
        <v>LIU STANISLAVS TR</v>
      </c>
      <c r="C7541" s="1" t="str">
        <f>"274 NASHOBA AVE BUCKINGHAM HTS LOT 91"</f>
        <v>274 NASHOBA AVE BUCKINGHAM HTS LOT 91</v>
      </c>
      <c r="D7541" s="1">
        <v>76.56</v>
      </c>
    </row>
    <row r="7542" spans="1:4" x14ac:dyDescent="0.3">
      <c r="A7542" s="1" t="str">
        <f>"01001818200"</f>
        <v>01001818200</v>
      </c>
      <c r="B7542" s="1" t="str">
        <f>"LIU STANISLAWA, LIU STANISLAUA"</f>
        <v>LIU STANISLAWA, LIU STANISLAUA</v>
      </c>
      <c r="C7542" s="1" t="str">
        <f>"268 WREXHAM AVE W1/2 MOLING &amp; LECHNER LOT 40"</f>
        <v>268 WREXHAM AVE W1/2 MOLING &amp; LECHNER LOT 40</v>
      </c>
      <c r="D7542" s="1">
        <v>50.89</v>
      </c>
    </row>
    <row r="7543" spans="1:4" x14ac:dyDescent="0.3">
      <c r="A7543" s="1" t="str">
        <f>"01000397600"</f>
        <v>01000397600</v>
      </c>
      <c r="B7543" s="1" t="str">
        <f>"LIU XIAOSONG, KOHLER DONNIE"</f>
        <v>LIU XIAOSONG, KOHLER DONNIE</v>
      </c>
      <c r="C7543" s="1" t="str">
        <f>"1336 OAK ST J S FULLERTON LOT 1"</f>
        <v>1336 OAK ST J S FULLERTON LOT 1</v>
      </c>
      <c r="D7543" s="1">
        <v>4217.51</v>
      </c>
    </row>
    <row r="7544" spans="1:4" x14ac:dyDescent="0.3">
      <c r="A7544" s="1" t="str">
        <f>"01019449800"</f>
        <v>01019449800</v>
      </c>
      <c r="B7544" s="1" t="str">
        <f>"LIU YITING"</f>
        <v>LIU YITING</v>
      </c>
      <c r="C7544" s="1" t="str">
        <f>"GREENSEDGE WAY RAMBLEWOOD CONDO UNIT 10 BLDG 2"</f>
        <v>GREENSEDGE WAY RAMBLEWOOD CONDO UNIT 10 BLDG 2</v>
      </c>
      <c r="D7544" s="1">
        <v>3187.29</v>
      </c>
    </row>
    <row r="7545" spans="1:4" x14ac:dyDescent="0.3">
      <c r="A7545" s="1" t="str">
        <f>"01000742100"</f>
        <v>01000742100</v>
      </c>
      <c r="B7545" s="1" t="str">
        <f>"LIU-GANCAREK ERIC S"</f>
        <v>LIU-GANCAREK ERIC S</v>
      </c>
      <c r="C7545" s="1" t="str">
        <f>"145 S BURGESS AVE LANDSCAPE LOT 339"</f>
        <v>145 S BURGESS AVE LANDSCAPE LOT 339</v>
      </c>
      <c r="D7545" s="1">
        <v>121.62</v>
      </c>
    </row>
    <row r="7546" spans="1:4" x14ac:dyDescent="0.3">
      <c r="A7546" s="1" t="str">
        <f>"01012803700"</f>
        <v>01012803700</v>
      </c>
      <c r="B7546" s="1" t="str">
        <f>"LIVING TRUST OF KENNETH L AND JENNIE L CROCKETT"</f>
        <v>LIVING TRUST OF KENNETH L AND JENNIE L CROCKETT</v>
      </c>
      <c r="C7546" s="1" t="str">
        <f>"1770 NEWFIELD RD BERWYN LOT 163"</f>
        <v>1770 NEWFIELD RD BERWYN LOT 163</v>
      </c>
      <c r="D7546" s="1">
        <v>1302.5999999999999</v>
      </c>
    </row>
    <row r="7547" spans="1:4" x14ac:dyDescent="0.3">
      <c r="A7547" s="1" t="str">
        <f>"01011040300"</f>
        <v>01011040300</v>
      </c>
      <c r="B7547" s="1" t="str">
        <f>"LIVINGSTON SCOTT P, LIVINGSTON LAURA E"</f>
        <v>LIVINGSTON SCOTT P, LIVINGSTON LAURA E</v>
      </c>
      <c r="C7547" s="1" t="str">
        <f>"SHARON HTS LOT 40 &amp; 5FT WS 41 &amp; &amp;20 FT ES 39"</f>
        <v>SHARON HTS LOT 40 &amp; 5FT WS 41 &amp; &amp;20 FT ES 39</v>
      </c>
      <c r="D7547" s="1">
        <v>390.12</v>
      </c>
    </row>
    <row r="7548" spans="1:4" x14ac:dyDescent="0.3">
      <c r="A7548" s="1" t="str">
        <f>"01010534700"</f>
        <v>01010534700</v>
      </c>
      <c r="B7548" s="1" t="str">
        <f>"LIVINGSTON-COURTRIGHT REALTY LIMITIED"</f>
        <v>LIVINGSTON-COURTRIGHT REALTY LIMITIED</v>
      </c>
      <c r="C7548" s="1" t="str">
        <f>"4.9546 AC  "</f>
        <v xml:space="preserve">4.9546 AC  </v>
      </c>
      <c r="D7548" s="1">
        <v>920.18</v>
      </c>
    </row>
    <row r="7549" spans="1:4" x14ac:dyDescent="0.3">
      <c r="A7549" s="1" t="str">
        <f>"01012260900"</f>
        <v>01012260900</v>
      </c>
      <c r="B7549" s="1" t="str">
        <f>"LIVURLIFE LLC"</f>
        <v>LIVURLIFE LLC</v>
      </c>
      <c r="C7549" s="1" t="str">
        <f>"KENTON AVE C H BROOKE PARCEL PLAT LOT 21"</f>
        <v>KENTON AVE C H BROOKE PARCEL PLAT LOT 21</v>
      </c>
      <c r="D7549" s="1">
        <v>44.04</v>
      </c>
    </row>
    <row r="7550" spans="1:4" x14ac:dyDescent="0.3">
      <c r="A7550" s="1" t="str">
        <f>"01011524300"</f>
        <v>01011524300</v>
      </c>
      <c r="B7550" s="1" t="str">
        <f>"LL CORP LTD"</f>
        <v>LL CORP LTD</v>
      </c>
      <c r="C7550" s="1" t="str">
        <f>"2360 S 5TH ST 38X 56FT S W COR OBETZ LOT 1-2"</f>
        <v>2360 S 5TH ST 38X 56FT S W COR OBETZ LOT 1-2</v>
      </c>
      <c r="D7550" s="1">
        <v>1009.33</v>
      </c>
    </row>
    <row r="7551" spans="1:4" x14ac:dyDescent="0.3">
      <c r="A7551" s="1" t="str">
        <f>"01025593700"</f>
        <v>01025593700</v>
      </c>
      <c r="B7551" s="1" t="str">
        <f>"LLOYD SALLY A, WONG ALEX"</f>
        <v>LLOYD SALLY A, WONG ALEX</v>
      </c>
      <c r="C7551" s="1" t="str">
        <f>"WINDGATE VILLAGE CONDOMINIUM 1ST AMD UNIT G-41 (GARAGE UNIT)"</f>
        <v>WINDGATE VILLAGE CONDOMINIUM 1ST AMD UNIT G-41 (GARAGE UNIT)</v>
      </c>
      <c r="D7551" s="1">
        <v>77.87</v>
      </c>
    </row>
    <row r="7552" spans="1:4" x14ac:dyDescent="0.3">
      <c r="A7552" s="1" t="str">
        <f>"01018935200"</f>
        <v>01018935200</v>
      </c>
      <c r="B7552" s="1" t="str">
        <f>"LLOYD SALLY A, WONG ALEX"</f>
        <v>LLOYD SALLY A, WONG ALEX</v>
      </c>
      <c r="C7552" s="1" t="str">
        <f>"1810 NORTHWEST CT UNIT 91 BLD 16 WINDGATE VILL CONDO"</f>
        <v>1810 NORTHWEST CT UNIT 91 BLD 16 WINDGATE VILL CONDO</v>
      </c>
      <c r="D7552" s="1">
        <v>1845.87</v>
      </c>
    </row>
    <row r="7553" spans="1:4" x14ac:dyDescent="0.3">
      <c r="A7553" s="1" t="str">
        <f>"01008624100"</f>
        <v>01008624100</v>
      </c>
      <c r="B7553" s="1" t="str">
        <f>"LLOYD THOMAS B TR"</f>
        <v>LLOYD THOMAS B TR</v>
      </c>
      <c r="C7553" s="1" t="str">
        <f>"66 JEFFREY PL BEECHWOLD LOT 7"</f>
        <v>66 JEFFREY PL BEECHWOLD LOT 7</v>
      </c>
      <c r="D7553" s="1">
        <v>8848.25</v>
      </c>
    </row>
    <row r="7554" spans="1:4" x14ac:dyDescent="0.3">
      <c r="A7554" s="1" t="str">
        <f>"01008389400"</f>
        <v>01008389400</v>
      </c>
      <c r="B7554" s="1" t="str">
        <f>"LLOYD THOMAS B TR"</f>
        <v>LLOYD THOMAS B TR</v>
      </c>
      <c r="C7554" s="1" t="str">
        <f>"JEFFREY PLACE EX 8X10 FT NW COR BEECHWOLD  LOT 8"</f>
        <v>JEFFREY PLACE EX 8X10 FT NW COR BEECHWOLD  LOT 8</v>
      </c>
      <c r="D7554" s="1">
        <v>3272.79</v>
      </c>
    </row>
    <row r="7555" spans="1:4" x14ac:dyDescent="0.3">
      <c r="A7555" s="1" t="str">
        <f>"01000117300"</f>
        <v>01000117300</v>
      </c>
      <c r="B7555" s="1" t="str">
        <f>"LLOYDS REAL ESTATE LLC"</f>
        <v>LLOYDS REAL ESTATE LLC</v>
      </c>
      <c r="C7555" s="1" t="str">
        <f>"257-63 CLARENDON AVE W P ONG ET AL SUBS 5-6"</f>
        <v>257-63 CLARENDON AVE W P ONG ET AL SUBS 5-6</v>
      </c>
      <c r="D7555" s="1">
        <v>4715.01</v>
      </c>
    </row>
    <row r="7556" spans="1:4" x14ac:dyDescent="0.3">
      <c r="A7556" s="1" t="str">
        <f>"01011338000"</f>
        <v>01011338000</v>
      </c>
      <c r="B7556" s="1" t="str">
        <f>"LMCF LLC"</f>
        <v>LMCF LLC</v>
      </c>
      <c r="C7556" s="1" t="str">
        <f>"MARION RD AVALON LOT 11"</f>
        <v>MARION RD AVALON LOT 11</v>
      </c>
      <c r="D7556" s="1">
        <v>3997.71</v>
      </c>
    </row>
    <row r="7557" spans="1:4" x14ac:dyDescent="0.3">
      <c r="A7557" s="1" t="str">
        <f>"01008890200"</f>
        <v>01008890200</v>
      </c>
      <c r="B7557" s="1" t="str">
        <f>"LMCF LLC"</f>
        <v>LMCF LLC</v>
      </c>
      <c r="C7557" s="1" t="str">
        <f>"720 NAPOLEON AVE MAIN ST TERRACE LOT 130"</f>
        <v>720 NAPOLEON AVE MAIN ST TERRACE LOT 130</v>
      </c>
      <c r="D7557" s="1">
        <v>2353.34</v>
      </c>
    </row>
    <row r="7558" spans="1:4" x14ac:dyDescent="0.3">
      <c r="A7558" s="1" t="str">
        <f>"01007747200"</f>
        <v>01007747200</v>
      </c>
      <c r="B7558" s="1" t="str">
        <f>"LMCF LLC"</f>
        <v>LMCF LLC</v>
      </c>
      <c r="C7558" s="1" t="str">
        <f>"2537 MEDARY AVE GEO WILLIAMS LOT 235"</f>
        <v>2537 MEDARY AVE GEO WILLIAMS LOT 235</v>
      </c>
      <c r="D7558" s="1">
        <v>8504.27</v>
      </c>
    </row>
    <row r="7559" spans="1:4" x14ac:dyDescent="0.3">
      <c r="A7559" s="1" t="str">
        <f>"01006772700"</f>
        <v>01006772700</v>
      </c>
      <c r="B7559" s="1" t="str">
        <f>"LMCF LLC"</f>
        <v>LMCF LLC</v>
      </c>
      <c r="C7559" s="1" t="str">
        <f>"595 TOWNSEND AVE HILLTONIA LOT 77"</f>
        <v>595 TOWNSEND AVE HILLTONIA LOT 77</v>
      </c>
      <c r="D7559" s="1">
        <v>2461.36</v>
      </c>
    </row>
    <row r="7560" spans="1:4" x14ac:dyDescent="0.3">
      <c r="A7560" s="1" t="str">
        <f>"07001470400"</f>
        <v>07001470400</v>
      </c>
      <c r="B7560" s="1" t="str">
        <f>"LMG REAL ESTATE LLC"</f>
        <v>LMG REAL ESTATE LLC</v>
      </c>
      <c r="C7560" s="1" t="str">
        <f>"2067-2079 ARLINGTON AVENUE CONDOMINIUM UNIT 2067"</f>
        <v>2067-2079 ARLINGTON AVENUE CONDOMINIUM UNIT 2067</v>
      </c>
      <c r="D7560" s="1">
        <v>527.35</v>
      </c>
    </row>
    <row r="7561" spans="1:4" x14ac:dyDescent="0.3">
      <c r="A7561" s="1" t="str">
        <f>"01008385900"</f>
        <v>01008385900</v>
      </c>
      <c r="B7561" s="1" t="str">
        <f>"LOAR THOMAS R"</f>
        <v>LOAR THOMAS R</v>
      </c>
      <c r="C7561" s="1" t="str">
        <f>"57 E WEISHEIMER RD 56 FT W S R18 T 1 1-4T 2"</f>
        <v>57 E WEISHEIMER RD 56 FT W S R18 T 1 1-4T 2</v>
      </c>
      <c r="D7561" s="1">
        <v>2586.1999999999998</v>
      </c>
    </row>
    <row r="7562" spans="1:4" x14ac:dyDescent="0.3">
      <c r="A7562" s="1" t="str">
        <f>"15000010400"</f>
        <v>15000010400</v>
      </c>
      <c r="B7562" s="1" t="str">
        <f>"LOCKBOURNE AG CENTER INC"</f>
        <v>LOCKBOURNE AG CENTER INC</v>
      </c>
      <c r="C7562" s="1" t="str">
        <f>"LOCKBOURNE RD R22 T3 S11 1.028 ACRES"</f>
        <v>LOCKBOURNE RD R22 T3 S11 1.028 ACRES</v>
      </c>
      <c r="D7562" s="1">
        <v>186.56</v>
      </c>
    </row>
    <row r="7563" spans="1:4" x14ac:dyDescent="0.3">
      <c r="A7563" s="1" t="str">
        <f>"01005241100"</f>
        <v>01005241100</v>
      </c>
      <c r="B7563" s="1" t="str">
        <f>"LOCKBOURNE REAL ESTATE INVESTMENT GROUP LLC"</f>
        <v>LOCKBOURNE REAL ESTATE INVESTMENT GROUP LLC</v>
      </c>
      <c r="C7563" s="1" t="str">
        <f>"1142 LOCKBOURNE AVE 40FT SS SPENCERS LOT 12"</f>
        <v>1142 LOCKBOURNE AVE 40FT SS SPENCERS LOT 12</v>
      </c>
      <c r="D7563" s="1">
        <v>4644.2299999999996</v>
      </c>
    </row>
    <row r="7564" spans="1:4" x14ac:dyDescent="0.3">
      <c r="A7564" s="1" t="str">
        <f>"01007345300"</f>
        <v>01007345300</v>
      </c>
      <c r="B7564" s="1" t="str">
        <f>"LOCKHART DARLENE"</f>
        <v>LOCKHART DARLENE</v>
      </c>
      <c r="C7564" s="1" t="str">
        <f>"HARDESTY VILLAGE CONDOMINIUM NO Z LOT Z-2"</f>
        <v>HARDESTY VILLAGE CONDOMINIUM NO Z LOT Z-2</v>
      </c>
      <c r="D7564" s="1">
        <v>2675.23</v>
      </c>
    </row>
    <row r="7565" spans="1:4" x14ac:dyDescent="0.3">
      <c r="A7565" s="1" t="str">
        <f>"14000300400"</f>
        <v>14000300400</v>
      </c>
      <c r="B7565" s="1" t="str">
        <f>"LOCKRIDGE THEODORE RAYMOND III"</f>
        <v>LOCKRIDGE THEODORE RAYMOND III</v>
      </c>
      <c r="C7565" s="1" t="str">
        <f>"1075 SEARLES AVE FIRST SEARLES LOT 18"</f>
        <v>1075 SEARLES AVE FIRST SEARLES LOT 18</v>
      </c>
      <c r="D7565" s="1">
        <v>2659.62</v>
      </c>
    </row>
    <row r="7566" spans="1:4" x14ac:dyDescent="0.3">
      <c r="A7566" s="1" t="str">
        <f>"01007325400"</f>
        <v>01007325400</v>
      </c>
      <c r="B7566" s="1" t="str">
        <f>"LODHI MUHAMMAD S"</f>
        <v>LODHI MUHAMMAD S</v>
      </c>
      <c r="C7566" s="1" t="str">
        <f>"20TH AVE RICHMOND LOT 175"</f>
        <v>20TH AVE RICHMOND LOT 175</v>
      </c>
      <c r="D7566" s="1">
        <v>178.83</v>
      </c>
    </row>
    <row r="7567" spans="1:4" x14ac:dyDescent="0.3">
      <c r="A7567" s="1" t="str">
        <f>"01002708500"</f>
        <v>01002708500</v>
      </c>
      <c r="B7567" s="1" t="str">
        <f>"LOEFFLER DEVELOPMENT LLC"</f>
        <v>LOEFFLER DEVELOPMENT LLC</v>
      </c>
      <c r="C7567" s="1" t="str">
        <f>"LOEFFLER AVE J NELSON LOTS 43-45"</f>
        <v>LOEFFLER AVE J NELSON LOTS 43-45</v>
      </c>
      <c r="D7567" s="1">
        <v>1600.28</v>
      </c>
    </row>
    <row r="7568" spans="1:4" x14ac:dyDescent="0.3">
      <c r="A7568" s="1" t="str">
        <f>"01012885000"</f>
        <v>01012885000</v>
      </c>
      <c r="B7568" s="1" t="str">
        <f>"LOGAN BRADD W"</f>
        <v>LOGAN BRADD W</v>
      </c>
      <c r="C7568" s="1" t="str">
        <f>"EDSEL AVE WALNUT SPGS LOT 108"</f>
        <v>EDSEL AVE WALNUT SPGS LOT 108</v>
      </c>
      <c r="D7568" s="1">
        <v>3075.25</v>
      </c>
    </row>
    <row r="7569" spans="1:4" x14ac:dyDescent="0.3">
      <c r="A7569" s="1" t="str">
        <f>"01009236400"</f>
        <v>01009236400</v>
      </c>
      <c r="B7569" s="1" t="str">
        <f>"LOGAN BRANDON"</f>
        <v>LOGAN BRANDON</v>
      </c>
      <c r="C7569" s="1" t="str">
        <f>"CASSIDY PEAKE MEADOWS LOT 123 "</f>
        <v xml:space="preserve">CASSIDY PEAKE MEADOWS LOT 123 </v>
      </c>
      <c r="D7569" s="1">
        <v>1955.04</v>
      </c>
    </row>
    <row r="7570" spans="1:4" x14ac:dyDescent="0.3">
      <c r="A7570" s="1" t="str">
        <f>"01020139600"</f>
        <v>01020139600</v>
      </c>
      <c r="B7570" s="1" t="str">
        <f>"LOGAN GIANNA LLC"</f>
        <v>LOGAN GIANNA LLC</v>
      </c>
      <c r="C7570" s="1" t="str">
        <f>"FRANKLIN AVE MORRISON PARK ADDN 74.875'SE LOT 188-89"</f>
        <v>FRANKLIN AVE MORRISON PARK ADDN 74.875'SE LOT 188-89</v>
      </c>
      <c r="D7570" s="1">
        <v>1410.27</v>
      </c>
    </row>
    <row r="7571" spans="1:4" x14ac:dyDescent="0.3">
      <c r="A7571" s="1" t="str">
        <f>"01013653700"</f>
        <v>01013653700</v>
      </c>
      <c r="B7571" s="1" t="str">
        <f>"LOGAN JANET M"</f>
        <v>LOGAN JANET M</v>
      </c>
      <c r="C7571" s="1" t="str">
        <f>"ARDOTH RD HOLLY HILL 6 LOT 595"</f>
        <v>ARDOTH RD HOLLY HILL 6 LOT 595</v>
      </c>
      <c r="D7571" s="1">
        <v>928.16</v>
      </c>
    </row>
    <row r="7572" spans="1:4" x14ac:dyDescent="0.3">
      <c r="A7572" s="1" t="str">
        <f>"04001617400"</f>
        <v>04001617400</v>
      </c>
      <c r="B7572" s="1" t="str">
        <f>"LOGSDON DAVID, LOGSDON JULI"</f>
        <v>LOGSDON DAVID, LOGSDON JULI</v>
      </c>
      <c r="C7572" s="1" t="str">
        <f>"BEULAH PARK SECTION 1 LOT 50"</f>
        <v>BEULAH PARK SECTION 1 LOT 50</v>
      </c>
      <c r="D7572" s="1">
        <v>897.92</v>
      </c>
    </row>
    <row r="7573" spans="1:4" x14ac:dyDescent="0.3">
      <c r="A7573" s="1" t="str">
        <f>"01009296200"</f>
        <v>01009296200</v>
      </c>
      <c r="B7573" s="1" t="str">
        <f>"LOGSDON R SCOTT"</f>
        <v>LOGSDON R SCOTT</v>
      </c>
      <c r="C7573" s="1" t="str">
        <f>"NO ASHBURTON ROAD BROADLAND PLACE LOT 34"</f>
        <v>NO ASHBURTON ROAD BROADLAND PLACE LOT 34</v>
      </c>
      <c r="D7573" s="1">
        <v>1393.5</v>
      </c>
    </row>
    <row r="7574" spans="1:4" x14ac:dyDescent="0.3">
      <c r="A7574" s="1" t="str">
        <f>"01002936600"</f>
        <v>01002936600</v>
      </c>
      <c r="B7574" s="1" t="str">
        <f>"LOJANO QUINTUNA ILDA LUCIA"</f>
        <v>LOJANO QUINTUNA ILDA LUCIA</v>
      </c>
      <c r="C7574" s="1" t="str">
        <f>"68 CLARENDON AVE WESTWOOD HTS LOT 36"</f>
        <v>68 CLARENDON AVE WESTWOOD HTS LOT 36</v>
      </c>
      <c r="D7574" s="1">
        <v>86.37</v>
      </c>
    </row>
    <row r="7575" spans="1:4" x14ac:dyDescent="0.3">
      <c r="A7575" s="1" t="str">
        <f>"59020265600"</f>
        <v>59020265600</v>
      </c>
      <c r="B7575" s="1" t="str">
        <f>"LOLLI FRANK D, SALE ELIZABETH"</f>
        <v>LOLLI FRANK D, SALE ELIZABETH</v>
      </c>
      <c r="C7575" s="1" t="str">
        <f>"5403&amp;5405 BENNINGTON HILL DR CONDO UNIT 5403"</f>
        <v>5403&amp;5405 BENNINGTON HILL DR CONDO UNIT 5403</v>
      </c>
      <c r="D7575" s="1">
        <v>273.69</v>
      </c>
    </row>
    <row r="7576" spans="1:4" x14ac:dyDescent="0.3">
      <c r="A7576" s="1" t="str">
        <f>"02500493700"</f>
        <v>02500493700</v>
      </c>
      <c r="B7576" s="1" t="str">
        <f>"LOMBARDI CAROL A TR"</f>
        <v>LOMBARDI CAROL A TR</v>
      </c>
      <c r="C7576" s="1" t="str">
        <f>"541 SAULSBURY COURT AMBASSADOR COMMONS LOT 26"</f>
        <v>541 SAULSBURY COURT AMBASSADOR COMMONS LOT 26</v>
      </c>
      <c r="D7576" s="1">
        <v>282.64999999999998</v>
      </c>
    </row>
    <row r="7577" spans="1:4" x14ac:dyDescent="0.3">
      <c r="A7577" s="1" t="str">
        <f>"54527655800"</f>
        <v>54527655800</v>
      </c>
      <c r="B7577" s="1" t="str">
        <f>"LOMBARDI CAROL ANN TR"</f>
        <v>LOMBARDI CAROL ANN TR</v>
      </c>
      <c r="C7577" s="1" t="str">
        <f>"THE VILLAGE AT CHESTNUT HILL CONDOMINIUM 2ND AMD UNIT 11-4010"</f>
        <v>THE VILLAGE AT CHESTNUT HILL CONDOMINIUM 2ND AMD UNIT 11-4010</v>
      </c>
      <c r="D7577" s="1">
        <v>260.06</v>
      </c>
    </row>
    <row r="7578" spans="1:4" x14ac:dyDescent="0.3">
      <c r="A7578" s="1" t="str">
        <f>"22000150000"</f>
        <v>22000150000</v>
      </c>
      <c r="B7578" s="1" t="str">
        <f>"LONDEREE GWYN R TR, LONDEREE MARK H TR"</f>
        <v>LONDEREE GWYN R TR, LONDEREE MARK H TR</v>
      </c>
      <c r="C7578" s="1" t="str">
        <f>"KITZMILLER RD R16 T2 1/4T1 15.508 AC LOT 10"</f>
        <v>KITZMILLER RD R16 T2 1/4T1 15.508 AC LOT 10</v>
      </c>
      <c r="D7578" s="1">
        <v>7717.28</v>
      </c>
    </row>
    <row r="7579" spans="1:4" x14ac:dyDescent="0.3">
      <c r="A7579" s="1" t="str">
        <f>"01007965400"</f>
        <v>01007965400</v>
      </c>
      <c r="B7579" s="1" t="str">
        <f>"LONDON HOMES LLC"</f>
        <v>LONDON HOMES LLC</v>
      </c>
      <c r="C7579" s="1" t="str">
        <f>"1849 ABERDEEN AVE GLENN A CHERRYS LOT 5"</f>
        <v>1849 ABERDEEN AVE GLENN A CHERRYS LOT 5</v>
      </c>
      <c r="D7579" s="1">
        <v>1079.5999999999999</v>
      </c>
    </row>
    <row r="7580" spans="1:4" x14ac:dyDescent="0.3">
      <c r="A7580" s="1" t="str">
        <f>"17000319300"</f>
        <v>17000319300</v>
      </c>
      <c r="B7580" s="1" t="str">
        <f>"LONDON JENNIFER E B TTEE"</f>
        <v>LONDON JENNIFER E B TTEE</v>
      </c>
      <c r="C7580" s="1" t="str">
        <f>"CREEKWOOD ESTATES DRIVE CREEKWOOD ESTATES LOT 27"</f>
        <v>CREEKWOOD ESTATES DRIVE CREEKWOOD ESTATES LOT 27</v>
      </c>
      <c r="D7580" s="1">
        <v>16811.419999999998</v>
      </c>
    </row>
    <row r="7581" spans="1:4" x14ac:dyDescent="0.3">
      <c r="A7581" s="1" t="str">
        <f>"01000950200"</f>
        <v>01000950200</v>
      </c>
      <c r="B7581" s="1" t="str">
        <f>"LONG ANDREW P"</f>
        <v>LONG ANDREW P</v>
      </c>
      <c r="C7581" s="1" t="str">
        <f>"802 KERR ST               23FTNS W A GILL           LOT 86                   "</f>
        <v xml:space="preserve">802 KERR ST               23FTNS W A GILL           LOT 86                   </v>
      </c>
      <c r="D7581" s="1">
        <v>6737.15</v>
      </c>
    </row>
    <row r="7582" spans="1:4" x14ac:dyDescent="0.3">
      <c r="A7582" s="1" t="str">
        <f>"16000187300"</f>
        <v>16000187300</v>
      </c>
      <c r="B7582" s="1" t="str">
        <f>"LONG ANTHONY, LONG LORI"</f>
        <v>LONG ANTHONY, LONG LORI</v>
      </c>
      <c r="C7582" s="1" t="str">
        <f>"ORDERS RD ENTRY 1382 1.452 ACRES"</f>
        <v>ORDERS RD ENTRY 1382 1.452 ACRES</v>
      </c>
      <c r="D7582" s="1">
        <v>2543.81</v>
      </c>
    </row>
    <row r="7583" spans="1:4" x14ac:dyDescent="0.3">
      <c r="A7583" s="1" t="str">
        <f>"09000012500"</f>
        <v>09000012500</v>
      </c>
      <c r="B7583" s="1" t="str">
        <f>"LONG BROS PROPERTIES LLC"</f>
        <v>LONG BROS PROPERTIES LLC</v>
      </c>
      <c r="C7583" s="1" t="str">
        <f>"HAMILTON RD S             NORTON FIELD PLAT 1       LOT 16                   "</f>
        <v xml:space="preserve">HAMILTON RD S             NORTON FIELD PLAT 1       LOT 16                   </v>
      </c>
      <c r="D7583" s="1">
        <v>1744.04</v>
      </c>
    </row>
    <row r="7584" spans="1:4" x14ac:dyDescent="0.3">
      <c r="A7584" s="1" t="str">
        <f>"09000011600"</f>
        <v>09000011600</v>
      </c>
      <c r="B7584" s="1" t="str">
        <f>"LONG BROS PROPERTIES LLC"</f>
        <v>LONG BROS PROPERTIES LLC</v>
      </c>
      <c r="C7584" s="1" t="str">
        <f>"HAMILTON RD               NORTON FIELD PLAT 1       LOT 15                   "</f>
        <v xml:space="preserve">HAMILTON RD               NORTON FIELD PLAT 1       LOT 15                   </v>
      </c>
      <c r="D7584" s="1">
        <v>1601.78</v>
      </c>
    </row>
    <row r="7585" spans="1:4" x14ac:dyDescent="0.3">
      <c r="A7585" s="1" t="str">
        <f>"01010389500"</f>
        <v>01010389500</v>
      </c>
      <c r="B7585" s="1" t="str">
        <f>"LONG JERRY L, LONG DONNA M"</f>
        <v>LONG JERRY L, LONG DONNA M</v>
      </c>
      <c r="C7585" s="1" t="str">
        <f>"SYLVAN AVE MIRIAM AMENDED LOT 42"</f>
        <v>SYLVAN AVE MIRIAM AMENDED LOT 42</v>
      </c>
      <c r="D7585" s="1">
        <v>99.36</v>
      </c>
    </row>
    <row r="7586" spans="1:4" x14ac:dyDescent="0.3">
      <c r="A7586" s="1" t="str">
        <f>"01006510500"</f>
        <v>01006510500</v>
      </c>
      <c r="B7586" s="1" t="str">
        <f>"LONG JOHN P"</f>
        <v>LONG JOHN P</v>
      </c>
      <c r="C7586" s="1" t="str">
        <f>"185 ORCHARD LN KENWORTH PLC LOT 118"</f>
        <v>185 ORCHARD LN KENWORTH PLC LOT 118</v>
      </c>
      <c r="D7586" s="1">
        <v>339.16</v>
      </c>
    </row>
    <row r="7587" spans="1:4" x14ac:dyDescent="0.3">
      <c r="A7587" s="1" t="str">
        <f>"14000346900"</f>
        <v>14000346900</v>
      </c>
      <c r="B7587" s="1" t="str">
        <f>"LONG LEO, LONG DORIS"</f>
        <v>LONG LEO, LONG DORIS</v>
      </c>
      <c r="C7587" s="1" t="str">
        <f>"ROSEDALE AVE EUREKA PARK 23 BLK 2 "</f>
        <v xml:space="preserve">ROSEDALE AVE EUREKA PARK 23 BLK 2 </v>
      </c>
      <c r="D7587" s="1">
        <v>652.58000000000004</v>
      </c>
    </row>
    <row r="7588" spans="1:4" x14ac:dyDescent="0.3">
      <c r="A7588" s="1" t="str">
        <f>"09000099400"</f>
        <v>09000099400</v>
      </c>
      <c r="B7588" s="1" t="str">
        <f>"LONG PATRICK D"</f>
        <v>LONG PATRICK D</v>
      </c>
      <c r="C7588" s="1" t="str">
        <f>"MAPLEWOOD AVE 50FT SS LOWRIE BROS 100 "</f>
        <v xml:space="preserve">MAPLEWOOD AVE 50FT SS LOWRIE BROS 100 </v>
      </c>
      <c r="D7588" s="1">
        <v>1767.96</v>
      </c>
    </row>
    <row r="7589" spans="1:4" x14ac:dyDescent="0.3">
      <c r="A7589" s="1" t="str">
        <f>"09000543800"</f>
        <v>09000543800</v>
      </c>
      <c r="B7589" s="1" t="str">
        <f>"LONG TRAVIS J"</f>
        <v>LONG TRAVIS J</v>
      </c>
      <c r="C7589" s="1" t="str">
        <f>"278 COLLINGWOOD AVE 255 FT S W COR LOT 220"</f>
        <v>278 COLLINGWOOD AVE 255 FT S W COR LOT 220</v>
      </c>
      <c r="D7589" s="1">
        <v>748.86</v>
      </c>
    </row>
    <row r="7590" spans="1:4" x14ac:dyDescent="0.3">
      <c r="A7590" s="1" t="str">
        <f>"01014048800"</f>
        <v>01014048800</v>
      </c>
      <c r="B7590" s="1" t="str">
        <f>"LONG VIVIAN L"</f>
        <v>LONG VIVIAN L</v>
      </c>
      <c r="C7590" s="1" t="str">
        <f>"DOBSON SQ W DEVONSHIRE 5 SEC 6 LOT 678"</f>
        <v>DOBSON SQ W DEVONSHIRE 5 SEC 6 LOT 678</v>
      </c>
      <c r="D7590" s="1">
        <v>125.23</v>
      </c>
    </row>
    <row r="7591" spans="1:4" x14ac:dyDescent="0.3">
      <c r="A7591" s="1" t="str">
        <f>"01005877000"</f>
        <v>01005877000</v>
      </c>
      <c r="B7591" s="1" t="str">
        <f>"LONGBERRY ROBERT E, LONGBERRY JOAN F"</f>
        <v>LONGBERRY ROBERT E, LONGBERRY JOAN F</v>
      </c>
      <c r="C7591" s="1" t="str">
        <f>"45 W DUNEDIN RD W NORTHMOOR LOT 84"</f>
        <v>45 W DUNEDIN RD W NORTHMOOR LOT 84</v>
      </c>
      <c r="D7591" s="1">
        <v>3685.81</v>
      </c>
    </row>
    <row r="7592" spans="1:4" x14ac:dyDescent="0.3">
      <c r="A7592" s="1" t="str">
        <f>"10000321400"</f>
        <v>10000321400</v>
      </c>
      <c r="B7592" s="1" t="str">
        <f>"LONGENECKER JOHN O, LONGENECKER LINDA K"</f>
        <v>LONGENECKER JOHN O, LONGENECKER LINDA K</v>
      </c>
      <c r="C7592" s="1" t="str">
        <f>"273 NEW ENGLAND AVE KILBOURNE VILLAGE 2 LOT 122"</f>
        <v>273 NEW ENGLAND AVE KILBOURNE VILLAGE 2 LOT 122</v>
      </c>
      <c r="D7592" s="1">
        <v>404.27</v>
      </c>
    </row>
    <row r="7593" spans="1:4" x14ac:dyDescent="0.3">
      <c r="A7593" s="1" t="str">
        <f>"56021313100"</f>
        <v>56021313100</v>
      </c>
      <c r="B7593" s="1" t="str">
        <f>"LONGEST ROBERT M TR"</f>
        <v>LONGEST ROBERT M TR</v>
      </c>
      <c r="C7593" s="1" t="str">
        <f>"SHADY OAK DRIVE OAK RUN SECTION 1 LOT 14"</f>
        <v>SHADY OAK DRIVE OAK RUN SECTION 1 LOT 14</v>
      </c>
      <c r="D7593" s="1">
        <v>267.32</v>
      </c>
    </row>
    <row r="7594" spans="1:4" x14ac:dyDescent="0.3">
      <c r="A7594" s="1" t="str">
        <f>"56022046300"</f>
        <v>56022046300</v>
      </c>
      <c r="B7594" s="1" t="str">
        <f>"LONGFELLOW GREG A"</f>
        <v>LONGFELLOW GREG A</v>
      </c>
      <c r="C7594" s="1" t="str">
        <f>"RESUB OF PART OF SHANNONBROOK SEC 3 LOT 180B"</f>
        <v>RESUB OF PART OF SHANNONBROOK SEC 3 LOT 180B</v>
      </c>
      <c r="D7594" s="1">
        <v>193.75</v>
      </c>
    </row>
    <row r="7595" spans="1:4" x14ac:dyDescent="0.3">
      <c r="A7595" s="1" t="str">
        <f>"56022046200"</f>
        <v>56022046200</v>
      </c>
      <c r="B7595" s="1" t="str">
        <f>"LONGFELLOW GREG A"</f>
        <v>LONGFELLOW GREG A</v>
      </c>
      <c r="C7595" s="1" t="str">
        <f>"RESUB OF PART OF SHANNONBROOK SEC 3 LOT 180A"</f>
        <v>RESUB OF PART OF SHANNONBROOK SEC 3 LOT 180A</v>
      </c>
      <c r="D7595" s="1">
        <v>189.81</v>
      </c>
    </row>
    <row r="7596" spans="1:4" x14ac:dyDescent="0.3">
      <c r="A7596" s="1" t="str">
        <f>"57021829100"</f>
        <v>57021829100</v>
      </c>
      <c r="B7596" s="1" t="str">
        <f>"LONGSHORE ALONZO P, LONGSHORE JAVEAR M"</f>
        <v>LONGSHORE ALONZO P, LONGSHORE JAVEAR M</v>
      </c>
      <c r="C7596" s="1" t="str">
        <f>"TREEHAVEN LANE HEATHERBROOK SEC 1 LOT 35"</f>
        <v>TREEHAVEN LANE HEATHERBROOK SEC 1 LOT 35</v>
      </c>
      <c r="D7596" s="1">
        <v>152.02000000000001</v>
      </c>
    </row>
    <row r="7597" spans="1:4" x14ac:dyDescent="0.3">
      <c r="A7597" s="1" t="str">
        <f>"01007287900"</f>
        <v>01007287900</v>
      </c>
      <c r="B7597" s="1" t="str">
        <f>"LONGSHORE GARY MICHAEL"</f>
        <v>LONGSHORE GARY MICHAEL</v>
      </c>
      <c r="C7597" s="1" t="str">
        <f>"AGLER AVE CLINTON HTS LOT 17"</f>
        <v>AGLER AVE CLINTON HTS LOT 17</v>
      </c>
      <c r="D7597" s="1">
        <v>51.36</v>
      </c>
    </row>
    <row r="7598" spans="1:4" x14ac:dyDescent="0.3">
      <c r="A7598" s="1" t="str">
        <f>"01010011700"</f>
        <v>01010011700</v>
      </c>
      <c r="B7598" s="1" t="str">
        <f>"LONGSTRETH MARGARET J"</f>
        <v>LONGSTRETH MARGARET J</v>
      </c>
      <c r="C7598" s="1" t="str">
        <f>"ERRINGTON RD SHADY LANE PARK LOT 40"</f>
        <v>ERRINGTON RD SHADY LANE PARK LOT 40</v>
      </c>
      <c r="D7598" s="1">
        <v>2251.4499999999998</v>
      </c>
    </row>
    <row r="7599" spans="1:4" x14ac:dyDescent="0.3">
      <c r="A7599" s="1" t="str">
        <f>"53026470000"</f>
        <v>53026470000</v>
      </c>
      <c r="B7599" s="1" t="str">
        <f>"LONGWORTH GEORGE H, LONGWORTH CYNTHIA M"</f>
        <v>LONGWORTH GEORGE H, LONGWORTH CYNTHIA M</v>
      </c>
      <c r="C7599" s="1" t="str">
        <f>"SUGARBARK DRIVE VILLAGE AT ABBIE TRAILS SECTION 1 LOT 71"</f>
        <v>SUGARBARK DRIVE VILLAGE AT ABBIE TRAILS SECTION 1 LOT 71</v>
      </c>
      <c r="D7599" s="1">
        <v>147.77000000000001</v>
      </c>
    </row>
    <row r="7600" spans="1:4" x14ac:dyDescent="0.3">
      <c r="A7600" s="1" t="str">
        <f>"56021853100"</f>
        <v>56021853100</v>
      </c>
      <c r="B7600" s="1" t="str">
        <f>"LONZO CARRIE, LONZO MATTHEW CLAY"</f>
        <v>LONZO CARRIE, LONZO MATTHEW CLAY</v>
      </c>
      <c r="C7600" s="1" t="str">
        <f>"HILLIARD HEIGHTS CONDO 2 3RD AMD UNIT 18C"</f>
        <v>HILLIARD HEIGHTS CONDO 2 3RD AMD UNIT 18C</v>
      </c>
      <c r="D7600" s="1">
        <v>64.760000000000005</v>
      </c>
    </row>
    <row r="7601" spans="1:4" x14ac:dyDescent="0.3">
      <c r="A7601" s="1" t="str">
        <f>"11000216100"</f>
        <v>11000216100</v>
      </c>
      <c r="B7601" s="1" t="str">
        <f>"LOOK KARSTEN, RAIHALA GABRIELLE"</f>
        <v>LOOK KARSTEN, RAIHALA GABRIELLE</v>
      </c>
      <c r="C7601" s="1" t="str">
        <f>"7413 LEE RD ACRES .858 R17 T2 1-4T 1"</f>
        <v>7413 LEE RD ACRES .858 R17 T2 1-4T 1</v>
      </c>
      <c r="D7601" s="1">
        <v>181.35</v>
      </c>
    </row>
    <row r="7602" spans="1:4" x14ac:dyDescent="0.3">
      <c r="A7602" s="1" t="str">
        <f>"01013288300"</f>
        <v>01013288300</v>
      </c>
      <c r="B7602" s="1" t="str">
        <f>"LOPER HAROLD E, LOPER JANET A"</f>
        <v>LOPER HAROLD E, LOPER JANET A</v>
      </c>
      <c r="C7602" s="1" t="str">
        <f>"BOTSFORD DR WALNUT BLUFF 1 LOT 28"</f>
        <v>BOTSFORD DR WALNUT BLUFF 1 LOT 28</v>
      </c>
      <c r="D7602" s="1">
        <v>3459.83</v>
      </c>
    </row>
    <row r="7603" spans="1:4" x14ac:dyDescent="0.3">
      <c r="A7603" s="1" t="str">
        <f>"14000205000"</f>
        <v>14000205000</v>
      </c>
      <c r="B7603" s="1" t="str">
        <f>"LOPEZ ELISEO, VENTURA ADILENE"</f>
        <v>LOPEZ ELISEO, VENTURA ADILENE</v>
      </c>
      <c r="C7603" s="1" t="str">
        <f>"3513 PLAINVIEW DR MON-E-BAK 217 "</f>
        <v xml:space="preserve">3513 PLAINVIEW DR MON-E-BAK 217 </v>
      </c>
      <c r="D7603" s="1">
        <v>1779.35</v>
      </c>
    </row>
    <row r="7604" spans="1:4" x14ac:dyDescent="0.3">
      <c r="A7604" s="1" t="str">
        <f>"15300001600"</f>
        <v>15300001600</v>
      </c>
      <c r="B7604" s="1" t="str">
        <f>"LOPEZ HERNANDEZ SONIA"</f>
        <v>LOPEZ HERNANDEZ SONIA</v>
      </c>
      <c r="C7604" s="1" t="str">
        <f>"SPANGLER RD 50X200FT EQUALS 0.230AC R22 T4 S13 16"</f>
        <v>SPANGLER RD 50X200FT EQUALS 0.230AC R22 T4 S13 16</v>
      </c>
      <c r="D7604" s="1">
        <v>29.77</v>
      </c>
    </row>
    <row r="7605" spans="1:4" x14ac:dyDescent="0.3">
      <c r="A7605" s="1" t="str">
        <f>"01003307200"</f>
        <v>01003307200</v>
      </c>
      <c r="B7605" s="1" t="str">
        <f>"LOPEZ HERNANDEZ SONIA"</f>
        <v>LOPEZ HERNANDEZ SONIA</v>
      </c>
      <c r="C7605" s="1" t="str">
        <f>"135 S EUREKA AVE ALL LOT 37 &amp; 8FT SS LOT 36"</f>
        <v>135 S EUREKA AVE ALL LOT 37 &amp; 8FT SS LOT 36</v>
      </c>
      <c r="D7605" s="1">
        <v>59.35</v>
      </c>
    </row>
    <row r="7606" spans="1:4" x14ac:dyDescent="0.3">
      <c r="A7606" s="1" t="str">
        <f>"55014343500"</f>
        <v>55014343500</v>
      </c>
      <c r="B7606" s="1" t="str">
        <f>"LOPEZ JESSICA"</f>
        <v>LOPEZ JESSICA</v>
      </c>
      <c r="C7606" s="1" t="str">
        <f>"6708 RED COACH LANE RED FOX HOLLOW 3 LOT 3"</f>
        <v>6708 RED COACH LANE RED FOX HOLLOW 3 LOT 3</v>
      </c>
      <c r="D7606" s="1">
        <v>4006.07</v>
      </c>
    </row>
    <row r="7607" spans="1:4" x14ac:dyDescent="0.3">
      <c r="A7607" s="1" t="str">
        <f>"56021522400"</f>
        <v>56021522400</v>
      </c>
      <c r="B7607" s="1" t="str">
        <f>"LOPEZ LAURA"</f>
        <v>LOPEZ LAURA</v>
      </c>
      <c r="C7607" s="1" t="str">
        <f>"HILLIARD HEIGHTS CONDOMINIUM 3RD AMD UNIT 14E"</f>
        <v>HILLIARD HEIGHTS CONDOMINIUM 3RD AMD UNIT 14E</v>
      </c>
      <c r="D7607" s="1">
        <v>3126.01</v>
      </c>
    </row>
    <row r="7608" spans="1:4" x14ac:dyDescent="0.3">
      <c r="A7608" s="1" t="str">
        <f>"24000487700"</f>
        <v>24000487700</v>
      </c>
      <c r="B7608" s="1" t="str">
        <f>"LOPEZ LAURA, LOPEZ QUEZADA GERARDO"</f>
        <v>LOPEZ LAURA, LOPEZ QUEZADA GERARDO</v>
      </c>
      <c r="C7608" s="1" t="str">
        <f>"SULLIVANT AVE LINCOLN VILLAGE S LOT 611 RES A &amp; D"</f>
        <v>SULLIVANT AVE LINCOLN VILLAGE S LOT 611 RES A &amp; D</v>
      </c>
      <c r="D7608" s="1">
        <v>1549.6</v>
      </c>
    </row>
    <row r="7609" spans="1:4" x14ac:dyDescent="0.3">
      <c r="A7609" s="1" t="str">
        <f>"24000457700"</f>
        <v>24000457700</v>
      </c>
      <c r="B7609" s="1" t="str">
        <f>"LOPEZ LORENA TREJO"</f>
        <v>LOPEZ LORENA TREJO</v>
      </c>
      <c r="C7609" s="1" t="str">
        <f>"441 DAYTONA RD LINCOLN VILLAGE SO 414"</f>
        <v>441 DAYTONA RD LINCOLN VILLAGE SO 414</v>
      </c>
      <c r="D7609" s="1">
        <v>1400.03</v>
      </c>
    </row>
    <row r="7610" spans="1:4" x14ac:dyDescent="0.3">
      <c r="A7610" s="1" t="str">
        <f>"01026144800"</f>
        <v>01026144800</v>
      </c>
      <c r="B7610" s="1" t="str">
        <f>"LOPEZ MANUEL"</f>
        <v>LOPEZ MANUEL</v>
      </c>
      <c r="C7610" s="1" t="str">
        <f>"WINCHESTER PK ACRES 1.855 R21 T11 S10 "</f>
        <v xml:space="preserve">WINCHESTER PK ACRES 1.855 R21 T11 S10 </v>
      </c>
      <c r="D7610" s="1">
        <v>2197.64</v>
      </c>
    </row>
    <row r="7611" spans="1:4" x14ac:dyDescent="0.3">
      <c r="A7611" s="1" t="str">
        <f>"01002476200"</f>
        <v>01002476200</v>
      </c>
      <c r="B7611" s="1" t="str">
        <f>"LOPEZ ROSALBA"</f>
        <v>LOPEZ ROSALBA</v>
      </c>
      <c r="C7611" s="1" t="str">
        <f>"148 CLARENDON AVE WESTWOOD HTS LOT 80"</f>
        <v>148 CLARENDON AVE WESTWOOD HTS LOT 80</v>
      </c>
      <c r="D7611" s="1">
        <v>2788.19</v>
      </c>
    </row>
    <row r="7612" spans="1:4" x14ac:dyDescent="0.3">
      <c r="A7612" s="1" t="str">
        <f>"04000454700"</f>
        <v>04000454700</v>
      </c>
      <c r="B7612" s="1" t="str">
        <f>"LOPEZ SANDRA R GARCIA, LOPEZ CELINA GARCIA"</f>
        <v>LOPEZ SANDRA R GARCIA, LOPEZ CELINA GARCIA</v>
      </c>
      <c r="C7612" s="1" t="str">
        <f>"2570 BRYAN CIRCLE GROVE CITY HEIGHTS 2 LOT 7"</f>
        <v>2570 BRYAN CIRCLE GROVE CITY HEIGHTS 2 LOT 7</v>
      </c>
      <c r="D7612" s="1">
        <v>2888.88</v>
      </c>
    </row>
    <row r="7613" spans="1:4" x14ac:dyDescent="0.3">
      <c r="A7613" s="1" t="str">
        <f>"01004397600"</f>
        <v>01004397600</v>
      </c>
      <c r="B7613" s="1" t="str">
        <f>"LOPEZ SILVA JOSE A"</f>
        <v>LOPEZ SILVA JOSE A</v>
      </c>
      <c r="C7613" s="1" t="str">
        <f>"297 N WARREN AVE HILL CREST LOT 120"</f>
        <v>297 N WARREN AVE HILL CREST LOT 120</v>
      </c>
      <c r="D7613" s="1">
        <v>2174.9299999999998</v>
      </c>
    </row>
    <row r="7614" spans="1:4" x14ac:dyDescent="0.3">
      <c r="A7614" s="1" t="str">
        <f>"01004435800"</f>
        <v>01004435800</v>
      </c>
      <c r="B7614" s="1" t="str">
        <f>"LOPEZ SILVA JOSE A"</f>
        <v>LOPEZ SILVA JOSE A</v>
      </c>
      <c r="C7614" s="1" t="str">
        <f>"2243-5 SULLIVANT LINKES LOT 9"</f>
        <v>2243-5 SULLIVANT LINKES LOT 9</v>
      </c>
      <c r="D7614" s="1">
        <v>2695.26</v>
      </c>
    </row>
    <row r="7615" spans="1:4" x14ac:dyDescent="0.3">
      <c r="A7615" s="1" t="str">
        <f>"24000059500"</f>
        <v>24000059500</v>
      </c>
      <c r="B7615" s="1" t="str">
        <f>"LOPEZ SILVA JOSE A"</f>
        <v>LOPEZ SILVA JOSE A</v>
      </c>
      <c r="C7615" s="1" t="str">
        <f>"PASADENA AVE LITTLE FARMS 303 "</f>
        <v xml:space="preserve">PASADENA AVE LITTLE FARMS 303 </v>
      </c>
      <c r="D7615" s="1">
        <v>4301.87</v>
      </c>
    </row>
    <row r="7616" spans="1:4" x14ac:dyDescent="0.3">
      <c r="A7616" s="1" t="str">
        <f>"14000201100"</f>
        <v>14000201100</v>
      </c>
      <c r="B7616" s="1" t="str">
        <f>"LOPEZ SILVA RODRIGO"</f>
        <v>LOPEZ SILVA RODRIGO</v>
      </c>
      <c r="C7616" s="1" t="str">
        <f>"3730 PLAINVIEW DR MON-E-BAK FARMS LOT 178"</f>
        <v>3730 PLAINVIEW DR MON-E-BAK FARMS LOT 178</v>
      </c>
      <c r="D7616" s="1">
        <v>728.74</v>
      </c>
    </row>
    <row r="7617" spans="1:4" x14ac:dyDescent="0.3">
      <c r="A7617" s="1" t="str">
        <f>"14000201200"</f>
        <v>14000201200</v>
      </c>
      <c r="B7617" s="1" t="str">
        <f>"LOPEZ SILVA RODRIGO"</f>
        <v>LOPEZ SILVA RODRIGO</v>
      </c>
      <c r="C7617" s="1" t="str">
        <f>"PLAINSVIEW DR MON-E-BAK FARMS LOT 179"</f>
        <v>PLAINSVIEW DR MON-E-BAK FARMS LOT 179</v>
      </c>
      <c r="D7617" s="1">
        <v>604.91999999999996</v>
      </c>
    </row>
    <row r="7618" spans="1:4" x14ac:dyDescent="0.3">
      <c r="A7618" s="1" t="str">
        <f>"14000201300"</f>
        <v>14000201300</v>
      </c>
      <c r="B7618" s="1" t="str">
        <f>"LOPEZ SILVA RODRIGO"</f>
        <v>LOPEZ SILVA RODRIGO</v>
      </c>
      <c r="C7618" s="1" t="str">
        <f>"PLAINVIEW DR MON-E-BAK FARMS LOT 180"</f>
        <v>PLAINVIEW DR MON-E-BAK FARMS LOT 180</v>
      </c>
      <c r="D7618" s="1">
        <v>604.91999999999996</v>
      </c>
    </row>
    <row r="7619" spans="1:4" x14ac:dyDescent="0.3">
      <c r="A7619" s="1" t="str">
        <f>"14000201400"</f>
        <v>14000201400</v>
      </c>
      <c r="B7619" s="1" t="str">
        <f>"LOPEZ SILVA RODRIGO"</f>
        <v>LOPEZ SILVA RODRIGO</v>
      </c>
      <c r="C7619" s="1" t="str">
        <f>"3712 PLAINVIEW DR MON-E-BAK FARMS LOT 181"</f>
        <v>3712 PLAINVIEW DR MON-E-BAK FARMS LOT 181</v>
      </c>
      <c r="D7619" s="1">
        <v>2597.5300000000002</v>
      </c>
    </row>
    <row r="7620" spans="1:4" x14ac:dyDescent="0.3">
      <c r="A7620" s="1" t="str">
        <f>"14000201500"</f>
        <v>14000201500</v>
      </c>
      <c r="B7620" s="1" t="str">
        <f>"LOPEZ SILVA RODRIGO"</f>
        <v>LOPEZ SILVA RODRIGO</v>
      </c>
      <c r="C7620" s="1" t="str">
        <f>"PLAINVIEW DR MON-E-BAK FARMS LOT 182"</f>
        <v>PLAINVIEW DR MON-E-BAK FARMS LOT 182</v>
      </c>
      <c r="D7620" s="1">
        <v>604.91999999999996</v>
      </c>
    </row>
    <row r="7621" spans="1:4" x14ac:dyDescent="0.3">
      <c r="A7621" s="1" t="str">
        <f>"01005027500"</f>
        <v>01005027500</v>
      </c>
      <c r="B7621" s="1" t="str">
        <f>"LORD MICHELLE B"</f>
        <v>LORD MICHELLE B</v>
      </c>
      <c r="C7621" s="1" t="str">
        <f>"DENBRIDGE EAST GATE 2 LOB 8 BLK 10"</f>
        <v>DENBRIDGE EAST GATE 2 LOB 8 BLK 10</v>
      </c>
      <c r="D7621" s="1">
        <v>1786.1</v>
      </c>
    </row>
    <row r="7622" spans="1:4" x14ac:dyDescent="0.3">
      <c r="A7622" s="1" t="str">
        <f>"01000836900"</f>
        <v>01000836900</v>
      </c>
      <c r="B7622" s="1" t="str">
        <f>"LORD WILMORE ENTERPRISES LLC"</f>
        <v>LORD WILMORE ENTERPRISES LLC</v>
      </c>
      <c r="C7622" s="1" t="str">
        <f>"815 W BROAD ST DAVIS LOTS 5-9 &amp; 20'VAC AL"</f>
        <v>815 W BROAD ST DAVIS LOTS 5-9 &amp; 20'VAC AL</v>
      </c>
      <c r="D7622" s="1">
        <v>27079.48</v>
      </c>
    </row>
    <row r="7623" spans="1:4" x14ac:dyDescent="0.3">
      <c r="A7623" s="1" t="str">
        <f>"56017539000"</f>
        <v>56017539000</v>
      </c>
      <c r="B7623" s="1" t="str">
        <f>"LORENZ MATT W, LORENZ KIMBERLY A"</f>
        <v>LORENZ MATT W, LORENZ KIMBERLY A</v>
      </c>
      <c r="C7623" s="1" t="str">
        <f>"TALCOTT CT CIDER MILL LOT 108"</f>
        <v>TALCOTT CT CIDER MILL LOT 108</v>
      </c>
      <c r="D7623" s="1">
        <v>3539.8</v>
      </c>
    </row>
    <row r="7624" spans="1:4" x14ac:dyDescent="0.3">
      <c r="A7624" s="1" t="str">
        <f>"01000667900"</f>
        <v>01000667900</v>
      </c>
      <c r="B7624" s="1" t="str">
        <f>"LORENZ TERESA L"</f>
        <v>LORENZ TERESA L</v>
      </c>
      <c r="C7624" s="1" t="str">
        <f>"3027 E 6TH AVE CASSADYS 5TH AVE LOT 200"</f>
        <v>3027 E 6TH AVE CASSADYS 5TH AVE LOT 200</v>
      </c>
      <c r="D7624" s="1">
        <v>1936.91</v>
      </c>
    </row>
    <row r="7625" spans="1:4" x14ac:dyDescent="0.3">
      <c r="A7625" s="1" t="str">
        <f>"01007969700"</f>
        <v>01007969700</v>
      </c>
      <c r="B7625" s="1" t="str">
        <f>"LORETTA-REPUBLIC LLC"</f>
        <v>LORETTA-REPUBLIC LLC</v>
      </c>
      <c r="C7625" s="1" t="str">
        <f>"REPUBLIC AVE HAHNS LOT 31"</f>
        <v>REPUBLIC AVE HAHNS LOT 31</v>
      </c>
      <c r="D7625" s="1">
        <v>40.26</v>
      </c>
    </row>
    <row r="7626" spans="1:4" x14ac:dyDescent="0.3">
      <c r="A7626" s="1" t="str">
        <f>"01013270300"</f>
        <v>01013270300</v>
      </c>
      <c r="B7626" s="1" t="str">
        <f>"LORMAR INVESTMENTS LLC"</f>
        <v>LORMAR INVESTMENTS LLC</v>
      </c>
      <c r="C7626" s="1" t="str">
        <f>"MAURINE DR HOLLY HILL 4 LOT 478"</f>
        <v>MAURINE DR HOLLY HILL 4 LOT 478</v>
      </c>
      <c r="D7626" s="1">
        <v>2695.12</v>
      </c>
    </row>
    <row r="7627" spans="1:4" x14ac:dyDescent="0.3">
      <c r="A7627" s="1" t="str">
        <f>"57026080800"</f>
        <v>57026080800</v>
      </c>
      <c r="B7627" s="1" t="str">
        <f>"LOSCKO JILL T"</f>
        <v>LOSCKO JILL T</v>
      </c>
      <c r="C7627" s="1" t="str">
        <f>"RUFFIN DRIVE GALLOWAY RIDGE SECTION 5 PART 2 LOT 431"</f>
        <v>RUFFIN DRIVE GALLOWAY RIDGE SECTION 5 PART 2 LOT 431</v>
      </c>
      <c r="D7627" s="1">
        <v>3738.04</v>
      </c>
    </row>
    <row r="7628" spans="1:4" x14ac:dyDescent="0.3">
      <c r="A7628" s="1" t="str">
        <f>"01027100600"</f>
        <v>01027100600</v>
      </c>
      <c r="B7628" s="1" t="str">
        <f>"LOTTS SHAWN P"</f>
        <v>LOTTS SHAWN P</v>
      </c>
      <c r="C7628" s="1" t="str">
        <f>"BRISTOL RIDGE DR THE GLEN AT SCHIRM FARMS SECTION 1 LOT 28"</f>
        <v>BRISTOL RIDGE DR THE GLEN AT SCHIRM FARMS SECTION 1 LOT 28</v>
      </c>
      <c r="D7628" s="1">
        <v>2041.97</v>
      </c>
    </row>
    <row r="7629" spans="1:4" x14ac:dyDescent="0.3">
      <c r="A7629" s="1" t="str">
        <f>"01028414200"</f>
        <v>01028414200</v>
      </c>
      <c r="B7629" s="1" t="str">
        <f>"LOUIE LAI OY, LOUIE WAI-SING"</f>
        <v>LOUIE LAI OY, LOUIE WAI-SING</v>
      </c>
      <c r="C7629" s="1" t="str">
        <f>"THE FLATS AT HARRISON     PARK CONDOMINIUM          BLDG A UNIT 102          "</f>
        <v xml:space="preserve">THE FLATS AT HARRISON     PARK CONDOMINIUM          BLDG A UNIT 102          </v>
      </c>
      <c r="D7629" s="1">
        <v>216.59</v>
      </c>
    </row>
    <row r="7630" spans="1:4" x14ac:dyDescent="0.3">
      <c r="A7630" s="1" t="str">
        <f>"54525735800"</f>
        <v>54525735800</v>
      </c>
      <c r="B7630" s="1" t="str">
        <f>"LOUIS HARLAN S, LOUIS KELLEY A"</f>
        <v>LOUIS HARLAN S, LOUIS KELLEY A</v>
      </c>
      <c r="C7630" s="1" t="str">
        <f>"HILLTOP TRAIL DRIVE THE PRESERVE SECTION 5 PART 2 LOT 240"</f>
        <v>HILLTOP TRAIL DRIVE THE PRESERVE SECTION 5 PART 2 LOT 240</v>
      </c>
      <c r="D7630" s="1">
        <v>475.19</v>
      </c>
    </row>
    <row r="7631" spans="1:4" x14ac:dyDescent="0.3">
      <c r="A7631" s="1" t="str">
        <f>"05000264800"</f>
        <v>05000264800</v>
      </c>
      <c r="B7631" s="1" t="str">
        <f>"LOUPE ARDEN B TR"</f>
        <v>LOUPE ARDEN B TR</v>
      </c>
      <c r="C7631" s="1" t="str">
        <f>"4484 PAXTON DRIVE BEACON 2ND LOT 221"</f>
        <v>4484 PAXTON DRIVE BEACON 2ND LOT 221</v>
      </c>
      <c r="D7631" s="1">
        <v>245.97</v>
      </c>
    </row>
    <row r="7632" spans="1:4" x14ac:dyDescent="0.3">
      <c r="A7632" s="1" t="str">
        <f>"01016493300"</f>
        <v>01016493300</v>
      </c>
      <c r="B7632" s="1" t="str">
        <f>"LOVE DAVID J"</f>
        <v>LOVE DAVID J</v>
      </c>
      <c r="C7632" s="1" t="str">
        <f>"KIMBERLY VILLAS CONDOMINIUM PHASE VI BLDG 49 UNIT A"</f>
        <v>KIMBERLY VILLAS CONDOMINIUM PHASE VI BLDG 49 UNIT A</v>
      </c>
      <c r="D7632" s="1">
        <v>1197.48</v>
      </c>
    </row>
    <row r="7633" spans="1:4" x14ac:dyDescent="0.3">
      <c r="A7633" s="1" t="str">
        <f>"16100051700"</f>
        <v>16100051700</v>
      </c>
      <c r="B7633" s="1" t="str">
        <f>"LOVE GEORGE, LOVE COURTNEY"</f>
        <v>LOVE GEORGE, LOVE COURTNEY</v>
      </c>
      <c r="C7633" s="1" t="str">
        <f>"3639 CENTRAL AVE URBANCREST 56-7 BLK 4"</f>
        <v>3639 CENTRAL AVE URBANCREST 56-7 BLK 4</v>
      </c>
      <c r="D7633" s="1">
        <v>1873.04</v>
      </c>
    </row>
    <row r="7634" spans="1:4" x14ac:dyDescent="0.3">
      <c r="A7634" s="1" t="str">
        <f>"01008930100"</f>
        <v>01008930100</v>
      </c>
      <c r="B7634" s="1" t="str">
        <f>"LOVE L STEVEN"</f>
        <v>LOVE L STEVEN</v>
      </c>
      <c r="C7634" s="1" t="str">
        <f>"NAPOLEON AVE LINCOLN PARK LOT 464"</f>
        <v>NAPOLEON AVE LINCOLN PARK LOT 464</v>
      </c>
      <c r="D7634" s="1">
        <v>114.17</v>
      </c>
    </row>
    <row r="7635" spans="1:4" x14ac:dyDescent="0.3">
      <c r="A7635" s="1" t="str">
        <f>"01003418100"</f>
        <v>01003418100</v>
      </c>
      <c r="B7635" s="1" t="str">
        <f>"LOVE L STEVEN"</f>
        <v>LOVE L STEVEN</v>
      </c>
      <c r="C7635" s="1" t="str">
        <f>"3135 SULLIVANT AVE MIRIAM LOT 23-24"</f>
        <v>3135 SULLIVANT AVE MIRIAM LOT 23-24</v>
      </c>
      <c r="D7635" s="1">
        <v>122.21</v>
      </c>
    </row>
    <row r="7636" spans="1:4" x14ac:dyDescent="0.3">
      <c r="A7636" s="1" t="str">
        <f>"01002808800"</f>
        <v>01002808800</v>
      </c>
      <c r="B7636" s="1" t="str">
        <f>"LOVE L STEVEN"</f>
        <v>LOVE L STEVEN</v>
      </c>
      <c r="C7636" s="1" t="str">
        <f>"839 17TH ST S SWAYNE LOT 200"</f>
        <v>839 17TH ST S SWAYNE LOT 200</v>
      </c>
      <c r="D7636" s="1">
        <v>158.57</v>
      </c>
    </row>
    <row r="7637" spans="1:4" x14ac:dyDescent="0.3">
      <c r="A7637" s="1" t="str">
        <f>"01005173400"</f>
        <v>01005173400</v>
      </c>
      <c r="B7637" s="1" t="str">
        <f>"LOVE L STEVEN"</f>
        <v>LOVE L STEVEN</v>
      </c>
      <c r="C7637" s="1" t="str">
        <f>"854 MILLER AVE MILLER AVE LOT 73"</f>
        <v>854 MILLER AVE MILLER AVE LOT 73</v>
      </c>
      <c r="D7637" s="1">
        <v>59.81</v>
      </c>
    </row>
    <row r="7638" spans="1:4" x14ac:dyDescent="0.3">
      <c r="A7638" s="1" t="str">
        <f>"01001247300"</f>
        <v>01001247300</v>
      </c>
      <c r="B7638" s="1" t="str">
        <f>"LOVE L STEVEN"</f>
        <v>LOVE L STEVEN</v>
      </c>
      <c r="C7638" s="1" t="str">
        <f>"75 CYPRESS AVE WEST PARK ADD LOT 378"</f>
        <v>75 CYPRESS AVE WEST PARK ADD LOT 378</v>
      </c>
      <c r="D7638" s="1">
        <v>131.06</v>
      </c>
    </row>
    <row r="7639" spans="1:4" x14ac:dyDescent="0.3">
      <c r="A7639" s="1" t="str">
        <f>"01002315900"</f>
        <v>01002315900</v>
      </c>
      <c r="B7639" s="1" t="str">
        <f>"LOVE LESTER S"</f>
        <v>LOVE LESTER S</v>
      </c>
      <c r="C7639" s="1" t="str">
        <f>"455-57-59-61-63 HANFORD ST SCHMIDT 2ND LOT 30-1"</f>
        <v>455-57-59-61-63 HANFORD ST SCHMIDT 2ND LOT 30-1</v>
      </c>
      <c r="D7639" s="1">
        <v>249.46</v>
      </c>
    </row>
    <row r="7640" spans="1:4" x14ac:dyDescent="0.3">
      <c r="A7640" s="1" t="str">
        <f>"01003416700"</f>
        <v>01003416700</v>
      </c>
      <c r="B7640" s="1" t="str">
        <f>"LOVE LESTER S"</f>
        <v>LOVE LESTER S</v>
      </c>
      <c r="C7640" s="1" t="str">
        <f>"SULLIVANT AVE 3 FT E S MIRIAM LOT 18"</f>
        <v>SULLIVANT AVE 3 FT E S MIRIAM LOT 18</v>
      </c>
      <c r="D7640" s="1">
        <v>2.36</v>
      </c>
    </row>
    <row r="7641" spans="1:4" x14ac:dyDescent="0.3">
      <c r="A7641" s="1" t="str">
        <f>"01003416800"</f>
        <v>01003416800</v>
      </c>
      <c r="B7641" s="1" t="str">
        <f>"LOVE LESTER S"</f>
        <v>LOVE LESTER S</v>
      </c>
      <c r="C7641" s="1" t="str">
        <f>"SULLIVANT AVE MIRIAM LOT 19"</f>
        <v>SULLIVANT AVE MIRIAM LOT 19</v>
      </c>
      <c r="D7641" s="1">
        <v>332.39</v>
      </c>
    </row>
    <row r="7642" spans="1:4" x14ac:dyDescent="0.3">
      <c r="A7642" s="1" t="str">
        <f>"01008031600"</f>
        <v>01008031600</v>
      </c>
      <c r="B7642" s="1" t="str">
        <f>"LOVE PHILLIP"</f>
        <v>LOVE PHILLIP</v>
      </c>
      <c r="C7642" s="1" t="str">
        <f>"1590 FOREST ST LENOX ADD LOT 130"</f>
        <v>1590 FOREST ST LENOX ADD LOT 130</v>
      </c>
      <c r="D7642" s="1">
        <v>350.35</v>
      </c>
    </row>
    <row r="7643" spans="1:4" x14ac:dyDescent="0.3">
      <c r="A7643" s="1" t="str">
        <f>"01000291200"</f>
        <v>01000291200</v>
      </c>
      <c r="B7643" s="1" t="str">
        <f>"LOVE PHILLIP D"</f>
        <v>LOVE PHILLIP D</v>
      </c>
      <c r="C7643" s="1" t="str">
        <f>"716-18 SUNBURY AVE FAIRMONT LOT 5"</f>
        <v>716-18 SUNBURY AVE FAIRMONT LOT 5</v>
      </c>
      <c r="D7643" s="1">
        <v>473.28</v>
      </c>
    </row>
    <row r="7644" spans="1:4" x14ac:dyDescent="0.3">
      <c r="A7644" s="1" t="str">
        <f>"01000291300"</f>
        <v>01000291300</v>
      </c>
      <c r="B7644" s="1" t="str">
        <f>"LOVE PHILLIP D"</f>
        <v>LOVE PHILLIP D</v>
      </c>
      <c r="C7644" s="1" t="str">
        <f>"714 SUNBURY AVE FAIRMONT LOT 6"</f>
        <v>714 SUNBURY AVE FAIRMONT LOT 6</v>
      </c>
      <c r="D7644" s="1">
        <v>213</v>
      </c>
    </row>
    <row r="7645" spans="1:4" x14ac:dyDescent="0.3">
      <c r="A7645" s="1" t="str">
        <f>"01000015000"</f>
        <v>01000015000</v>
      </c>
      <c r="B7645" s="1" t="str">
        <f>"LOVE REALTY DEVELOPMENT"</f>
        <v>LOVE REALTY DEVELOPMENT</v>
      </c>
      <c r="C7645" s="1" t="str">
        <f>"321 S WHEATLAND AVE ARLINGTON LOT 143"</f>
        <v>321 S WHEATLAND AVE ARLINGTON LOT 143</v>
      </c>
      <c r="D7645" s="1">
        <v>1027.3</v>
      </c>
    </row>
    <row r="7646" spans="1:4" x14ac:dyDescent="0.3">
      <c r="A7646" s="1" t="str">
        <f>"01006745900"</f>
        <v>01006745900</v>
      </c>
      <c r="B7646" s="1" t="str">
        <f>"LOVE REALTY DEVELOPMENT LLC"</f>
        <v>LOVE REALTY DEVELOPMENT LLC</v>
      </c>
      <c r="C7646" s="1" t="str">
        <f>"2904 SIXTH AVE ALL LOT 152 &amp; PART 153 CASSADYS 5TH AVE"</f>
        <v>2904 SIXTH AVE ALL LOT 152 &amp; PART 153 CASSADYS 5TH AVE</v>
      </c>
      <c r="D7646" s="1">
        <v>1182.21</v>
      </c>
    </row>
    <row r="7647" spans="1:4" x14ac:dyDescent="0.3">
      <c r="A7647" s="1" t="str">
        <f>"61024839100"</f>
        <v>61024839100</v>
      </c>
      <c r="B7647" s="1" t="str">
        <f>"LOVE SCOTT, LOVE SUSAN"</f>
        <v>LOVE SCOTT, LOVE SUSAN</v>
      </c>
      <c r="C7647" s="1" t="str">
        <f>"VILLAGE OF FOREST RIDGE CONDOMINIUMS 2ND AMD PHASE 3 UNIT 199"</f>
        <v>VILLAGE OF FOREST RIDGE CONDOMINIUMS 2ND AMD PHASE 3 UNIT 199</v>
      </c>
      <c r="D7647" s="1">
        <v>2606.27</v>
      </c>
    </row>
    <row r="7648" spans="1:4" x14ac:dyDescent="0.3">
      <c r="A7648" s="1" t="str">
        <f>"01000069700"</f>
        <v>01000069700</v>
      </c>
      <c r="B7648" s="1" t="str">
        <f>"LOVE STEVE"</f>
        <v>LOVE STEVE</v>
      </c>
      <c r="C7648" s="1" t="str">
        <f>"803 TAYLOR AVE ANDERSON &amp; EBERLY LOT 22"</f>
        <v>803 TAYLOR AVE ANDERSON &amp; EBERLY LOT 22</v>
      </c>
      <c r="D7648" s="1">
        <v>27.64</v>
      </c>
    </row>
    <row r="7649" spans="1:4" x14ac:dyDescent="0.3">
      <c r="A7649" s="1" t="str">
        <f>"01013389500"</f>
        <v>01013389500</v>
      </c>
      <c r="B7649" s="1" t="str">
        <f>"LOVELACE LUIS R"</f>
        <v>LOVELACE LUIS R</v>
      </c>
      <c r="C7649" s="1" t="str">
        <f>"BURNLEY SQ NO DEVONSHIRE 1 LOT 116"</f>
        <v>BURNLEY SQ NO DEVONSHIRE 1 LOT 116</v>
      </c>
      <c r="D7649" s="1">
        <v>1721.6</v>
      </c>
    </row>
    <row r="7650" spans="1:4" x14ac:dyDescent="0.3">
      <c r="A7650" s="1" t="str">
        <f>"01014171500"</f>
        <v>01014171500</v>
      </c>
      <c r="B7650" s="1" t="str">
        <f>"LOVE-WRIGHT SHONDA DENISE, WRIGHT VIRGIL JAMES"</f>
        <v>LOVE-WRIGHT SHONDA DENISE, WRIGHT VIRGIL JAMES</v>
      </c>
      <c r="C7650" s="1" t="str">
        <f>"2706 GLENSHIRE DR SOMERSET 1 LOT 247"</f>
        <v>2706 GLENSHIRE DR SOMERSET 1 LOT 247</v>
      </c>
      <c r="D7650" s="1">
        <v>3483.74</v>
      </c>
    </row>
    <row r="7651" spans="1:4" x14ac:dyDescent="0.3">
      <c r="A7651" s="1" t="str">
        <f>"59019969800"</f>
        <v>59019969800</v>
      </c>
      <c r="B7651" s="1" t="str">
        <f>"LOVING WILLIAM E III TR"</f>
        <v>LOVING WILLIAM E III TR</v>
      </c>
      <c r="C7651" s="1" t="str">
        <f>"BETHEL RD BRANDY OAKS CONDO UNIT 5283 BLDG 13"</f>
        <v>BETHEL RD BRANDY OAKS CONDO UNIT 5283 BLDG 13</v>
      </c>
      <c r="D7651" s="1">
        <v>268.89</v>
      </c>
    </row>
    <row r="7652" spans="1:4" x14ac:dyDescent="0.3">
      <c r="A7652" s="1" t="str">
        <f>"59019970100"</f>
        <v>59019970100</v>
      </c>
      <c r="B7652" s="1" t="str">
        <f>"LOVING WILLIAM E III TR"</f>
        <v>LOVING WILLIAM E III TR</v>
      </c>
      <c r="C7652" s="1" t="str">
        <f>"BETHEL RD BRANDY OAKS CONDO UNIT 5289 BLDG 13"</f>
        <v>BETHEL RD BRANDY OAKS CONDO UNIT 5289 BLDG 13</v>
      </c>
      <c r="D7652" s="1">
        <v>268.89</v>
      </c>
    </row>
    <row r="7653" spans="1:4" x14ac:dyDescent="0.3">
      <c r="A7653" s="1" t="str">
        <f>"59019970200"</f>
        <v>59019970200</v>
      </c>
      <c r="B7653" s="1" t="str">
        <f>"LOVING WILLIAM E III TR"</f>
        <v>LOVING WILLIAM E III TR</v>
      </c>
      <c r="C7653" s="1" t="str">
        <f>"BETHEL RD BRANDY OAKS CONDO UNIT 5291 BLDG 13"</f>
        <v>BETHEL RD BRANDY OAKS CONDO UNIT 5291 BLDG 13</v>
      </c>
      <c r="D7653" s="1">
        <v>268.89</v>
      </c>
    </row>
    <row r="7654" spans="1:4" x14ac:dyDescent="0.3">
      <c r="A7654" s="1" t="str">
        <f>"59019970000"</f>
        <v>59019970000</v>
      </c>
      <c r="B7654" s="1" t="str">
        <f>"LOVING WILLIAM E III TR"</f>
        <v>LOVING WILLIAM E III TR</v>
      </c>
      <c r="C7654" s="1" t="str">
        <f>"BETHEL RD BRANDY OAKS CONDO UNIT 5287 BLDG 13"</f>
        <v>BETHEL RD BRANDY OAKS CONDO UNIT 5287 BLDG 13</v>
      </c>
      <c r="D7654" s="1">
        <v>268.89</v>
      </c>
    </row>
    <row r="7655" spans="1:4" x14ac:dyDescent="0.3">
      <c r="A7655" s="1" t="str">
        <f>"59019969900"</f>
        <v>59019969900</v>
      </c>
      <c r="B7655" s="1" t="str">
        <f>"LOVING WILLIAM E III TR"</f>
        <v>LOVING WILLIAM E III TR</v>
      </c>
      <c r="C7655" s="1" t="str">
        <f>"BETHEL RD BRANDY OAKS CONDO UNIT 5285 BLDG 13"</f>
        <v>BETHEL RD BRANDY OAKS CONDO UNIT 5285 BLDG 13</v>
      </c>
      <c r="D7655" s="1">
        <v>268.89</v>
      </c>
    </row>
    <row r="7656" spans="1:4" x14ac:dyDescent="0.3">
      <c r="A7656" s="1" t="str">
        <f>"27300652000"</f>
        <v>27300652000</v>
      </c>
      <c r="B7656" s="1" t="str">
        <f>"LOVING WILLIAM E III TR"</f>
        <v>LOVING WILLIAM E III TR</v>
      </c>
      <c r="C7656" s="1" t="str">
        <f>"5313 TARA HILL DRIVE SHANNON PK SEC 2 PH1 NW 1/2 LOT 118"</f>
        <v>5313 TARA HILL DRIVE SHANNON PK SEC 2 PH1 NW 1/2 LOT 118</v>
      </c>
      <c r="D7656" s="1">
        <v>617.45000000000005</v>
      </c>
    </row>
    <row r="7657" spans="1:4" x14ac:dyDescent="0.3">
      <c r="A7657" s="1" t="str">
        <f>"27300143300"</f>
        <v>27300143300</v>
      </c>
      <c r="B7657" s="1" t="str">
        <f>"LOVING WILLIAM E III TR"</f>
        <v>LOVING WILLIAM E III TR</v>
      </c>
      <c r="C7657" s="1" t="str">
        <f>"5311 TARA HILL DR SHANNON PK SEC 2 PH1 SE1/2 LT118=0.1612AC"</f>
        <v>5311 TARA HILL DR SHANNON PK SEC 2 PH1 SE1/2 LT118=0.1612AC</v>
      </c>
      <c r="D7657" s="1">
        <v>651.98</v>
      </c>
    </row>
    <row r="7658" spans="1:4" x14ac:dyDescent="0.3">
      <c r="A7658" s="1" t="str">
        <f>"27300143400"</f>
        <v>27300143400</v>
      </c>
      <c r="B7658" s="1" t="str">
        <f>"LOVING WILLIAM E III TR"</f>
        <v>LOVING WILLIAM E III TR</v>
      </c>
      <c r="C7658" s="1" t="str">
        <f>"6933 KILLARNEY CT SHANNON PK SEC 2 PH1 PT LOT 119"</f>
        <v>6933 KILLARNEY CT SHANNON PK SEC 2 PH1 PT LOT 119</v>
      </c>
      <c r="D7658" s="1">
        <v>626.96</v>
      </c>
    </row>
    <row r="7659" spans="1:4" x14ac:dyDescent="0.3">
      <c r="A7659" s="1" t="str">
        <f>"59019969700"</f>
        <v>59019969700</v>
      </c>
      <c r="B7659" s="1" t="str">
        <f>"LOVING WILLIAM E III TR"</f>
        <v>LOVING WILLIAM E III TR</v>
      </c>
      <c r="C7659" s="1" t="str">
        <f>"BETHEL RD BRANDY OAKS CONDO UNIT 5281 BLDG 13"</f>
        <v>BETHEL RD BRANDY OAKS CONDO UNIT 5281 BLDG 13</v>
      </c>
      <c r="D7659" s="1">
        <v>268.89</v>
      </c>
    </row>
    <row r="7660" spans="1:4" x14ac:dyDescent="0.3">
      <c r="A7660" s="1" t="str">
        <f>"23200006600"</f>
        <v>23200006600</v>
      </c>
      <c r="B7660" s="1" t="str">
        <f>"LOVINS RODGER D, LOVINS WILMA J"</f>
        <v>LOVINS RODGER D, LOVINS WILMA J</v>
      </c>
      <c r="C7660" s="1" t="str">
        <f>"OPOSSUM RUN RD REAR .0085 ACRE ENTRY 5766"</f>
        <v>OPOSSUM RUN RD REAR .0085 ACRE ENTRY 5766</v>
      </c>
      <c r="D7660" s="1">
        <v>12.18</v>
      </c>
    </row>
    <row r="7661" spans="1:4" x14ac:dyDescent="0.3">
      <c r="A7661" s="1" t="str">
        <f>"01014414700"</f>
        <v>01014414700</v>
      </c>
      <c r="B7661" s="1" t="str">
        <f>"LOVSEY VIRGINIA JUANITA"</f>
        <v>LOVSEY VIRGINIA JUANITA</v>
      </c>
      <c r="C7661" s="1" t="str">
        <f>"RIVERTON CT E YORKSHIRE E SEC 1 LOT 21"</f>
        <v>RIVERTON CT E YORKSHIRE E SEC 1 LOT 21</v>
      </c>
      <c r="D7661" s="1">
        <v>2629.98</v>
      </c>
    </row>
    <row r="7662" spans="1:4" x14ac:dyDescent="0.3">
      <c r="A7662" s="1" t="str">
        <f>"01020701400"</f>
        <v>01020701400</v>
      </c>
      <c r="B7662" s="1" t="str">
        <f>"LOWDER ANN KISER"</f>
        <v>LOWDER ANN KISER</v>
      </c>
      <c r="C7662" s="1" t="str">
        <f>"5746 BASTILLE PLACE TROUVILLE EAST CONDO PHASE 2 SEC 1 UNIT43"</f>
        <v>5746 BASTILLE PLACE TROUVILLE EAST CONDO PHASE 2 SEC 1 UNIT43</v>
      </c>
      <c r="D7662" s="1">
        <v>189.17</v>
      </c>
    </row>
    <row r="7663" spans="1:4" x14ac:dyDescent="0.3">
      <c r="A7663" s="1" t="str">
        <f>"18000446200"</f>
        <v>18000446200</v>
      </c>
      <c r="B7663" s="1" t="str">
        <f>"LOWE DAVID K TR"</f>
        <v>LOWE DAVID K TR</v>
      </c>
      <c r="C7663" s="1" t="str">
        <f>"FONTAINE RD QUALSTAN EAST 273"</f>
        <v>FONTAINE RD QUALSTAN EAST 273</v>
      </c>
      <c r="D7663" s="1">
        <v>1659.76</v>
      </c>
    </row>
    <row r="7664" spans="1:4" x14ac:dyDescent="0.3">
      <c r="A7664" s="1" t="str">
        <f>"01005803700"</f>
        <v>01005803700</v>
      </c>
      <c r="B7664" s="1" t="str">
        <f>"LOWE GLENN"</f>
        <v>LOWE GLENN</v>
      </c>
      <c r="C7664" s="1" t="str">
        <f>"443-5 MARION RD ALL OF 13&amp;3FT WS OF 14 BRODBELT"</f>
        <v>443-5 MARION RD ALL OF 13&amp;3FT WS OF 14 BRODBELT</v>
      </c>
      <c r="D7664" s="1">
        <v>3652.83</v>
      </c>
    </row>
    <row r="7665" spans="1:4" x14ac:dyDescent="0.3">
      <c r="A7665" s="1" t="str">
        <f>"06000235300"</f>
        <v>06000235300</v>
      </c>
      <c r="B7665" s="1" t="str">
        <f>"LOWE GREGORY A TR"</f>
        <v>LOWE GREGORY A TR</v>
      </c>
      <c r="C7665" s="1" t="str">
        <f>"MALONE DR H C HUBER PLAT 36 SEC 3 410"</f>
        <v>MALONE DR H C HUBER PLAT 36 SEC 3 410</v>
      </c>
      <c r="D7665" s="1">
        <v>3334.44</v>
      </c>
    </row>
    <row r="7666" spans="1:4" x14ac:dyDescent="0.3">
      <c r="A7666" s="1" t="str">
        <f>"19000208800"</f>
        <v>19000208800</v>
      </c>
      <c r="B7666" s="1" t="str">
        <f>"LOWERY DAVID"</f>
        <v>LOWERY DAVID</v>
      </c>
      <c r="C7666" s="1" t="str">
        <f>"2572 PARKWOOD AVE E LINDEN 5TH LOT 126"</f>
        <v>2572 PARKWOOD AVE E LINDEN 5TH LOT 126</v>
      </c>
      <c r="D7666" s="1">
        <v>2761.13</v>
      </c>
    </row>
    <row r="7667" spans="1:4" x14ac:dyDescent="0.3">
      <c r="A7667" s="1" t="str">
        <f>"01009816800"</f>
        <v>01009816800</v>
      </c>
      <c r="B7667" s="1" t="str">
        <f>"LOWES MARK, LOWES JULIE"</f>
        <v>LOWES MARK, LOWES JULIE</v>
      </c>
      <c r="C7667" s="1" t="str">
        <f>"3775 KARL ROAD .401 ACRE R18 T1 1/4 T1"</f>
        <v>3775 KARL ROAD .401 ACRE R18 T1 1/4 T1</v>
      </c>
      <c r="D7667" s="1">
        <v>2026.13</v>
      </c>
    </row>
    <row r="7668" spans="1:4" x14ac:dyDescent="0.3">
      <c r="A7668" s="1" t="str">
        <f>"01009800800"</f>
        <v>01009800800</v>
      </c>
      <c r="B7668" s="1" t="str">
        <f>"LOWRY JAMES H"</f>
        <v>LOWRY JAMES H</v>
      </c>
      <c r="C7668" s="1" t="str">
        <f>"2667 ST PATRICK RD BROOKSHIRE PK LOT 130"</f>
        <v>2667 ST PATRICK RD BROOKSHIRE PK LOT 130</v>
      </c>
      <c r="D7668" s="1">
        <v>126.93</v>
      </c>
    </row>
    <row r="7669" spans="1:4" x14ac:dyDescent="0.3">
      <c r="A7669" s="1" t="str">
        <f>"01029053400"</f>
        <v>01029053400</v>
      </c>
      <c r="B7669" s="1" t="str">
        <f>"LOY ALINA TTEE"</f>
        <v>LOY ALINA TTEE</v>
      </c>
      <c r="C7669" s="1" t="str">
        <f>"RESERVE AT PRESTON WOODS CONDOMINIUMS PH XIV 13TH AMD BLD 35 UNIT 5428"</f>
        <v>RESERVE AT PRESTON WOODS CONDOMINIUMS PH XIV 13TH AMD BLD 35 UNIT 5428</v>
      </c>
      <c r="D7669" s="1">
        <v>179.24</v>
      </c>
    </row>
    <row r="7670" spans="1:4" x14ac:dyDescent="0.3">
      <c r="A7670" s="1" t="str">
        <f>"06000015500"</f>
        <v>06000015500</v>
      </c>
      <c r="B7670" s="1" t="str">
        <f>"LOYNACHAN NORMA L"</f>
        <v>LOYNACHAN NORMA L</v>
      </c>
      <c r="C7670" s="1" t="str">
        <f>"LANCASTER AVE HIGHLAND TERRACE LOT 41-42-43"</f>
        <v>LANCASTER AVE HIGHLAND TERRACE LOT 41-42-43</v>
      </c>
      <c r="D7670" s="1">
        <v>147.72999999999999</v>
      </c>
    </row>
    <row r="7671" spans="1:4" x14ac:dyDescent="0.3">
      <c r="A7671" s="1" t="str">
        <f>"19000156900"</f>
        <v>19000156900</v>
      </c>
      <c r="B7671" s="1" t="str">
        <f>"LP AGLER LLC"</f>
        <v>LP AGLER LLC</v>
      </c>
      <c r="C7671" s="1" t="str">
        <f>"E LINDEN 3RD 45'S L X 127'W L IRR W S LOT 90"</f>
        <v>E LINDEN 3RD 45'S L X 127'W L IRR W S LOT 90</v>
      </c>
      <c r="D7671" s="1">
        <v>6251.18</v>
      </c>
    </row>
    <row r="7672" spans="1:4" x14ac:dyDescent="0.3">
      <c r="A7672" s="1" t="str">
        <f>"59023809300"</f>
        <v>59023809300</v>
      </c>
      <c r="B7672" s="1" t="str">
        <f>"LRDG LLC"</f>
        <v>LRDG LLC</v>
      </c>
      <c r="C7672" s="1" t="str">
        <f>"CIMMARON OFFICE PARK CONDOMINIUM 1ST AMD UNIT 3530G"</f>
        <v>CIMMARON OFFICE PARK CONDOMINIUM 1ST AMD UNIT 3530G</v>
      </c>
      <c r="D7672" s="1">
        <v>4776.62</v>
      </c>
    </row>
    <row r="7673" spans="1:4" x14ac:dyDescent="0.3">
      <c r="A7673" s="1" t="str">
        <f>"59021356300"</f>
        <v>59021356300</v>
      </c>
      <c r="B7673" s="1" t="str">
        <f>"LRDG LLC"</f>
        <v>LRDG LLC</v>
      </c>
      <c r="C7673" s="1" t="str">
        <f>"CIMMARON OFFICE PARK CONDOMINIUM UNIT 3520F"</f>
        <v>CIMMARON OFFICE PARK CONDOMINIUM UNIT 3520F</v>
      </c>
      <c r="D7673" s="1">
        <v>3740.17</v>
      </c>
    </row>
    <row r="7674" spans="1:4" x14ac:dyDescent="0.3">
      <c r="A7674" s="1" t="str">
        <f>"59021355900"</f>
        <v>59021355900</v>
      </c>
      <c r="B7674" s="1" t="str">
        <f>"LRDG LLC"</f>
        <v>LRDG LLC</v>
      </c>
      <c r="C7674" s="1" t="str">
        <f>"CIMMARON OFFICE PARK CONDOMINIUM UNIT 3520B"</f>
        <v>CIMMARON OFFICE PARK CONDOMINIUM UNIT 3520B</v>
      </c>
      <c r="D7674" s="1">
        <v>3784.83</v>
      </c>
    </row>
    <row r="7675" spans="1:4" x14ac:dyDescent="0.3">
      <c r="A7675" s="1" t="str">
        <f>"59021356600"</f>
        <v>59021356600</v>
      </c>
      <c r="B7675" s="1" t="str">
        <f>"LRDG LLC"</f>
        <v>LRDG LLC</v>
      </c>
      <c r="C7675" s="1" t="str">
        <f>"CIMMARON OFFICE PARK CONDOMINIUM UNIT 3530C"</f>
        <v>CIMMARON OFFICE PARK CONDOMINIUM UNIT 3530C</v>
      </c>
      <c r="D7675" s="1">
        <v>3676.11</v>
      </c>
    </row>
    <row r="7676" spans="1:4" x14ac:dyDescent="0.3">
      <c r="A7676" s="1" t="str">
        <f>"59021356000"</f>
        <v>59021356000</v>
      </c>
      <c r="B7676" s="1" t="str">
        <f>"LRDG LLC"</f>
        <v>LRDG LLC</v>
      </c>
      <c r="C7676" s="1" t="str">
        <f>"CIMMARON OFFICE PARK CONDOMINIUM UNIT 3520C"</f>
        <v>CIMMARON OFFICE PARK CONDOMINIUM UNIT 3520C</v>
      </c>
      <c r="D7676" s="1">
        <v>2983.2</v>
      </c>
    </row>
    <row r="7677" spans="1:4" x14ac:dyDescent="0.3">
      <c r="A7677" s="1" t="str">
        <f>"59021355800"</f>
        <v>59021355800</v>
      </c>
      <c r="B7677" s="1" t="str">
        <f>"LRDG LLC"</f>
        <v>LRDG LLC</v>
      </c>
      <c r="C7677" s="1" t="str">
        <f>"CIMMARON OFFICE PARK CONDOMINIUM UNIT 3520A"</f>
        <v>CIMMARON OFFICE PARK CONDOMINIUM UNIT 3520A</v>
      </c>
      <c r="D7677" s="1">
        <v>8505.15</v>
      </c>
    </row>
    <row r="7678" spans="1:4" x14ac:dyDescent="0.3">
      <c r="A7678" s="1" t="str">
        <f>"59021356800"</f>
        <v>59021356800</v>
      </c>
      <c r="B7678" s="1" t="str">
        <f>"LRDG LLC"</f>
        <v>LRDG LLC</v>
      </c>
      <c r="C7678" s="1" t="str">
        <f>"CIMMARON OFFICE PARK CONDOMINIUM UNIT 3530E"</f>
        <v>CIMMARON OFFICE PARK CONDOMINIUM UNIT 3530E</v>
      </c>
      <c r="D7678" s="1">
        <v>3794.53</v>
      </c>
    </row>
    <row r="7679" spans="1:4" x14ac:dyDescent="0.3">
      <c r="A7679" s="1" t="str">
        <f>"59021356200"</f>
        <v>59021356200</v>
      </c>
      <c r="B7679" s="1" t="str">
        <f>"LRDG LLC"</f>
        <v>LRDG LLC</v>
      </c>
      <c r="C7679" s="1" t="str">
        <f>"CIMMARON OFFICE PARK CONDOMINIUM UNIT 3520E"</f>
        <v>CIMMARON OFFICE PARK CONDOMINIUM UNIT 3520E</v>
      </c>
      <c r="D7679" s="1">
        <v>8022.84</v>
      </c>
    </row>
    <row r="7680" spans="1:4" x14ac:dyDescent="0.3">
      <c r="A7680" s="1" t="str">
        <f>"59021356700"</f>
        <v>59021356700</v>
      </c>
      <c r="B7680" s="1" t="str">
        <f>"LRDG LLC"</f>
        <v>LRDG LLC</v>
      </c>
      <c r="C7680" s="1" t="str">
        <f>"CIMMARON OFFICE PARK CONDOMINIUM UNIT 3530D"</f>
        <v>CIMMARON OFFICE PARK CONDOMINIUM UNIT 3530D</v>
      </c>
      <c r="D7680" s="1">
        <v>3417.96</v>
      </c>
    </row>
    <row r="7681" spans="1:4" x14ac:dyDescent="0.3">
      <c r="A7681" s="1" t="str">
        <f>"59021356400"</f>
        <v>59021356400</v>
      </c>
      <c r="B7681" s="1" t="str">
        <f>"LRDG LLC"</f>
        <v>LRDG LLC</v>
      </c>
      <c r="C7681" s="1" t="str">
        <f>"CIMMARON OFFICE PARK CONDOMINIUM UNIT 3530A"</f>
        <v>CIMMARON OFFICE PARK CONDOMINIUM UNIT 3530A</v>
      </c>
      <c r="D7681" s="1">
        <v>7785.07</v>
      </c>
    </row>
    <row r="7682" spans="1:4" x14ac:dyDescent="0.3">
      <c r="A7682" s="1" t="str">
        <f>"59021356100"</f>
        <v>59021356100</v>
      </c>
      <c r="B7682" s="1" t="str">
        <f>"LRDG LLC"</f>
        <v>LRDG LLC</v>
      </c>
      <c r="C7682" s="1" t="str">
        <f>"CIMMARON OFFICE PARK CONDOMINIUM UNIT 3520D"</f>
        <v>CIMMARON OFFICE PARK CONDOMINIUM UNIT 3520D</v>
      </c>
      <c r="D7682" s="1">
        <v>3478.15</v>
      </c>
    </row>
    <row r="7683" spans="1:4" x14ac:dyDescent="0.3">
      <c r="A7683" s="1" t="str">
        <f>"59023809200"</f>
        <v>59023809200</v>
      </c>
      <c r="B7683" s="1" t="str">
        <f>"LRDG LLC"</f>
        <v>LRDG LLC</v>
      </c>
      <c r="C7683" s="1" t="str">
        <f>"CIMMARON OFFICE PARK CONDOMINIUM 1ST AMD UNIT 3530F"</f>
        <v>CIMMARON OFFICE PARK CONDOMINIUM 1ST AMD UNIT 3530F</v>
      </c>
      <c r="D7683" s="1">
        <v>3396.62</v>
      </c>
    </row>
    <row r="7684" spans="1:4" x14ac:dyDescent="0.3">
      <c r="A7684" s="1" t="str">
        <f>"59021356500"</f>
        <v>59021356500</v>
      </c>
      <c r="B7684" s="1" t="str">
        <f>"LRDG LLC"</f>
        <v>LRDG LLC</v>
      </c>
      <c r="C7684" s="1" t="str">
        <f>"CIMMARON OFFICE PARK CONDOMINIUM UNIT 3530B"</f>
        <v>CIMMARON OFFICE PARK CONDOMINIUM UNIT 3530B</v>
      </c>
      <c r="D7684" s="1">
        <v>3784.83</v>
      </c>
    </row>
    <row r="7685" spans="1:4" x14ac:dyDescent="0.3">
      <c r="A7685" s="1" t="str">
        <f>"01005120000"</f>
        <v>01005120000</v>
      </c>
      <c r="B7685" s="1" t="str">
        <f>"LTR HOMES LLC"</f>
        <v>LTR HOMES LLC</v>
      </c>
      <c r="C7685" s="1" t="str">
        <f>"440SRICHARDSONAVE 27FTS S BRONX LOT 190"</f>
        <v>440SRICHARDSONAVE 27FTS S BRONX LOT 190</v>
      </c>
      <c r="D7685" s="1">
        <v>797.27</v>
      </c>
    </row>
    <row r="7686" spans="1:4" x14ac:dyDescent="0.3">
      <c r="A7686" s="1" t="str">
        <f>"01019183200"</f>
        <v>01019183200</v>
      </c>
      <c r="B7686" s="1" t="str">
        <f>"LUA PILIANG"</f>
        <v>LUA PILIANG</v>
      </c>
      <c r="C7686" s="1" t="str">
        <f>"OLENTANGY THE CONDOMINIUM BLDG 8 UNIT 8-4811F"</f>
        <v>OLENTANGY THE CONDOMINIUM BLDG 8 UNIT 8-4811F</v>
      </c>
      <c r="D7686" s="1">
        <v>2522.1799999999998</v>
      </c>
    </row>
    <row r="7687" spans="1:4" x14ac:dyDescent="0.3">
      <c r="A7687" s="1" t="str">
        <f>"01014735600"</f>
        <v>01014735600</v>
      </c>
      <c r="B7687" s="1" t="str">
        <f>"LUCAS DONALD A, LUCAS PATRICIA A"</f>
        <v>LUCAS DONALD A, LUCAS PATRICIA A</v>
      </c>
      <c r="C7687" s="1" t="str">
        <f>"KNOLLS WEST SEC 3 LOT 144 "</f>
        <v xml:space="preserve">KNOLLS WEST SEC 3 LOT 144 </v>
      </c>
      <c r="D7687" s="1">
        <v>219.11</v>
      </c>
    </row>
    <row r="7688" spans="1:4" x14ac:dyDescent="0.3">
      <c r="A7688" s="1" t="str">
        <f>"01002603300"</f>
        <v>01002603300</v>
      </c>
      <c r="B7688" s="1" t="str">
        <f>"LUCAS WILLIAM J"</f>
        <v>LUCAS WILLIAM J</v>
      </c>
      <c r="C7688" s="1" t="str">
        <f>"201 E OAKLAND AVE NORTHWOOD PK LOT 87-88"</f>
        <v>201 E OAKLAND AVE NORTHWOOD PK LOT 87-88</v>
      </c>
      <c r="D7688" s="1">
        <v>3636.11</v>
      </c>
    </row>
    <row r="7689" spans="1:4" x14ac:dyDescent="0.3">
      <c r="A7689" s="1" t="str">
        <f>"01026007200"</f>
        <v>01026007200</v>
      </c>
      <c r="B7689" s="1" t="str">
        <f>"LUCCIS 3800 INC"</f>
        <v>LUCCIS 3800 INC</v>
      </c>
      <c r="C7689" s="1" t="s">
        <v>30</v>
      </c>
      <c r="D7689" s="1">
        <v>7.61</v>
      </c>
    </row>
    <row r="7690" spans="1:4" x14ac:dyDescent="0.3">
      <c r="A7690" s="1" t="str">
        <f>"01011468700"</f>
        <v>01011468700</v>
      </c>
      <c r="B7690" s="1" t="str">
        <f>"LUCERO EDGAR, LUCERO ESMERALDA"</f>
        <v>LUCERO EDGAR, LUCERO ESMERALDA</v>
      </c>
      <c r="C7690" s="1" t="str">
        <f>"FABER AVE ACRES .328 R22T4S2"</f>
        <v>FABER AVE ACRES .328 R22T4S2</v>
      </c>
      <c r="D7690" s="1">
        <v>1498.39</v>
      </c>
    </row>
    <row r="7691" spans="1:4" x14ac:dyDescent="0.3">
      <c r="A7691" s="1" t="str">
        <f>"51022946200"</f>
        <v>51022946200</v>
      </c>
      <c r="B7691" s="1" t="str">
        <f>"LUCKY STEPHANIE D"</f>
        <v>LUCKY STEPHANIE D</v>
      </c>
      <c r="C7691" s="1" t="str">
        <f>"HAMILTON HEIGHTS SECTION 2 PART 1 LOT 46"</f>
        <v>HAMILTON HEIGHTS SECTION 2 PART 1 LOT 46</v>
      </c>
      <c r="D7691" s="1">
        <v>3744.76</v>
      </c>
    </row>
    <row r="7692" spans="1:4" x14ac:dyDescent="0.3">
      <c r="A7692" s="1" t="str">
        <f>"56018607600"</f>
        <v>56018607600</v>
      </c>
      <c r="B7692" s="1" t="str">
        <f>"LUDOWESE KATHY M"</f>
        <v>LUDOWESE KATHY M</v>
      </c>
      <c r="C7692" s="1" t="str">
        <f>"GRIGGSVIEW CT WALDEN NORTH CONDO BLDG 1 UNIT 3113"</f>
        <v>GRIGGSVIEW CT WALDEN NORTH CONDO BLDG 1 UNIT 3113</v>
      </c>
      <c r="D7692" s="1">
        <v>2629.95</v>
      </c>
    </row>
    <row r="7693" spans="1:4" x14ac:dyDescent="0.3">
      <c r="A7693" s="1" t="str">
        <f>"22200088100"</f>
        <v>22200088100</v>
      </c>
      <c r="B7693" s="1" t="str">
        <f>"LUDWIG ROBERT R, LUDWIG KAREN S"</f>
        <v>LUDWIG ROBERT R, LUDWIG KAREN S</v>
      </c>
      <c r="C7693" s="1" t="str">
        <f>"S RT 161 R16 T2 1/4T3 1.103 ACRES LOT 8"</f>
        <v>S RT 161 R16 T2 1/4T3 1.103 ACRES LOT 8</v>
      </c>
      <c r="D7693" s="1">
        <v>9.9</v>
      </c>
    </row>
    <row r="7694" spans="1:4" x14ac:dyDescent="0.3">
      <c r="A7694" s="1" t="str">
        <f>"01020156800"</f>
        <v>01020156800</v>
      </c>
      <c r="B7694" s="1" t="str">
        <f>"LUFT MARGARET TR"</f>
        <v>LUFT MARGARET TR</v>
      </c>
      <c r="C7694" s="1" t="str">
        <f>"KARL RD NORTHLAND SENIOR VIL CONDO 2 UNIT 227"</f>
        <v>KARL RD NORTHLAND SENIOR VIL CONDO 2 UNIT 227</v>
      </c>
      <c r="D7694" s="1">
        <v>7.82</v>
      </c>
    </row>
    <row r="7695" spans="1:4" x14ac:dyDescent="0.3">
      <c r="A7695" s="1" t="str">
        <f>"01004315700"</f>
        <v>01004315700</v>
      </c>
      <c r="B7695" s="1" t="str">
        <f>"LUI STAN"</f>
        <v>LUI STAN</v>
      </c>
      <c r="C7695" s="1" t="str">
        <f>"1892 S 3RD ST 25FT SS LYONS LOT 8"</f>
        <v>1892 S 3RD ST 25FT SS LYONS LOT 8</v>
      </c>
      <c r="D7695" s="1">
        <v>49.88</v>
      </c>
    </row>
    <row r="7696" spans="1:4" x14ac:dyDescent="0.3">
      <c r="A7696" s="1" t="str">
        <f>"60014615800"</f>
        <v>60014615800</v>
      </c>
      <c r="B7696" s="1" t="str">
        <f>"LUIS YADLIN S, CHAVEZ-POSADAS JUAN JOSE"</f>
        <v>LUIS YADLIN S, CHAVEZ-POSADAS JUAN JOSE</v>
      </c>
      <c r="C7696" s="1" t="str">
        <f>"2383 HALKIRK N SCOTLAND LOT 66 "</f>
        <v xml:space="preserve">2383 HALKIRK N SCOTLAND LOT 66 </v>
      </c>
      <c r="D7696" s="1">
        <v>3451.58</v>
      </c>
    </row>
    <row r="7697" spans="1:4" x14ac:dyDescent="0.3">
      <c r="A7697" s="1" t="str">
        <f>"01009236200"</f>
        <v>01009236200</v>
      </c>
      <c r="B7697" s="1" t="str">
        <f>"LULET PROPERTIES LLC"</f>
        <v>LULET PROPERTIES LLC</v>
      </c>
      <c r="C7697" s="1" t="str">
        <f>"3098 E 13TH AVE CASSADY-PEAKE MEADOW LOT 121"</f>
        <v>3098 E 13TH AVE CASSADY-PEAKE MEADOW LOT 121</v>
      </c>
      <c r="D7697" s="1">
        <v>102.72</v>
      </c>
    </row>
    <row r="7698" spans="1:4" x14ac:dyDescent="0.3">
      <c r="A7698" s="1" t="str">
        <f>"14100009400"</f>
        <v>14100009400</v>
      </c>
      <c r="B7698" s="1" t="str">
        <f>"LULET PROPERTIES LLC"</f>
        <v>LULET PROPERTIES LLC</v>
      </c>
      <c r="C7698" s="1" t="str">
        <f>"445 HIGHLAND AVE PROSPECT PK 120 "</f>
        <v xml:space="preserve">445 HIGHLAND AVE PROSPECT PK 120 </v>
      </c>
      <c r="D7698" s="1">
        <v>71.06</v>
      </c>
    </row>
    <row r="7699" spans="1:4" x14ac:dyDescent="0.3">
      <c r="A7699" s="1" t="str">
        <f>"01004421900"</f>
        <v>01004421900</v>
      </c>
      <c r="B7699" s="1" t="str">
        <f>"LULET PROPERTIES LLC"</f>
        <v>LULET PROPERTIES LLC</v>
      </c>
      <c r="C7699" s="1" t="str">
        <f>"772 E STARR AVE BIDLEMAN LOTS 272 &amp; 273"</f>
        <v>772 E STARR AVE BIDLEMAN LOTS 272 &amp; 273</v>
      </c>
      <c r="D7699" s="1">
        <v>705.38</v>
      </c>
    </row>
    <row r="7700" spans="1:4" x14ac:dyDescent="0.3">
      <c r="A7700" s="1" t="str">
        <f>"01000917200"</f>
        <v>01000917200</v>
      </c>
      <c r="B7700" s="1" t="str">
        <f>"LULET PROPERTIES, LLC, AN OHIO LIMITED LIABILITY COMPANY"</f>
        <v>LULET PROPERTIES, LLC, AN OHIO LIMITED LIABILITY COMPANY</v>
      </c>
      <c r="C7700" s="1" t="str">
        <f>"1417 E FOURTH AVE DEVON LOT 45"</f>
        <v>1417 E FOURTH AVE DEVON LOT 45</v>
      </c>
      <c r="D7700" s="1">
        <v>114.88</v>
      </c>
    </row>
    <row r="7701" spans="1:4" x14ac:dyDescent="0.3">
      <c r="A7701" s="1" t="str">
        <f>"01009248000"</f>
        <v>01009248000</v>
      </c>
      <c r="B7701" s="1" t="str">
        <f>"LUMLEY TAYLOR, LUMLEY KIMBERLY"</f>
        <v>LUMLEY TAYLOR, LUMLEY KIMBERLY</v>
      </c>
      <c r="C7701" s="1" t="str">
        <f>"12TH AVE CASSADY-PEAKE MEADOWS LOT 236"</f>
        <v>12TH AVE CASSADY-PEAKE MEADOWS LOT 236</v>
      </c>
      <c r="D7701" s="1">
        <v>677.53</v>
      </c>
    </row>
    <row r="7702" spans="1:4" x14ac:dyDescent="0.3">
      <c r="A7702" s="1" t="str">
        <f>"01012996300"</f>
        <v>01012996300</v>
      </c>
      <c r="B7702" s="1" t="str">
        <f>"LUN HUAI"</f>
        <v>LUN HUAI</v>
      </c>
      <c r="C7702" s="1" t="str">
        <f>"HAZELWOOD RD FOREST PARK LOT 22"</f>
        <v>HAZELWOOD RD FOREST PARK LOT 22</v>
      </c>
      <c r="D7702" s="1">
        <v>176.56</v>
      </c>
    </row>
    <row r="7703" spans="1:4" x14ac:dyDescent="0.3">
      <c r="A7703" s="1" t="str">
        <f>"01013465500"</f>
        <v>01013465500</v>
      </c>
      <c r="B7703" s="1" t="str">
        <f>"LUNDHOLM LYNN G"</f>
        <v>LUNDHOLM LYNN G</v>
      </c>
      <c r="C7703" s="1" t="str">
        <f>"OLDE SETTLER PL THE KNOLLS SEC 3 LOT 175"</f>
        <v>OLDE SETTLER PL THE KNOLLS SEC 3 LOT 175</v>
      </c>
      <c r="D7703" s="1">
        <v>7303.44</v>
      </c>
    </row>
    <row r="7704" spans="1:4" x14ac:dyDescent="0.3">
      <c r="A7704" s="1" t="str">
        <f>"01005697900"</f>
        <v>01005697900</v>
      </c>
      <c r="B7704" s="1" t="str">
        <f>"LUNDY HOLDINGS LLC"</f>
        <v>LUNDY HOLDINGS LLC</v>
      </c>
      <c r="C7704" s="1" t="str">
        <f>"31-33LUNDYST31.5FT        FRTX29.7FTRRX112.6        HIBBARDRES               "</f>
        <v xml:space="preserve">31-33LUNDYST31.5FT        FRTX29.7FTRRX112.6        HIBBARDRES               </v>
      </c>
      <c r="D7704" s="1">
        <v>4166.03</v>
      </c>
    </row>
    <row r="7705" spans="1:4" x14ac:dyDescent="0.3">
      <c r="A7705" s="1" t="str">
        <f>"01005555100"</f>
        <v>01005555100</v>
      </c>
      <c r="B7705" s="1" t="str">
        <f>"LUNDY INVESTMENTS LLC"</f>
        <v>LUNDY INVESTMENTS LLC</v>
      </c>
      <c r="C7705" s="1" t="str">
        <f>"27-29LUNDYST28X111.6 FTNECORHUBBARDRES "</f>
        <v xml:space="preserve">27-29LUNDYST28X111.6 FTNECORHUBBARDRES </v>
      </c>
      <c r="D7705" s="1">
        <v>4188.79</v>
      </c>
    </row>
    <row r="7706" spans="1:4" x14ac:dyDescent="0.3">
      <c r="A7706" s="1" t="str">
        <f>"01006192000"</f>
        <v>01006192000</v>
      </c>
      <c r="B7706" s="1" t="str">
        <f>"LUNO REAL ESTATE INVESTMENTS LLC"</f>
        <v>LUNO REAL ESTATE INVESTMENTS LLC</v>
      </c>
      <c r="C7706" s="1" t="str">
        <f>"1270 KING AVE             NEIL HRS                  LOT 16 &amp; PT LOT 15       "</f>
        <v xml:space="preserve">1270 KING AVE             NEIL HRS                  LOT 16 &amp; PT LOT 15       </v>
      </c>
      <c r="D7706" s="1">
        <v>6827.79</v>
      </c>
    </row>
    <row r="7707" spans="1:4" x14ac:dyDescent="0.3">
      <c r="A7707" s="1" t="str">
        <f>"51525939300"</f>
        <v>51525939300</v>
      </c>
      <c r="B7707" s="1" t="str">
        <f>"LUNSFORD JAMES, SHEPARD ZACKERY"</f>
        <v>LUNSFORD JAMES, SHEPARD ZACKERY</v>
      </c>
      <c r="C7707" s="1" t="str">
        <f>"WAGGONER PARK CONDOMINIUM 2ND AMD UNIT 99"</f>
        <v>WAGGONER PARK CONDOMINIUM 2ND AMD UNIT 99</v>
      </c>
      <c r="D7707" s="1">
        <v>1792.9</v>
      </c>
    </row>
    <row r="7708" spans="1:4" x14ac:dyDescent="0.3">
      <c r="A7708" s="1" t="str">
        <f>"01009141400"</f>
        <v>01009141400</v>
      </c>
      <c r="B7708" s="1" t="str">
        <f>"LUPIA MICHAEL"</f>
        <v>LUPIA MICHAEL</v>
      </c>
      <c r="C7708" s="1" t="str">
        <f>"ASTOR AVE EASTHAMPTON LOT 190"</f>
        <v>ASTOR AVE EASTHAMPTON LOT 190</v>
      </c>
      <c r="D7708" s="1">
        <v>708.18</v>
      </c>
    </row>
    <row r="7709" spans="1:4" x14ac:dyDescent="0.3">
      <c r="A7709" s="1" t="str">
        <f>"01023815900"</f>
        <v>01023815900</v>
      </c>
      <c r="B7709" s="1" t="str">
        <f>"LUPIA MICHAEL"</f>
        <v>LUPIA MICHAEL</v>
      </c>
      <c r="C7709" s="1" t="str">
        <f>"ASTOR AVE (REAR) EASTHAMPTON 8'X17' VAC ALLEY"</f>
        <v>ASTOR AVE (REAR) EASTHAMPTON 8'X17' VAC ALLEY</v>
      </c>
      <c r="D7709" s="1">
        <v>4.55</v>
      </c>
    </row>
    <row r="7710" spans="1:4" x14ac:dyDescent="0.3">
      <c r="A7710" s="1" t="str">
        <f>"54512586800"</f>
        <v>54512586800</v>
      </c>
      <c r="B7710" s="1" t="str">
        <f>"LURIE FAMILY LIMITED PARTNERSHIP"</f>
        <v>LURIE FAMILY LIMITED PARTNERSHIP</v>
      </c>
      <c r="C7710" s="1" t="str">
        <f>"HAMILTON RD R16 T2 1/4T3 1.105 ACRES"</f>
        <v>HAMILTON RD R16 T2 1/4T3 1.105 ACRES</v>
      </c>
      <c r="D7710" s="1">
        <v>1654.59</v>
      </c>
    </row>
    <row r="7711" spans="1:4" x14ac:dyDescent="0.3">
      <c r="A7711" s="1" t="str">
        <f>"59017311700"</f>
        <v>59017311700</v>
      </c>
      <c r="B7711" s="1" t="str">
        <f>"LUSCH LINDA E"</f>
        <v>LUSCH LINDA E</v>
      </c>
      <c r="C7711" s="1" t="str">
        <f>"OLDE SAWMILL BLVD OLDE SAWMILL SEC 2 LOT 292"</f>
        <v>OLDE SAWMILL BLVD OLDE SAWMILL SEC 2 LOT 292</v>
      </c>
      <c r="D7711" s="1">
        <v>8703.23</v>
      </c>
    </row>
    <row r="7712" spans="1:4" x14ac:dyDescent="0.3">
      <c r="A7712" s="1" t="str">
        <f>"56025127700"</f>
        <v>56025127700</v>
      </c>
      <c r="B7712" s="1" t="str">
        <f>"LUTZ JONATHAN, KHORN KIMLANG"</f>
        <v>LUTZ JONATHAN, KHORN KIMLANG</v>
      </c>
      <c r="C7712" s="1" t="str">
        <f>"PRIVILEGE DRIVE WESTBROOKE PARK SECTION 5 LOT 190"</f>
        <v>PRIVILEGE DRIVE WESTBROOKE PARK SECTION 5 LOT 190</v>
      </c>
      <c r="D7712" s="1">
        <v>361.22</v>
      </c>
    </row>
    <row r="7713" spans="1:4" x14ac:dyDescent="0.3">
      <c r="A7713" s="1" t="str">
        <f>"24000149400"</f>
        <v>24000149400</v>
      </c>
      <c r="B7713" s="1" t="str">
        <f>"LUVEX ENTERPRISES LLC"</f>
        <v>LUVEX ENTERPRISES LLC</v>
      </c>
      <c r="C7713" s="1" t="str">
        <f>"NW COR EMMET &amp; HITES WEST COLUMBUS PARK LOT 475"</f>
        <v>NW COR EMMET &amp; HITES WEST COLUMBUS PARK LOT 475</v>
      </c>
      <c r="D7713" s="1">
        <v>420.19</v>
      </c>
    </row>
    <row r="7714" spans="1:4" x14ac:dyDescent="0.3">
      <c r="A7714" s="1" t="str">
        <f>"01030117400"</f>
        <v>01030117400</v>
      </c>
      <c r="B7714" s="1" t="str">
        <f>"LUXE MANAGEMENT LLC"</f>
        <v>LUXE MANAGEMENT LLC</v>
      </c>
      <c r="C7714" s="1" t="str">
        <f>"E LIVINGSTON AVE LIVINGSTON &amp; CITY PARK 0.014 ACRE"</f>
        <v>E LIVINGSTON AVE LIVINGSTON &amp; CITY PARK 0.014 ACRE</v>
      </c>
      <c r="D7714" s="1">
        <v>411.58</v>
      </c>
    </row>
    <row r="7715" spans="1:4" x14ac:dyDescent="0.3">
      <c r="A7715" s="1" t="str">
        <f>"01004298200"</f>
        <v>01004298200</v>
      </c>
      <c r="B7715" s="1" t="str">
        <f>"LUXE MANAGEMENT LLC, WICKFORD HOLDINGS LLC"</f>
        <v>LUXE MANAGEMENT LLC, WICKFORD HOLDINGS LLC</v>
      </c>
      <c r="C7715" s="1" t="str">
        <f>"CITY PARK AVE MCGOWAN BLOCK ADD 152.4' WL, 62.5' SL IRR NE COR PT LOT 11"</f>
        <v>CITY PARK AVE MCGOWAN BLOCK ADD 152.4' WL, 62.5' SL IRR NE COR PT LOT 11</v>
      </c>
      <c r="D7715" s="1">
        <v>8130.83</v>
      </c>
    </row>
    <row r="7716" spans="1:4" x14ac:dyDescent="0.3">
      <c r="A7716" s="1" t="str">
        <f>"27300538400"</f>
        <v>27300538400</v>
      </c>
      <c r="B7716" s="1" t="str">
        <f>"LUXOR INVESTMENTS LLC"</f>
        <v>LUXOR INVESTMENTS LLC</v>
      </c>
      <c r="C7716" s="1" t="str">
        <f>"TUTTLE ROAD ENTRY 3011 2.766 ACRES"</f>
        <v>TUTTLE ROAD ENTRY 3011 2.766 ACRES</v>
      </c>
      <c r="D7716" s="1">
        <v>16697.22</v>
      </c>
    </row>
    <row r="7717" spans="1:4" x14ac:dyDescent="0.3">
      <c r="A7717" s="1" t="str">
        <f>"01001256300"</f>
        <v>01001256300</v>
      </c>
      <c r="B7717" s="1" t="str">
        <f>"LUZ EVERARDO SANDAVOL"</f>
        <v>LUZ EVERARDO SANDAVOL</v>
      </c>
      <c r="C7717" s="1" t="str">
        <f>"763 W RICH ST MARTINS WESTERN LOT 109"</f>
        <v>763 W RICH ST MARTINS WESTERN LOT 109</v>
      </c>
      <c r="D7717" s="1">
        <v>1764.53</v>
      </c>
    </row>
    <row r="7718" spans="1:4" x14ac:dyDescent="0.3">
      <c r="A7718" s="1" t="str">
        <f>"14000556300"</f>
        <v>14000556300</v>
      </c>
      <c r="B7718" s="1" t="str">
        <f>"LYDAY GLENN A, LYDAY JANICE L"</f>
        <v>LYDAY GLENN A, LYDAY JANICE L</v>
      </c>
      <c r="C7718" s="1" t="str">
        <f>"3241 BIG RUN RD ACRES 1. "</f>
        <v xml:space="preserve">3241 BIG RUN RD ACRES 1. </v>
      </c>
      <c r="D7718" s="1">
        <v>5.13</v>
      </c>
    </row>
    <row r="7719" spans="1:4" x14ac:dyDescent="0.3">
      <c r="A7719" s="1" t="str">
        <f>"04000705600"</f>
        <v>04000705600</v>
      </c>
      <c r="B7719" s="1" t="str">
        <f>"LYKINS MATTHEW E, LYKINS REBECCA K"</f>
        <v>LYKINS MATTHEW E, LYKINS REBECCA K</v>
      </c>
      <c r="C7719" s="1" t="str">
        <f>"GROVEPARK DRIVE FARMBROOK SECTION 1 LOT 64"</f>
        <v>GROVEPARK DRIVE FARMBROOK SECTION 1 LOT 64</v>
      </c>
      <c r="D7719" s="1">
        <v>259.72000000000003</v>
      </c>
    </row>
    <row r="7720" spans="1:4" x14ac:dyDescent="0.3">
      <c r="A7720" s="1" t="str">
        <f>"01001725800"</f>
        <v>01001725800</v>
      </c>
      <c r="B7720" s="1" t="str">
        <f>"LYLE INVESTMENTS LLC"</f>
        <v>LYLE INVESTMENTS LLC</v>
      </c>
      <c r="C7720" s="1" t="str">
        <f>"800 OHIO AVE OLD ORCHARD LOT 128"</f>
        <v>800 OHIO AVE OLD ORCHARD LOT 128</v>
      </c>
      <c r="D7720" s="1">
        <v>169.73</v>
      </c>
    </row>
    <row r="7721" spans="1:4" x14ac:dyDescent="0.3">
      <c r="A7721" s="1" t="str">
        <f>"01003131900"</f>
        <v>01003131900</v>
      </c>
      <c r="B7721" s="1" t="str">
        <f>"LYMAN REMINGTON PERRY"</f>
        <v>LYMAN REMINGTON PERRY</v>
      </c>
      <c r="C7721" s="1" t="str">
        <f>"1584-6 BRYDEN RD MONETTS FRANKLIN PK LOT 17"</f>
        <v>1584-6 BRYDEN RD MONETTS FRANKLIN PK LOT 17</v>
      </c>
      <c r="D7721" s="1">
        <v>2716.97</v>
      </c>
    </row>
    <row r="7722" spans="1:4" x14ac:dyDescent="0.3">
      <c r="A7722" s="1" t="str">
        <f>"01014171100"</f>
        <v>01014171100</v>
      </c>
      <c r="B7722" s="1" t="str">
        <f>"LYMON EBONY"</f>
        <v>LYMON EBONY</v>
      </c>
      <c r="C7722" s="1" t="str">
        <f>"GLENSHIRE DR SOMERSET 1 LOT 243"</f>
        <v>GLENSHIRE DR SOMERSET 1 LOT 243</v>
      </c>
      <c r="D7722" s="1">
        <v>2489.61</v>
      </c>
    </row>
    <row r="7723" spans="1:4" x14ac:dyDescent="0.3">
      <c r="A7723" s="1" t="str">
        <f>"06000566000"</f>
        <v>06000566000</v>
      </c>
      <c r="B7723" s="1" t="str">
        <f>"LYMON SEAN C, ROBINSON-LYMON MICHELLE R"</f>
        <v>LYMON SEAN C, ROBINSON-LYMON MICHELLE R</v>
      </c>
      <c r="C7723" s="1" t="str">
        <f>"6514 BELLTREE DR EASTSHIRE LOT 1"</f>
        <v>6514 BELLTREE DR EASTSHIRE LOT 1</v>
      </c>
      <c r="D7723" s="1">
        <v>2790.72</v>
      </c>
    </row>
    <row r="7724" spans="1:4" x14ac:dyDescent="0.3">
      <c r="A7724" s="1" t="str">
        <f>"01028629500"</f>
        <v>01028629500</v>
      </c>
      <c r="B7724" s="1" t="str">
        <f>"LYNAUGH BRANDON, LYNAUGH SARA"</f>
        <v>LYNAUGH BRANDON, LYNAUGH SARA</v>
      </c>
      <c r="C7724" s="1" t="str">
        <f>"THE METROPOLITAN CONDOMINIUM UNIT 204"</f>
        <v>THE METROPOLITAN CONDOMINIUM UNIT 204</v>
      </c>
      <c r="D7724" s="1">
        <v>361.42</v>
      </c>
    </row>
    <row r="7725" spans="1:4" x14ac:dyDescent="0.3">
      <c r="A7725" s="1" t="str">
        <f>"05000603000"</f>
        <v>05000603000</v>
      </c>
      <c r="B7725" s="1" t="str">
        <f>"LYNCH JOHN W, LYNCH JODENE M"</f>
        <v>LYNCH JOHN W, LYNCH JODENE M</v>
      </c>
      <c r="C7725" s="1" t="str">
        <f>"CARRINGTON PLACE SECTION 1 LOT 4"</f>
        <v>CARRINGTON PLACE SECTION 1 LOT 4</v>
      </c>
      <c r="D7725" s="1">
        <v>1059.1600000000001</v>
      </c>
    </row>
    <row r="7726" spans="1:4" x14ac:dyDescent="0.3">
      <c r="A7726" s="1" t="str">
        <f>"01000445600"</f>
        <v>01000445600</v>
      </c>
      <c r="B7726" s="1" t="str">
        <f>"LYNCH LAWRENCE, JOHNSON LOIS T TR"</f>
        <v>LYNCH LAWRENCE, JOHNSON LOIS T TR</v>
      </c>
      <c r="C7726" s="1" t="str">
        <f>"77 N 22ND ST JOYCE&amp;SHELDON SUB 50"</f>
        <v>77 N 22ND ST JOYCE&amp;SHELDON SUB 50</v>
      </c>
      <c r="D7726" s="1">
        <v>1412.44</v>
      </c>
    </row>
    <row r="7727" spans="1:4" x14ac:dyDescent="0.3">
      <c r="A7727" s="1" t="str">
        <f>"01026881400"</f>
        <v>01026881400</v>
      </c>
      <c r="B7727" s="1" t="str">
        <f>"LYNCH MICHAEL F, LYNCH CELESTE M"</f>
        <v>LYNCH MICHAEL F, LYNCH CELESTE M</v>
      </c>
      <c r="C7727" s="1" t="str">
        <f>"NEW ALBANY PARK           CONDOMINIUM 6TH AMD       BLDG 15 UNIT 15-7020     "</f>
        <v xml:space="preserve">NEW ALBANY PARK           CONDOMINIUM 6TH AMD       BLDG 15 UNIT 15-7020     </v>
      </c>
      <c r="D7727" s="1">
        <v>1736.9</v>
      </c>
    </row>
    <row r="7728" spans="1:4" x14ac:dyDescent="0.3">
      <c r="A7728" s="1" t="str">
        <f>"06700006500"</f>
        <v>06700006500</v>
      </c>
      <c r="B7728" s="1" t="str">
        <f>"LYNCH P TTEE"</f>
        <v>LYNCH P TTEE</v>
      </c>
      <c r="C7728" s="1" t="str">
        <f>"291 DEER TRAIL RD DEERFIELD ESTATES 3 57"</f>
        <v>291 DEER TRAIL RD DEERFIELD ESTATES 3 57</v>
      </c>
      <c r="D7728" s="1">
        <v>10431.52</v>
      </c>
    </row>
    <row r="7729" spans="1:4" x14ac:dyDescent="0.3">
      <c r="A7729" s="1" t="str">
        <f>"15200082700"</f>
        <v>15200082700</v>
      </c>
      <c r="B7729" s="1" t="str">
        <f>"LYNCH TINA"</f>
        <v>LYNCH TINA</v>
      </c>
      <c r="C7729" s="1" t="str">
        <f>"ARCADIA AVE COLUMBUS TERRACE 530-531"</f>
        <v>ARCADIA AVE COLUMBUS TERRACE 530-531</v>
      </c>
      <c r="D7729" s="1">
        <v>1822.89</v>
      </c>
    </row>
    <row r="7730" spans="1:4" x14ac:dyDescent="0.3">
      <c r="A7730" s="1" t="str">
        <f>"01005067800"</f>
        <v>01005067800</v>
      </c>
      <c r="B7730" s="1" t="str">
        <f>"LYONS ANNETTE"</f>
        <v>LYONS ANNETTE</v>
      </c>
      <c r="C7730" s="1" t="str">
        <f>"1194 21ST AVE 33.5 FT ES LINMOOR LOT 67"</f>
        <v>1194 21ST AVE 33.5 FT ES LINMOOR LOT 67</v>
      </c>
      <c r="D7730" s="1">
        <v>2840.23</v>
      </c>
    </row>
    <row r="7731" spans="1:4" x14ac:dyDescent="0.3">
      <c r="A7731" s="1" t="str">
        <f>"59021478300"</f>
        <v>59021478300</v>
      </c>
      <c r="B7731" s="1" t="str">
        <f>"LYONS CATHRYNE A"</f>
        <v>LYONS CATHRYNE A</v>
      </c>
      <c r="C7731" s="1" t="str">
        <f>"6027 MCINTYRE DR KILDAIRE PART 2 LOT 19"</f>
        <v>6027 MCINTYRE DR KILDAIRE PART 2 LOT 19</v>
      </c>
      <c r="D7731" s="1">
        <v>7333.01</v>
      </c>
    </row>
    <row r="7732" spans="1:4" x14ac:dyDescent="0.3">
      <c r="A7732" s="1" t="str">
        <f>"27401230100"</f>
        <v>27401230100</v>
      </c>
      <c r="B7732" s="1" t="str">
        <f>"LYONS DENNIS P TR, BARNUM RITA M TR"</f>
        <v>LYONS DENNIS P TR, BARNUM RITA M TR</v>
      </c>
      <c r="C7732" s="1" t="str">
        <f>"COTTAGES AT BALLANTRAE WOODS CONDOMINIUM 13TH AMD UNIT 41-5507"</f>
        <v>COTTAGES AT BALLANTRAE WOODS CONDOMINIUM 13TH AMD UNIT 41-5507</v>
      </c>
      <c r="D7732" s="1">
        <v>4547.05</v>
      </c>
    </row>
    <row r="7733" spans="1:4" x14ac:dyDescent="0.3">
      <c r="A7733" s="1" t="str">
        <f>"01019813800"</f>
        <v>01019813800</v>
      </c>
      <c r="B7733" s="1" t="str">
        <f>"LYONS ELIZABETH M"</f>
        <v>LYONS ELIZABETH M</v>
      </c>
      <c r="C7733" s="1" t="str">
        <f>"DIERKER RD PARK PLACE CONDO BLD 4 UNIT 2058-D"</f>
        <v>DIERKER RD PARK PLACE CONDO BLD 4 UNIT 2058-D</v>
      </c>
      <c r="D7733" s="1">
        <v>95.73</v>
      </c>
    </row>
    <row r="7734" spans="1:4" x14ac:dyDescent="0.3">
      <c r="A7734" s="1" t="str">
        <f>"01002733400"</f>
        <v>01002733400</v>
      </c>
      <c r="B7734" s="1" t="str">
        <f>"LYONS FELISHA TTEE"</f>
        <v>LYONS FELISHA TTEE</v>
      </c>
      <c r="C7734" s="1" t="str">
        <f>"1945-47 W BROAD GLENWOOD LOT 17"</f>
        <v>1945-47 W BROAD GLENWOOD LOT 17</v>
      </c>
      <c r="D7734" s="1">
        <v>113.59</v>
      </c>
    </row>
    <row r="7735" spans="1:4" x14ac:dyDescent="0.3">
      <c r="A7735" s="1" t="str">
        <f>"01020944400"</f>
        <v>01020944400</v>
      </c>
      <c r="B7735" s="1" t="str">
        <f>"LYONS JAMES F"</f>
        <v>LYONS JAMES F</v>
      </c>
      <c r="C7735" s="1" t="str">
        <f>"HITESMAN WAY INDIAN HOLLOW SUB LOT 26"</f>
        <v>HITESMAN WAY INDIAN HOLLOW SUB LOT 26</v>
      </c>
      <c r="D7735" s="1">
        <v>2208.37</v>
      </c>
    </row>
    <row r="7736" spans="1:4" x14ac:dyDescent="0.3">
      <c r="A7736" s="1" t="str">
        <f>"01010162600"</f>
        <v>01010162600</v>
      </c>
      <c r="B7736" s="1" t="str">
        <f>"LYONS MEGAN E"</f>
        <v>LYONS MEGAN E</v>
      </c>
      <c r="C7736" s="1" t="str">
        <f>"WAKEFIELD CT EAST BERWICK HTS 2 LOT 269"</f>
        <v>WAKEFIELD CT EAST BERWICK HTS 2 LOT 269</v>
      </c>
      <c r="D7736" s="1">
        <v>2732.97</v>
      </c>
    </row>
    <row r="7737" spans="1:4" x14ac:dyDescent="0.3">
      <c r="A7737" s="1" t="str">
        <f>"22000109700"</f>
        <v>22000109700</v>
      </c>
      <c r="B7737" s="1" t="str">
        <f>"LYONS MICHAEL G, LYONS MICHELE E"</f>
        <v>LYONS MICHAEL G, LYONS MICHELE E</v>
      </c>
      <c r="C7737" s="1" t="str">
        <f>"BABBITT RD ACRES .79 2 R 16 T2 SEC 1-4 T 4 LOT 1-16"</f>
        <v>BABBITT RD ACRES .79 2 R 16 T2 SEC 1-4 T 4 LOT 1-16</v>
      </c>
      <c r="D7737" s="1">
        <v>264.23</v>
      </c>
    </row>
    <row r="7738" spans="1:4" x14ac:dyDescent="0.3">
      <c r="A7738" s="1" t="str">
        <f>"03000274700"</f>
        <v>03000274700</v>
      </c>
      <c r="B7738" s="1" t="str">
        <f>"LYON-WEISMAN JENNIFER M"</f>
        <v>LYON-WEISMAN JENNIFER M</v>
      </c>
      <c r="C7738" s="1" t="str">
        <f>"1000 URLIN AVE SUMMIT CHASE CONDO UNIT 1818"</f>
        <v>1000 URLIN AVE SUMMIT CHASE CONDO UNIT 1818</v>
      </c>
      <c r="D7738" s="1">
        <v>5644.57</v>
      </c>
    </row>
    <row r="7739" spans="1:4" x14ac:dyDescent="0.3">
      <c r="A7739" s="1" t="str">
        <f>"01024336400"</f>
        <v>01024336400</v>
      </c>
      <c r="B7739" s="1" t="str">
        <f>"LYTLE ADAM LEE, LYTLE VIENGSAMAY TTEE, LYTLE ROBERT L TTEE"</f>
        <v>LYTLE ADAM LEE, LYTLE VIENGSAMAY TTEE, LYTLE ROBERT L TTEE</v>
      </c>
      <c r="C7739" s="1" t="str">
        <f>"1042 MEADOW LANE .146 ACRE R22 T4 S15"</f>
        <v>1042 MEADOW LANE .146 ACRE R22 T4 S15</v>
      </c>
      <c r="D7739" s="1">
        <v>48.35</v>
      </c>
    </row>
    <row r="7740" spans="1:4" x14ac:dyDescent="0.3">
      <c r="A7740" s="1" t="str">
        <f>"01024336600"</f>
        <v>01024336600</v>
      </c>
      <c r="B7740" s="1" t="str">
        <f>"LYTLE ADAM LEE, LYTLE VIENGSAMAY TTEE, LYTLE ROBERT L TTEE"</f>
        <v>LYTLE ADAM LEE, LYTLE VIENGSAMAY TTEE, LYTLE ROBERT L TTEE</v>
      </c>
      <c r="C7740" s="1" t="str">
        <f>"1042 MEADOW LANE R22 T4 S15 1.345 ACRES"</f>
        <v>1042 MEADOW LANE R22 T4 S15 1.345 ACRES</v>
      </c>
      <c r="D7740" s="1">
        <v>101.13</v>
      </c>
    </row>
    <row r="7741" spans="1:4" x14ac:dyDescent="0.3">
      <c r="A7741" s="1" t="str">
        <f>"01024336700"</f>
        <v>01024336700</v>
      </c>
      <c r="B7741" s="1" t="str">
        <f>"LYTLE ADAM LEE, LYTLE VIENGSAMAY TTEE, LYTLE ROBERT L TTEE"</f>
        <v>LYTLE ADAM LEE, LYTLE VIENGSAMAY TTEE, LYTLE ROBERT L TTEE</v>
      </c>
      <c r="C7741" s="1" t="str">
        <f>"1032 MEADOW LN .146 ACRE R22 T4 S15"</f>
        <v>1032 MEADOW LN .146 ACRE R22 T4 S15</v>
      </c>
      <c r="D7741" s="1">
        <v>43.65</v>
      </c>
    </row>
    <row r="7742" spans="1:4" x14ac:dyDescent="0.3">
      <c r="A7742" s="1" t="str">
        <f>"15000068500"</f>
        <v>15000068500</v>
      </c>
      <c r="B7742" s="1" t="str">
        <f>"LYTLE ROBERT L TTEE, LYTLE VIENGSAMAY TTEE"</f>
        <v>LYTLE ROBERT L TTEE, LYTLE VIENGSAMAY TTEE</v>
      </c>
      <c r="C7742" s="1" t="str">
        <f>"4041 LOCKBOURNE RD 4041 LOCKBOURNE RD 1.079 AC R22 T4 S15"</f>
        <v>4041 LOCKBOURNE RD 4041 LOCKBOURNE RD 1.079 AC R22 T4 S15</v>
      </c>
      <c r="D7742" s="1">
        <v>221.75</v>
      </c>
    </row>
    <row r="7743" spans="1:4" x14ac:dyDescent="0.3">
      <c r="A7743" s="1" t="str">
        <f>"15000077900"</f>
        <v>15000077900</v>
      </c>
      <c r="B7743" s="1" t="str">
        <f>"LYTLE ROBERT L TTEE, LYTLE VIENGSAMAY TTEE"</f>
        <v>LYTLE ROBERT L TTEE, LYTLE VIENGSAMAY TTEE</v>
      </c>
      <c r="C7743" s="1" t="str">
        <f>"1045 MEADOW LANE R22 T4 S15 LOT 4 .3159 ACRE"</f>
        <v>1045 MEADOW LANE R22 T4 S15 LOT 4 .3159 ACRE</v>
      </c>
      <c r="D7743" s="1">
        <v>88.45</v>
      </c>
    </row>
    <row r="7744" spans="1:4" x14ac:dyDescent="0.3">
      <c r="A7744" s="1" t="str">
        <f>"15000112700"</f>
        <v>15000112700</v>
      </c>
      <c r="B7744" s="1" t="str">
        <f>"LYTLE ROBERT L TTEE, LYTLE VIENGSAMAY TTEE"</f>
        <v>LYTLE ROBERT L TTEE, LYTLE VIENGSAMAY TTEE</v>
      </c>
      <c r="C7744" s="1" t="str">
        <f>"1031 MEADOW LANE .3159 ACRE R22 T4 S15"</f>
        <v>1031 MEADOW LANE .3159 ACRE R22 T4 S15</v>
      </c>
      <c r="D7744" s="1">
        <v>60.21</v>
      </c>
    </row>
    <row r="7745" spans="1:4" x14ac:dyDescent="0.3">
      <c r="A7745" s="1" t="str">
        <f>"15000136000"</f>
        <v>15000136000</v>
      </c>
      <c r="B7745" s="1" t="str">
        <f>"LYTLE ROBERT L TTEE, LYTLE VIENGSAMAY TTEE"</f>
        <v>LYTLE ROBERT L TTEE, LYTLE VIENGSAMAY TTEE</v>
      </c>
      <c r="C7745" s="1" t="str">
        <f>"MEADOWS LANE ACRES .115 R22 T4 SEC 15"</f>
        <v>MEADOWS LANE ACRES .115 R22 T4 SEC 15</v>
      </c>
      <c r="D7745" s="1">
        <v>9.2799999999999994</v>
      </c>
    </row>
    <row r="7746" spans="1:4" x14ac:dyDescent="0.3">
      <c r="A7746" s="1" t="str">
        <f>"15000151700"</f>
        <v>15000151700</v>
      </c>
      <c r="B7746" s="1" t="str">
        <f>"LYTLE ROBERT L TTEE, LYTLE VIENGSAMAY TTEE"</f>
        <v>LYTLE ROBERT L TTEE, LYTLE VIENGSAMAY TTEE</v>
      </c>
      <c r="C7746" s="1" t="str">
        <f>"1116 MEADOW LN .5721 ACRE R22 T4 S15"</f>
        <v>1116 MEADOW LN .5721 ACRE R22 T4 S15</v>
      </c>
      <c r="D7746" s="1">
        <v>77.39</v>
      </c>
    </row>
    <row r="7747" spans="1:4" x14ac:dyDescent="0.3">
      <c r="A7747" s="1" t="str">
        <f>"15000151900"</f>
        <v>15000151900</v>
      </c>
      <c r="B7747" s="1" t="str">
        <f>"LYTLE ROBERT L TTEE, LYTLE VIENGSAMAY TTEE"</f>
        <v>LYTLE ROBERT L TTEE, LYTLE VIENGSAMAY TTEE</v>
      </c>
      <c r="C7747" s="1" t="str">
        <f>"4041 LOCKBOURNE RD .23 ACRES R22 T4 S15"</f>
        <v>4041 LOCKBOURNE RD .23 ACRES R22 T4 S15</v>
      </c>
      <c r="D7747" s="1">
        <v>93.78</v>
      </c>
    </row>
    <row r="7748" spans="1:4" x14ac:dyDescent="0.3">
      <c r="A7748" s="1" t="str">
        <f>"15000038000"</f>
        <v>15000038000</v>
      </c>
      <c r="B7748" s="1" t="str">
        <f>"LYTLE ROBERT L TTEE, LYTLE VIENGSAMAY TTEE"</f>
        <v>LYTLE ROBERT L TTEE, LYTLE VIENGSAMAY TTEE</v>
      </c>
      <c r="C7748" s="1" t="str">
        <f>"1135 VERNON DR .2 ACRES R22 T4 S15 "</f>
        <v xml:space="preserve">1135 VERNON DR .2 ACRES R22 T4 S15 </v>
      </c>
      <c r="D7748" s="1">
        <v>61.56</v>
      </c>
    </row>
    <row r="7749" spans="1:4" x14ac:dyDescent="0.3">
      <c r="A7749" s="1" t="str">
        <f>"15000043900"</f>
        <v>15000043900</v>
      </c>
      <c r="B7749" s="1" t="str">
        <f>"LYTLE ROBERT L TTEE, LYTLE VIENGSAMAY TTEE"</f>
        <v>LYTLE ROBERT L TTEE, LYTLE VIENGSAMAY TTEE</v>
      </c>
      <c r="C7749" s="1" t="str">
        <f>"1078 MEADOW LN .29 ACRE R22 T4 S15"</f>
        <v>1078 MEADOW LN .29 ACRE R22 T4 S15</v>
      </c>
      <c r="D7749" s="1">
        <v>16.03</v>
      </c>
    </row>
    <row r="7750" spans="1:4" x14ac:dyDescent="0.3">
      <c r="A7750" s="1" t="str">
        <f>"15000044000"</f>
        <v>15000044000</v>
      </c>
      <c r="B7750" s="1" t="str">
        <f>"LYTLE ROBERT L TTEE, LYTLE VIENGSAMAY TTEE"</f>
        <v>LYTLE ROBERT L TTEE, LYTLE VIENGSAMAY TTEE</v>
      </c>
      <c r="C7750" s="1" t="str">
        <f>"1074 MEADOW LN .097 ACRE R22 T4 S15"</f>
        <v>1074 MEADOW LN .097 ACRE R22 T4 S15</v>
      </c>
      <c r="D7750" s="1">
        <v>51.47</v>
      </c>
    </row>
    <row r="7751" spans="1:4" x14ac:dyDescent="0.3">
      <c r="A7751" s="1" t="str">
        <f>"15000049700"</f>
        <v>15000049700</v>
      </c>
      <c r="B7751" s="1" t="str">
        <f>"LYTLE ROBERT L TTEE, LYTLE VIENGSAMAY TTEE"</f>
        <v>LYTLE ROBERT L TTEE, LYTLE VIENGSAMAY TTEE</v>
      </c>
      <c r="C7751" s="1" t="str">
        <f>"1091 VERNON RD ACRES 2.714 R22 T4 S15"</f>
        <v>1091 VERNON RD ACRES 2.714 R22 T4 S15</v>
      </c>
      <c r="D7751" s="1">
        <v>218.37</v>
      </c>
    </row>
    <row r="7752" spans="1:4" x14ac:dyDescent="0.3">
      <c r="A7752" s="1" t="str">
        <f>"15000059100"</f>
        <v>15000059100</v>
      </c>
      <c r="B7752" s="1" t="str">
        <f>"LYTLE ROBERT L TTEE, LYTLE VIENGSAMAY TTEE"</f>
        <v>LYTLE ROBERT L TTEE, LYTLE VIENGSAMAY TTEE</v>
      </c>
      <c r="C7752" s="1" t="str">
        <f>"LOCKBOURNE RD R22 T4 S15 0.3448 ACRE"</f>
        <v>LOCKBOURNE RD R22 T4 S15 0.3448 ACRE</v>
      </c>
      <c r="D7752" s="1">
        <v>136.80000000000001</v>
      </c>
    </row>
    <row r="7753" spans="1:4" x14ac:dyDescent="0.3">
      <c r="A7753" s="1" t="str">
        <f>"01024336800"</f>
        <v>01024336800</v>
      </c>
      <c r="B7753" s="1" t="str">
        <f>"LYTLE ROBERT L TTEE, LYTLE VIENGSAMAY TTEE"</f>
        <v>LYTLE ROBERT L TTEE, LYTLE VIENGSAMAY TTEE</v>
      </c>
      <c r="C7753" s="1" t="str">
        <f>"4037 LOCKBOURNE RD 1 ACRE R22 T4 S15 "</f>
        <v xml:space="preserve">4037 LOCKBOURNE RD 1 ACRE R22 T4 S15 </v>
      </c>
      <c r="D7753" s="1">
        <v>158.44999999999999</v>
      </c>
    </row>
    <row r="7754" spans="1:4" x14ac:dyDescent="0.3">
      <c r="A7754" s="1" t="str">
        <f>"01024336900"</f>
        <v>01024336900</v>
      </c>
      <c r="B7754" s="1" t="str">
        <f>"LYTLE ROBERT L TTEE, LYTLE VIENGSAMAY TTEE"</f>
        <v>LYTLE ROBERT L TTEE, LYTLE VIENGSAMAY TTEE</v>
      </c>
      <c r="C7754" s="1" t="str">
        <f>"4039 LOCKBOURNE RD ACRE .72 R22 T4 S15 "</f>
        <v xml:space="preserve">4039 LOCKBOURNE RD ACRE .72 R22 T4 S15 </v>
      </c>
      <c r="D7754" s="1">
        <v>184.36</v>
      </c>
    </row>
    <row r="7755" spans="1:4" x14ac:dyDescent="0.3">
      <c r="A7755" s="1" t="str">
        <f>"01024359300"</f>
        <v>01024359300</v>
      </c>
      <c r="B7755" s="1" t="str">
        <f>"LYTLE ROBERT L TTEE, LYTLE VIENGSAMAY TTEE"</f>
        <v>LYTLE ROBERT L TTEE, LYTLE VIENGSAMAY TTEE</v>
      </c>
      <c r="C7755" s="1" t="str">
        <f>"LOCKBOURNE RD REAR ACRES .28 R22 T4 S15"</f>
        <v>LOCKBOURNE RD REAR ACRES .28 R22 T4 S15</v>
      </c>
      <c r="D7755" s="1">
        <v>66.66</v>
      </c>
    </row>
    <row r="7756" spans="1:4" x14ac:dyDescent="0.3">
      <c r="A7756" s="1" t="str">
        <f>"27300250100"</f>
        <v>27300250100</v>
      </c>
      <c r="B7756" s="1" t="str">
        <f>"M &amp; J LOAR LLC"</f>
        <v>M &amp; J LOAR LLC</v>
      </c>
      <c r="C7756" s="1" t="str">
        <f>"PARKWAY PROFESSIONAL PLAZA CONDOMINIUM PH 1 BLDG 3 UNIT 5110"</f>
        <v>PARKWAY PROFESSIONAL PLAZA CONDOMINIUM PH 1 BLDG 3 UNIT 5110</v>
      </c>
      <c r="D7756" s="1">
        <v>372.02</v>
      </c>
    </row>
    <row r="7757" spans="1:4" x14ac:dyDescent="0.3">
      <c r="A7757" s="1" t="str">
        <f>"01004357900"</f>
        <v>01004357900</v>
      </c>
      <c r="B7757" s="1" t="str">
        <f>"M &amp; OPM PROPERTIES INC"</f>
        <v>M &amp; OPM PROPERTIES INC</v>
      </c>
      <c r="C7757" s="1" t="str">
        <f>"2277 W BROAD ST JOS P ONGS SUB 3"</f>
        <v>2277 W BROAD ST JOS P ONGS SUB 3</v>
      </c>
      <c r="D7757" s="1">
        <v>220.96</v>
      </c>
    </row>
    <row r="7758" spans="1:4" x14ac:dyDescent="0.3">
      <c r="A7758" s="1" t="str">
        <f>"01002120200"</f>
        <v>01002120200</v>
      </c>
      <c r="B7758" s="1" t="str">
        <f>"M &amp; OPM PROPERTIES INC"</f>
        <v>M &amp; OPM PROPERTIES INC</v>
      </c>
      <c r="C7758" s="1" t="str">
        <f>"RUHS SCHILLER ST LOT 12 "</f>
        <v xml:space="preserve">RUHS SCHILLER ST LOT 12 </v>
      </c>
      <c r="D7758" s="1">
        <v>1701.07</v>
      </c>
    </row>
    <row r="7759" spans="1:4" x14ac:dyDescent="0.3">
      <c r="A7759" s="1" t="str">
        <f>"01004358000"</f>
        <v>01004358000</v>
      </c>
      <c r="B7759" s="1" t="str">
        <f>"M &amp; OPM PROPERTIES INC"</f>
        <v>M &amp; OPM PROPERTIES INC</v>
      </c>
      <c r="C7759" s="1" t="str">
        <f>"2275 W BROAD ST JOS P ONGS SUB 4"</f>
        <v>2275 W BROAD ST JOS P ONGS SUB 4</v>
      </c>
      <c r="D7759" s="1">
        <v>238.82</v>
      </c>
    </row>
    <row r="7760" spans="1:4" x14ac:dyDescent="0.3">
      <c r="A7760" s="1" t="str">
        <f>"01000652200"</f>
        <v>01000652200</v>
      </c>
      <c r="B7760" s="1" t="str">
        <f>"M &amp; OPM PROPERTIES INC"</f>
        <v>M &amp; OPM PROPERTIES INC</v>
      </c>
      <c r="C7760" s="1" t="str">
        <f>"2281 W BROAD JAS P ONG SUB 2"</f>
        <v>2281 W BROAD JAS P ONG SUB 2</v>
      </c>
      <c r="D7760" s="1">
        <v>604.96</v>
      </c>
    </row>
    <row r="7761" spans="1:4" x14ac:dyDescent="0.3">
      <c r="A7761" s="1" t="str">
        <f>"01001518700"</f>
        <v>01001518700</v>
      </c>
      <c r="B7761" s="1" t="str">
        <f>"M &amp; OPM PROPERTIES INC"</f>
        <v>M &amp; OPM PROPERTIES INC</v>
      </c>
      <c r="C7761" s="1" t="str">
        <f>"1351 LIVINGSTON AVE MILLER AVE LOT 12"</f>
        <v>1351 LIVINGSTON AVE MILLER AVE LOT 12</v>
      </c>
      <c r="D7761" s="1">
        <v>248.74</v>
      </c>
    </row>
    <row r="7762" spans="1:4" x14ac:dyDescent="0.3">
      <c r="A7762" s="1" t="str">
        <f>"01002106800"</f>
        <v>01002106800</v>
      </c>
      <c r="B7762" s="1" t="str">
        <f>"M &amp; OPM PROPERTIES INC"</f>
        <v>M &amp; OPM PROPERTIES INC</v>
      </c>
      <c r="C7762" s="1" t="str">
        <f>"2285-93 W BROAD ST ONGS AMD 92'NL PT RES"</f>
        <v>2285-93 W BROAD ST ONGS AMD 92'NL PT RES</v>
      </c>
      <c r="D7762" s="1">
        <v>1652.89</v>
      </c>
    </row>
    <row r="7763" spans="1:4" x14ac:dyDescent="0.3">
      <c r="A7763" s="1" t="str">
        <f>"13000097900"</f>
        <v>13000097900</v>
      </c>
      <c r="B7763" s="1" t="str">
        <f>"M LASH &amp; CO"</f>
        <v>M LASH &amp; CO</v>
      </c>
      <c r="C7763" s="1" t="str">
        <f>"3651 CLEVELAND AVE ELMORE LOTS 161-162 EX IRR ES"</f>
        <v>3651 CLEVELAND AVE ELMORE LOTS 161-162 EX IRR ES</v>
      </c>
      <c r="D7763" s="1">
        <v>985.52</v>
      </c>
    </row>
    <row r="7764" spans="1:4" x14ac:dyDescent="0.3">
      <c r="A7764" s="1" t="str">
        <f>"01011326300"</f>
        <v>01011326300</v>
      </c>
      <c r="B7764" s="1" t="str">
        <f>"M LASH &amp; CO"</f>
        <v>M LASH &amp; CO</v>
      </c>
      <c r="C7764" s="1" t="str">
        <f>"2510 LOCKBOURNE RD R 22 T4 S2 .441 ACRE"</f>
        <v>2510 LOCKBOURNE RD R 22 T4 S2 .441 ACRE</v>
      </c>
      <c r="D7764" s="1">
        <v>466.73</v>
      </c>
    </row>
    <row r="7765" spans="1:4" x14ac:dyDescent="0.3">
      <c r="A7765" s="1" t="str">
        <f>"17527370200"</f>
        <v>17527370200</v>
      </c>
      <c r="B7765" s="1" t="str">
        <f>"M LASH &amp; CO"</f>
        <v>M LASH &amp; CO</v>
      </c>
      <c r="C7765" s="1" t="str">
        <f>"ALTONA DRIVE DORCHESTER SECTION 2 LOT 59"</f>
        <v>ALTONA DRIVE DORCHESTER SECTION 2 LOT 59</v>
      </c>
      <c r="D7765" s="1">
        <v>3395.59</v>
      </c>
    </row>
    <row r="7766" spans="1:4" x14ac:dyDescent="0.3">
      <c r="A7766" s="1" t="str">
        <f>"01006877300"</f>
        <v>01006877300</v>
      </c>
      <c r="B7766" s="1" t="str">
        <f>"M LASH &amp; CO"</f>
        <v>M LASH &amp; CO</v>
      </c>
      <c r="C7766" s="1" t="str">
        <f>"WILTSHIRE RD WILSHIRE HEIGHTS LOT 11 BLK 18"</f>
        <v>WILTSHIRE RD WILSHIRE HEIGHTS LOT 11 BLK 18</v>
      </c>
      <c r="D7766" s="1">
        <v>1854.11</v>
      </c>
    </row>
    <row r="7767" spans="1:4" x14ac:dyDescent="0.3">
      <c r="A7767" s="1" t="str">
        <f>"01003526200"</f>
        <v>01003526200</v>
      </c>
      <c r="B7767" s="1" t="str">
        <f>"M LASH &amp; CO"</f>
        <v>M LASH &amp; CO</v>
      </c>
      <c r="C7767" s="1" t="str">
        <f>"2326-261/2WBROADST HIGHLAND PARK LOT 9"</f>
        <v>2326-261/2WBROADST HIGHLAND PARK LOT 9</v>
      </c>
      <c r="D7767" s="1">
        <v>407.03</v>
      </c>
    </row>
    <row r="7768" spans="1:4" x14ac:dyDescent="0.3">
      <c r="A7768" s="1" t="str">
        <f>"56024347600"</f>
        <v>56024347600</v>
      </c>
      <c r="B7768" s="1" t="str">
        <f>"M LASH &amp; CO"</f>
        <v>M LASH &amp; CO</v>
      </c>
      <c r="C7768" s="1" t="str">
        <f>"ALTURAS WAY WESTBROOKE SECTION 5 PART 1 LOT 366"</f>
        <v>ALTURAS WAY WESTBROOKE SECTION 5 PART 1 LOT 366</v>
      </c>
      <c r="D7768" s="1">
        <v>4340.09</v>
      </c>
    </row>
    <row r="7769" spans="1:4" x14ac:dyDescent="0.3">
      <c r="A7769" s="1" t="str">
        <f>"59022969200"</f>
        <v>59022969200</v>
      </c>
      <c r="B7769" s="1" t="str">
        <f>"M LASH &amp; CO"</f>
        <v>M LASH &amp; CO</v>
      </c>
      <c r="C7769" s="1" t="str">
        <f>"BETHEL COMMONS CONDOMINIUM 8TH AMD UNIT 46D"</f>
        <v>BETHEL COMMONS CONDOMINIUM 8TH AMD UNIT 46D</v>
      </c>
      <c r="D7769" s="1">
        <v>2293.42</v>
      </c>
    </row>
    <row r="7770" spans="1:4" x14ac:dyDescent="0.3">
      <c r="A7770" s="1" t="str">
        <f>"01002253200"</f>
        <v>01002253200</v>
      </c>
      <c r="B7770" s="1" t="str">
        <f>"M MILLER RENTALS LLC"</f>
        <v>M MILLER RENTALS LLC</v>
      </c>
      <c r="C7770" s="1" t="str">
        <f>"41 S PRINCETON AVE WEST HIGH SCHOOL LOT 79"</f>
        <v>41 S PRINCETON AVE WEST HIGH SCHOOL LOT 79</v>
      </c>
      <c r="D7770" s="1">
        <v>1675.28</v>
      </c>
    </row>
    <row r="7771" spans="1:4" x14ac:dyDescent="0.3">
      <c r="A7771" s="1" t="str">
        <f>"01025833800"</f>
        <v>01025833800</v>
      </c>
      <c r="B7771" s="1" t="str">
        <f>"M P DORY CO"</f>
        <v>M P DORY CO</v>
      </c>
      <c r="C7771" s="1" t="str">
        <f>"INTEGRITY DRIVE N COLS COMMERCE CENTER PT LOT 5=4.00 ACRES"</f>
        <v>INTEGRITY DRIVE N COLS COMMERCE CENTER PT LOT 5=4.00 ACRES</v>
      </c>
      <c r="D7771" s="1">
        <v>80.400000000000006</v>
      </c>
    </row>
    <row r="7772" spans="1:4" x14ac:dyDescent="0.3">
      <c r="A7772" s="1" t="str">
        <f>"01032059100"</f>
        <v>01032059100</v>
      </c>
      <c r="B7772" s="1" t="str">
        <f>"M P DORY CO"</f>
        <v>M P DORY CO</v>
      </c>
      <c r="C7772" s="1" t="str">
        <f>"ALUM CREEK R22 T5 S25 1/2 S36-7 6.808 ACRES"</f>
        <v>ALUM CREEK R22 T5 S25 1/2 S36-7 6.808 ACRES</v>
      </c>
      <c r="D7772" s="1">
        <v>2779.33</v>
      </c>
    </row>
    <row r="7773" spans="1:4" x14ac:dyDescent="0.3">
      <c r="A7773" s="1" t="str">
        <f>"01021821500"</f>
        <v>01021821500</v>
      </c>
      <c r="B7773" s="1" t="str">
        <f>"M P DORY CO"</f>
        <v>M P DORY CO</v>
      </c>
      <c r="C7773" s="1" t="str">
        <f>"COLS COMMERCE CENTER INTEGRITY DRIVE N PT LOT 5=7.100 ACRES"</f>
        <v>COLS COMMERCE CENTER INTEGRITY DRIVE N PT LOT 5=7.100 ACRES</v>
      </c>
      <c r="D7773" s="1">
        <v>469.46</v>
      </c>
    </row>
    <row r="7774" spans="1:4" x14ac:dyDescent="0.3">
      <c r="A7774" s="1" t="str">
        <f>"01009399300"</f>
        <v>01009399300</v>
      </c>
      <c r="B7774" s="1" t="str">
        <f>"M&amp;E LLC"</f>
        <v>M&amp;E LLC</v>
      </c>
      <c r="C7774" s="1" t="str">
        <f>"WEYANT AVE F W BENTLEYS SUB 1 LOT 11"</f>
        <v>WEYANT AVE F W BENTLEYS SUB 1 LOT 11</v>
      </c>
      <c r="D7774" s="1">
        <v>1232.32</v>
      </c>
    </row>
    <row r="7775" spans="1:4" x14ac:dyDescent="0.3">
      <c r="A7775" s="1" t="str">
        <f>"16000257700"</f>
        <v>16000257700</v>
      </c>
      <c r="B7775" s="1" t="str">
        <f>"M&amp;L FARMS LLC"</f>
        <v>M&amp;L FARMS LLC</v>
      </c>
      <c r="C7775" s="1" t="str">
        <f>"HARRISBURG PIKE           ENTRY 1371                7.586 ACRES              "</f>
        <v xml:space="preserve">HARRISBURG PIKE           ENTRY 1371                7.586 ACRES              </v>
      </c>
      <c r="D7775" s="1">
        <v>11027.18</v>
      </c>
    </row>
    <row r="7776" spans="1:4" x14ac:dyDescent="0.3">
      <c r="A7776" s="1" t="str">
        <f>"23000217800"</f>
        <v>23000217800</v>
      </c>
      <c r="B7776" s="1" t="str">
        <f>"M&amp;L FARMS LLC"</f>
        <v>M&amp;L FARMS LLC</v>
      </c>
      <c r="C7776" s="1" t="str">
        <f>"YOUNG RD                  ENTRY 3027                1.101 ACRE                "</f>
        <v xml:space="preserve">YOUNG RD                  ENTRY 3027                1.101 ACRE                </v>
      </c>
      <c r="D7776" s="1">
        <v>914.09</v>
      </c>
    </row>
    <row r="7777" spans="1:4" x14ac:dyDescent="0.3">
      <c r="A7777" s="1" t="str">
        <f>"23000217900"</f>
        <v>23000217900</v>
      </c>
      <c r="B7777" s="1" t="str">
        <f>"M&amp;L FARMS LLC"</f>
        <v>M&amp;L FARMS LLC</v>
      </c>
      <c r="C7777" s="1" t="str">
        <f>"YOUNG RD ENTRY 3027 9.784 ACRE"</f>
        <v>YOUNG RD ENTRY 3027 9.784 ACRE</v>
      </c>
      <c r="D7777" s="1">
        <v>8217.84</v>
      </c>
    </row>
    <row r="7778" spans="1:4" x14ac:dyDescent="0.3">
      <c r="A7778" s="1" t="str">
        <f>"16000257800"</f>
        <v>16000257800</v>
      </c>
      <c r="B7778" s="1" t="str">
        <f>"M&amp;L FARMS LLC"</f>
        <v>M&amp;L FARMS LLC</v>
      </c>
      <c r="C7778" s="1" t="str">
        <f>"HARRISBURG PIKE ENTRY 1371 .298 ACRE"</f>
        <v>HARRISBURG PIKE ENTRY 1371 .298 ACRE</v>
      </c>
      <c r="D7778" s="1">
        <v>1013.99</v>
      </c>
    </row>
    <row r="7779" spans="1:4" x14ac:dyDescent="0.3">
      <c r="A7779" s="1" t="str">
        <f>"16000144700"</f>
        <v>16000144700</v>
      </c>
      <c r="B7779" s="1" t="str">
        <f>"M&amp;M REAL ESTATE INVESTMENTS LLC"</f>
        <v>M&amp;M REAL ESTATE INVESTMENTS LLC</v>
      </c>
      <c r="C7779" s="1" t="str">
        <f>"DEMOREST RD ENTRY 1388 .4904 ACRE"</f>
        <v>DEMOREST RD ENTRY 1388 .4904 ACRE</v>
      </c>
      <c r="D7779" s="1">
        <v>941.28</v>
      </c>
    </row>
    <row r="7780" spans="1:4" x14ac:dyDescent="0.3">
      <c r="A7780" s="1" t="str">
        <f>"01007924700"</f>
        <v>01007924700</v>
      </c>
      <c r="B7780" s="1" t="str">
        <f>"MA DEVELOPMENTS LLC"</f>
        <v>MA DEVELOPMENTS LLC</v>
      </c>
      <c r="C7780" s="1" t="str">
        <f>"SULLIVATN AVE WESTGATE PARK LOT 733"</f>
        <v>SULLIVATN AVE WESTGATE PARK LOT 733</v>
      </c>
      <c r="D7780" s="1">
        <v>4504.25</v>
      </c>
    </row>
    <row r="7781" spans="1:4" x14ac:dyDescent="0.3">
      <c r="A7781" s="1" t="str">
        <f>"01007924800"</f>
        <v>01007924800</v>
      </c>
      <c r="B7781" s="1" t="str">
        <f>"MA DEVELOPMENTS LLC"</f>
        <v>MA DEVELOPMENTS LLC</v>
      </c>
      <c r="C7781" s="1" t="str">
        <f>"SULLIVANT AVE WESTGATE PARK LOT 734"</f>
        <v>SULLIVANT AVE WESTGATE PARK LOT 734</v>
      </c>
      <c r="D7781" s="1">
        <v>666.85</v>
      </c>
    </row>
    <row r="7782" spans="1:4" x14ac:dyDescent="0.3">
      <c r="A7782" s="1" t="str">
        <f>"60021588200"</f>
        <v>60021588200</v>
      </c>
      <c r="B7782" s="1" t="str">
        <f>"MA YUEN H, CHEN YAN X"</f>
        <v>MA YUEN H, CHEN YAN X</v>
      </c>
      <c r="C7782" s="1" t="str">
        <f>"GRAVENHURST COURT BRANDYWINE MEADOWS SECTION 6 PT LOT 349"</f>
        <v>GRAVENHURST COURT BRANDYWINE MEADOWS SECTION 6 PT LOT 349</v>
      </c>
      <c r="D7782" s="1">
        <v>191.11</v>
      </c>
    </row>
    <row r="7783" spans="1:4" x14ac:dyDescent="0.3">
      <c r="A7783" s="1" t="str">
        <f>"19000129100"</f>
        <v>19000129100</v>
      </c>
      <c r="B7783" s="1" t="str">
        <f>"MAA &amp; CO REAL ESTATE INVESTMENT LLC"</f>
        <v>MAA &amp; CO REAL ESTATE INVESTMENT LLC</v>
      </c>
      <c r="C7783" s="1" t="str">
        <f>"MELROSE AVE TUXEDO PARK 64 "</f>
        <v xml:space="preserve">MELROSE AVE TUXEDO PARK 64 </v>
      </c>
      <c r="D7783" s="1">
        <v>188.38</v>
      </c>
    </row>
    <row r="7784" spans="1:4" x14ac:dyDescent="0.3">
      <c r="A7784" s="1" t="str">
        <f>"19000129200"</f>
        <v>19000129200</v>
      </c>
      <c r="B7784" s="1" t="str">
        <f>"MAA &amp; CO REAL ESTATE INVESTMENT LLC"</f>
        <v>MAA &amp; CO REAL ESTATE INVESTMENT LLC</v>
      </c>
      <c r="C7784" s="1" t="str">
        <f>"MELROSE AVE TUXEDO PARK 65 "</f>
        <v xml:space="preserve">MELROSE AVE TUXEDO PARK 65 </v>
      </c>
      <c r="D7784" s="1">
        <v>188.38</v>
      </c>
    </row>
    <row r="7785" spans="1:4" x14ac:dyDescent="0.3">
      <c r="A7785" s="1" t="str">
        <f>"04000125500"</f>
        <v>04000125500</v>
      </c>
      <c r="B7785" s="1" t="str">
        <f>"MABE DONALD L, MABE MAXINE J"</f>
        <v>MABE DONALD L, MABE MAXINE J</v>
      </c>
      <c r="C7785" s="1" t="str">
        <f>"2820 COLUMBUS STREET ACRES .202 ENTRY 1388"</f>
        <v>2820 COLUMBUS STREET ACRES .202 ENTRY 1388</v>
      </c>
      <c r="D7785" s="1">
        <v>163.09</v>
      </c>
    </row>
    <row r="7786" spans="1:4" x14ac:dyDescent="0.3">
      <c r="A7786" s="1" t="str">
        <f>"01013923500"</f>
        <v>01013923500</v>
      </c>
      <c r="B7786" s="1" t="str">
        <f>"MABRY CONNIE S"</f>
        <v>MABRY CONNIE S</v>
      </c>
      <c r="C7786" s="1" t="str">
        <f>"COLTON RD HAYES PARCELS LOT 25"</f>
        <v>COLTON RD HAYES PARCELS LOT 25</v>
      </c>
      <c r="D7786" s="1">
        <v>1503.61</v>
      </c>
    </row>
    <row r="7787" spans="1:4" x14ac:dyDescent="0.3">
      <c r="A7787" s="1" t="str">
        <f>"11000243800"</f>
        <v>11000243800</v>
      </c>
      <c r="B7787" s="1" t="str">
        <f>"MABUKAR COMPANY LLC"</f>
        <v>MABUKAR COMPANY LLC</v>
      </c>
      <c r="C7787" s="1" t="str">
        <f>"CHESTER RD CLEVELAND HGTS 2 149 "</f>
        <v xml:space="preserve">CHESTER RD CLEVELAND HGTS 2 149 </v>
      </c>
      <c r="D7787" s="1">
        <v>659</v>
      </c>
    </row>
    <row r="7788" spans="1:4" x14ac:dyDescent="0.3">
      <c r="A7788" s="1" t="str">
        <f>"11000247400"</f>
        <v>11000247400</v>
      </c>
      <c r="B7788" s="1" t="str">
        <f>"MABUKAR COMPANY LLC"</f>
        <v>MABUKAR COMPANY LLC</v>
      </c>
      <c r="C7788" s="1" t="str">
        <f>"CHESTER RD CLEVELAND HEIGHTS 2 215"</f>
        <v>CHESTER RD CLEVELAND HEIGHTS 2 215</v>
      </c>
      <c r="D7788" s="1">
        <v>659</v>
      </c>
    </row>
    <row r="7789" spans="1:4" x14ac:dyDescent="0.3">
      <c r="A7789" s="1" t="str">
        <f>"11000244200"</f>
        <v>11000244200</v>
      </c>
      <c r="B7789" s="1" t="str">
        <f>"MABUKAR COMPANY LLC"</f>
        <v>MABUKAR COMPANY LLC</v>
      </c>
      <c r="C7789" s="1" t="str">
        <f>"CHESTER RD CLEVELAND HTS 2 153 "</f>
        <v xml:space="preserve">CHESTER RD CLEVELAND HTS 2 153 </v>
      </c>
      <c r="D7789" s="1">
        <v>659</v>
      </c>
    </row>
    <row r="7790" spans="1:4" x14ac:dyDescent="0.3">
      <c r="A7790" s="1" t="str">
        <f>"11000244300"</f>
        <v>11000244300</v>
      </c>
      <c r="B7790" s="1" t="str">
        <f>"MABUKAR COMPANY LLC"</f>
        <v>MABUKAR COMPANY LLC</v>
      </c>
      <c r="C7790" s="1" t="str">
        <f>"CHESTER RD CLEVELAND HTS 2 154"</f>
        <v>CHESTER RD CLEVELAND HTS 2 154</v>
      </c>
      <c r="D7790" s="1">
        <v>659</v>
      </c>
    </row>
    <row r="7791" spans="1:4" x14ac:dyDescent="0.3">
      <c r="A7791" s="1" t="str">
        <f>"11000244000"</f>
        <v>11000244000</v>
      </c>
      <c r="B7791" s="1" t="str">
        <f>"MABUKAR COMPANY LLC"</f>
        <v>MABUKAR COMPANY LLC</v>
      </c>
      <c r="C7791" s="1" t="str">
        <f>"CHESTER RD CLEVELAND HTS 2 151 "</f>
        <v xml:space="preserve">CHESTER RD CLEVELAND HTS 2 151 </v>
      </c>
      <c r="D7791" s="1">
        <v>659</v>
      </c>
    </row>
    <row r="7792" spans="1:4" x14ac:dyDescent="0.3">
      <c r="A7792" s="1" t="str">
        <f>"11000243600"</f>
        <v>11000243600</v>
      </c>
      <c r="B7792" s="1" t="str">
        <f>"MABUKAR COMPANY LLC"</f>
        <v>MABUKAR COMPANY LLC</v>
      </c>
      <c r="C7792" s="1" t="str">
        <f>"CHESTER RD CLEVELAND HGTS 2 147 "</f>
        <v xml:space="preserve">CHESTER RD CLEVELAND HGTS 2 147 </v>
      </c>
      <c r="D7792" s="1">
        <v>659</v>
      </c>
    </row>
    <row r="7793" spans="1:4" x14ac:dyDescent="0.3">
      <c r="A7793" s="1" t="str">
        <f>"11000247300"</f>
        <v>11000247300</v>
      </c>
      <c r="B7793" s="1" t="str">
        <f>"MABUKAR COMPANY LLC"</f>
        <v>MABUKAR COMPANY LLC</v>
      </c>
      <c r="C7793" s="1" t="str">
        <f>"CHESTER RD CLEVELAND HTS 2 214 "</f>
        <v xml:space="preserve">CHESTER RD CLEVELAND HTS 2 214 </v>
      </c>
      <c r="D7793" s="1">
        <v>659</v>
      </c>
    </row>
    <row r="7794" spans="1:4" x14ac:dyDescent="0.3">
      <c r="A7794" s="1" t="str">
        <f>"11000243200"</f>
        <v>11000243200</v>
      </c>
      <c r="B7794" s="1" t="str">
        <f>"MABUKAR COMPANY LLC"</f>
        <v>MABUKAR COMPANY LLC</v>
      </c>
      <c r="C7794" s="1" t="str">
        <f>"2511 CHESTER RD CLEVELAND HTS 2 LOTS 143-146"</f>
        <v>2511 CHESTER RD CLEVELAND HTS 2 LOTS 143-146</v>
      </c>
      <c r="D7794" s="1">
        <v>1535.88</v>
      </c>
    </row>
    <row r="7795" spans="1:4" x14ac:dyDescent="0.3">
      <c r="A7795" s="1" t="str">
        <f>"11000274600"</f>
        <v>11000274600</v>
      </c>
      <c r="B7795" s="1" t="str">
        <f>"MABUKAR COMPANY LLC"</f>
        <v>MABUKAR COMPANY LLC</v>
      </c>
      <c r="C7795" s="1" t="str">
        <f>"36 CLYBOURNE RD BELMONT PLACE AMD 21"</f>
        <v>36 CLYBOURNE RD BELMONT PLACE AMD 21</v>
      </c>
      <c r="D7795" s="1">
        <v>980.34</v>
      </c>
    </row>
    <row r="7796" spans="1:4" x14ac:dyDescent="0.3">
      <c r="A7796" s="1" t="str">
        <f>"11000244100"</f>
        <v>11000244100</v>
      </c>
      <c r="B7796" s="1" t="str">
        <f>"MABUKAR COMPANY LLC"</f>
        <v>MABUKAR COMPANY LLC</v>
      </c>
      <c r="C7796" s="1" t="str">
        <f>"CHESTER RD CLEVELAND HTS 2 152 "</f>
        <v xml:space="preserve">CHESTER RD CLEVELAND HTS 2 152 </v>
      </c>
      <c r="D7796" s="1">
        <v>659</v>
      </c>
    </row>
    <row r="7797" spans="1:4" x14ac:dyDescent="0.3">
      <c r="A7797" s="1" t="str">
        <f>"01029451000"</f>
        <v>01029451000</v>
      </c>
      <c r="B7797" s="1" t="str">
        <f>"MAC 3 PROPERTIES LLC"</f>
        <v>MAC 3 PROPERTIES LLC</v>
      </c>
      <c r="C7797" s="1" t="str">
        <f>"EDGEWATER PLACE INVESTMENT CONDOMINIUM UNIT 5248 BLDG 4  "</f>
        <v xml:space="preserve">EDGEWATER PLACE INVESTMENT CONDOMINIUM UNIT 5248 BLDG 4  </v>
      </c>
      <c r="D7797" s="1">
        <v>901.86</v>
      </c>
    </row>
    <row r="7798" spans="1:4" x14ac:dyDescent="0.3">
      <c r="A7798" s="1" t="str">
        <f>"01029457700"</f>
        <v>01029457700</v>
      </c>
      <c r="B7798" s="1" t="str">
        <f>"MAC 3 PROPERTIES LLC"</f>
        <v>MAC 3 PROPERTIES LLC</v>
      </c>
      <c r="C7798" s="1" t="str">
        <f>"EDGEWATER PLACE INVESTMENT CONDOMINIUM UNIT 301 BLDG 7 "</f>
        <v xml:space="preserve">EDGEWATER PLACE INVESTMENT CONDOMINIUM UNIT 301 BLDG 7 </v>
      </c>
      <c r="D7798" s="1">
        <v>920.32</v>
      </c>
    </row>
    <row r="7799" spans="1:4" x14ac:dyDescent="0.3">
      <c r="A7799" s="1" t="str">
        <f>"01029451800"</f>
        <v>01029451800</v>
      </c>
      <c r="B7799" s="1" t="str">
        <f>"MAC 3 PROPERTIES LLC"</f>
        <v>MAC 3 PROPERTIES LLC</v>
      </c>
      <c r="C7799" s="1" t="str">
        <f>"EDGEWATER PLACE INVESTMENT CONDOMINIUM UNIT 5258 BLDG 4 "</f>
        <v xml:space="preserve">EDGEWATER PLACE INVESTMENT CONDOMINIUM UNIT 5258 BLDG 4 </v>
      </c>
      <c r="D7799" s="1">
        <v>901.86</v>
      </c>
    </row>
    <row r="7800" spans="1:4" x14ac:dyDescent="0.3">
      <c r="A7800" s="1" t="str">
        <f>"01029452400"</f>
        <v>01029452400</v>
      </c>
      <c r="B7800" s="1" t="str">
        <f>"MAC 3 PROPERTIES LLC"</f>
        <v>MAC 3 PROPERTIES LLC</v>
      </c>
      <c r="C7800" s="1" t="str">
        <f>"EDGEWATER PLACE INVESTMENT CONDOMINIUM UNIT 5264 BLDG 4 "</f>
        <v xml:space="preserve">EDGEWATER PLACE INVESTMENT CONDOMINIUM UNIT 5264 BLDG 4 </v>
      </c>
      <c r="D7800" s="1">
        <v>885.93</v>
      </c>
    </row>
    <row r="7801" spans="1:4" x14ac:dyDescent="0.3">
      <c r="A7801" s="1" t="str">
        <f>"01029457200"</f>
        <v>01029457200</v>
      </c>
      <c r="B7801" s="1" t="str">
        <f>"MAC 3 PROPERTIES LLC"</f>
        <v>MAC 3 PROPERTIES LLC</v>
      </c>
      <c r="C7801" s="1" t="str">
        <f>"EDGEWATER PLACE INVESTMENT CONDOMINIUM UNIT 317 BLDG 7 "</f>
        <v xml:space="preserve">EDGEWATER PLACE INVESTMENT CONDOMINIUM UNIT 317 BLDG 7 </v>
      </c>
      <c r="D7801" s="1">
        <v>920.32</v>
      </c>
    </row>
    <row r="7802" spans="1:4" x14ac:dyDescent="0.3">
      <c r="A7802" s="1" t="str">
        <f>"01029451300"</f>
        <v>01029451300</v>
      </c>
      <c r="B7802" s="1" t="str">
        <f>"MAC 3 PROPERTIES LLC"</f>
        <v>MAC 3 PROPERTIES LLC</v>
      </c>
      <c r="C7802" s="1" t="str">
        <f>"EDGEWATER PLACE INVESTMENT CONDOMINIUM UNIT 5276 BLDG 4 "</f>
        <v xml:space="preserve">EDGEWATER PLACE INVESTMENT CONDOMINIUM UNIT 5276 BLDG 4 </v>
      </c>
      <c r="D7802" s="1">
        <v>885.93</v>
      </c>
    </row>
    <row r="7803" spans="1:4" x14ac:dyDescent="0.3">
      <c r="A7803" s="1" t="str">
        <f>"01029451600"</f>
        <v>01029451600</v>
      </c>
      <c r="B7803" s="1" t="str">
        <f>"MAC 3 PROPERTIES LLC"</f>
        <v>MAC 3 PROPERTIES LLC</v>
      </c>
      <c r="C7803" s="1" t="str">
        <f>"EDGEWATER PLACE INVESTMENT CONDOMINIUM UNIT 5254 BLDG 4 "</f>
        <v xml:space="preserve">EDGEWATER PLACE INVESTMENT CONDOMINIUM UNIT 5254 BLDG 4 </v>
      </c>
      <c r="D7803" s="1">
        <v>885.93</v>
      </c>
    </row>
    <row r="7804" spans="1:4" x14ac:dyDescent="0.3">
      <c r="A7804" s="1" t="str">
        <f>"01029452600"</f>
        <v>01029452600</v>
      </c>
      <c r="B7804" s="1" t="str">
        <f>"MAC 3 PROPERTIES LLC"</f>
        <v>MAC 3 PROPERTIES LLC</v>
      </c>
      <c r="C7804" s="1" t="str">
        <f>"EDGEWATER PLACE INVESTMENT CONDOMINIUM UNIT 5268 BLDG 4 "</f>
        <v xml:space="preserve">EDGEWATER PLACE INVESTMENT CONDOMINIUM UNIT 5268 BLDG 4 </v>
      </c>
      <c r="D7804" s="1">
        <v>902.34</v>
      </c>
    </row>
    <row r="7805" spans="1:4" x14ac:dyDescent="0.3">
      <c r="A7805" s="1" t="str">
        <f>"01029456400"</f>
        <v>01029456400</v>
      </c>
      <c r="B7805" s="1" t="str">
        <f>"MAC 3 PROPERTIES LLC"</f>
        <v>MAC 3 PROPERTIES LLC</v>
      </c>
      <c r="C7805" s="1" t="str">
        <f>"EDGEWATER PLACE INVESTMENT CONDOMINIUM UNIT 307 BLDG 7 "</f>
        <v xml:space="preserve">EDGEWATER PLACE INVESTMENT CONDOMINIUM UNIT 307 BLDG 7 </v>
      </c>
      <c r="D7805" s="1">
        <v>920.32</v>
      </c>
    </row>
    <row r="7806" spans="1:4" x14ac:dyDescent="0.3">
      <c r="A7806" s="1" t="str">
        <f>"24100030000"</f>
        <v>24100030000</v>
      </c>
      <c r="B7806" s="1" t="str">
        <f>"MACALOU BRENDA M"</f>
        <v>MACALOU BRENDA M</v>
      </c>
      <c r="C7806" s="1" t="str">
        <f>"LAKEFIELD DRIVE LAKE DARBY ESTATES 2 LOT 366"</f>
        <v>LAKEFIELD DRIVE LAKE DARBY ESTATES 2 LOT 366</v>
      </c>
      <c r="D7806" s="1">
        <v>5329.67</v>
      </c>
    </row>
    <row r="7807" spans="1:4" x14ac:dyDescent="0.3">
      <c r="A7807" s="1" t="str">
        <f>"01010021900"</f>
        <v>01010021900</v>
      </c>
      <c r="B7807" s="1" t="str">
        <f>"MACDAVIS CORPORATION LTD"</f>
        <v>MACDAVIS CORPORATION LTD</v>
      </c>
      <c r="C7807" s="1" t="str">
        <f>"MARBLE DR SHADY  LANE PARK LOT 167"</f>
        <v>MARBLE DR SHADY  LANE PARK LOT 167</v>
      </c>
      <c r="D7807" s="1">
        <v>1048.3900000000001</v>
      </c>
    </row>
    <row r="7808" spans="1:4" x14ac:dyDescent="0.3">
      <c r="A7808" s="1" t="str">
        <f>"57019292700"</f>
        <v>57019292700</v>
      </c>
      <c r="B7808" s="1" t="str">
        <f>"MACGREGOR SHARON A, MACGREGOR ROBERT E"</f>
        <v>MACGREGOR SHARON A, MACGREGOR ROBERT E</v>
      </c>
      <c r="C7808" s="1" t="str">
        <f>"MARSDALE AVE MARSDALE 95 "</f>
        <v xml:space="preserve">MARSDALE AVE MARSDALE 95 </v>
      </c>
      <c r="D7808" s="1">
        <v>346.11</v>
      </c>
    </row>
    <row r="7809" spans="1:4" x14ac:dyDescent="0.3">
      <c r="A7809" s="1" t="str">
        <f>"01016673600"</f>
        <v>01016673600</v>
      </c>
      <c r="B7809" s="1" t="str">
        <f>"MACHARIA CYRUS, MACHARIA PENNY"</f>
        <v>MACHARIA CYRUS, MACHARIA PENNY</v>
      </c>
      <c r="C7809" s="1" t="str">
        <f>"LANCASHIRE RD AMVET HOMESTEAD 2 LOT 16 BLK G"</f>
        <v>LANCASHIRE RD AMVET HOMESTEAD 2 LOT 16 BLK G</v>
      </c>
      <c r="D7809" s="1">
        <v>797.8</v>
      </c>
    </row>
    <row r="7810" spans="1:4" x14ac:dyDescent="0.3">
      <c r="A7810" s="1" t="str">
        <f>"03000001500"</f>
        <v>03000001500</v>
      </c>
      <c r="B7810" s="1" t="str">
        <f>"MACINNES ROBERT B JR, MACINNES JENNIFER"</f>
        <v>MACINNES ROBERT B JR, MACINNES JENNIFER</v>
      </c>
      <c r="C7810" s="1" t="str">
        <f>"1370 WYANDOTTE RD ALL 471 &amp; S1/2 472 GLADDINGTON HTS"</f>
        <v>1370 WYANDOTTE RD ALL 471 &amp; S1/2 472 GLADDINGTON HTS</v>
      </c>
      <c r="D7810" s="1">
        <v>608.44000000000005</v>
      </c>
    </row>
    <row r="7811" spans="1:4" x14ac:dyDescent="0.3">
      <c r="A7811" s="1" t="str">
        <f>"24000470200"</f>
        <v>24000470200</v>
      </c>
      <c r="B7811" s="1" t="str">
        <f>"MACINTYRE LINDA L"</f>
        <v>MACINTYRE LINDA L</v>
      </c>
      <c r="C7811" s="1" t="str">
        <f>"LOMBARD RD LINCOLN VILLAGE S LOT 539"</f>
        <v>LOMBARD RD LINCOLN VILLAGE S LOT 539</v>
      </c>
      <c r="D7811" s="1">
        <v>121.08</v>
      </c>
    </row>
    <row r="7812" spans="1:4" x14ac:dyDescent="0.3">
      <c r="A7812" s="1" t="str">
        <f>"03000098200"</f>
        <v>03000098200</v>
      </c>
      <c r="B7812" s="1" t="str">
        <f>"MACK DOUGLAS"</f>
        <v>MACK DOUGLAS</v>
      </c>
      <c r="C7812" s="1" t="str">
        <f>"815 THOMAS RD 31 FT N.S.L 272 &amp; 11FT SS L 271 N W BLVD 4"</f>
        <v>815 THOMAS RD 31 FT N.S.L 272 &amp; 11FT SS L 271 N W BLVD 4</v>
      </c>
      <c r="D7812" s="1">
        <v>7948.04</v>
      </c>
    </row>
    <row r="7813" spans="1:4" x14ac:dyDescent="0.3">
      <c r="A7813" s="1" t="str">
        <f>"61019636000"</f>
        <v>61019636000</v>
      </c>
      <c r="B7813" s="1" t="str">
        <f>"MACK DOUGLAS J"</f>
        <v>MACK DOUGLAS J</v>
      </c>
      <c r="C7813" s="1" t="str">
        <f>"DISCOVERY DR WESTWORTH VIL 3 PT 2 LOT 217"</f>
        <v>DISCOVERY DR WESTWORTH VIL 3 PT 2 LOT 217</v>
      </c>
      <c r="D7813" s="1">
        <v>6935.84</v>
      </c>
    </row>
    <row r="7814" spans="1:4" x14ac:dyDescent="0.3">
      <c r="A7814" s="1" t="str">
        <f>"01020845500"</f>
        <v>01020845500</v>
      </c>
      <c r="B7814" s="1" t="str">
        <f>"MACKEY ROXANE"</f>
        <v>MACKEY ROXANE</v>
      </c>
      <c r="C7814" s="1" t="str">
        <f>"NORTHLAND SENIOR VILLAGE CONDO 3 UNIT 214"</f>
        <v>NORTHLAND SENIOR VILLAGE CONDO 3 UNIT 214</v>
      </c>
      <c r="D7814" s="1">
        <v>61.56</v>
      </c>
    </row>
    <row r="7815" spans="1:4" x14ac:dyDescent="0.3">
      <c r="A7815" s="1" t="str">
        <f>"19100063100"</f>
        <v>19100063100</v>
      </c>
      <c r="B7815" s="1" t="str">
        <f>"MACMILLAN GROUP LLC"</f>
        <v>MACMILLAN GROUP LLC</v>
      </c>
      <c r="C7815" s="1" t="str">
        <f>"MISSOURIA AVE LEONARD PARK 40 BLK G"</f>
        <v>MISSOURIA AVE LEONARD PARK 40 BLK G</v>
      </c>
      <c r="D7815" s="1">
        <v>791.8</v>
      </c>
    </row>
    <row r="7816" spans="1:4" x14ac:dyDescent="0.3">
      <c r="A7816" s="1" t="str">
        <f>"19100063200"</f>
        <v>19100063200</v>
      </c>
      <c r="B7816" s="1" t="str">
        <f>"MACMILLAN GROUP LLC"</f>
        <v>MACMILLAN GROUP LLC</v>
      </c>
      <c r="C7816" s="1" t="str">
        <f>"MISSOURIA AVE LEONARD PARK 41 BLK G"</f>
        <v>MISSOURIA AVE LEONARD PARK 41 BLK G</v>
      </c>
      <c r="D7816" s="1">
        <v>791.8</v>
      </c>
    </row>
    <row r="7817" spans="1:4" x14ac:dyDescent="0.3">
      <c r="A7817" s="1" t="str">
        <f>"19100063300"</f>
        <v>19100063300</v>
      </c>
      <c r="B7817" s="1" t="str">
        <f>"MACMILLAN GROUP LLC"</f>
        <v>MACMILLAN GROUP LLC</v>
      </c>
      <c r="C7817" s="1" t="str">
        <f>"MISSOURI AVE LEONARD PARK 42 BLK G"</f>
        <v>MISSOURI AVE LEONARD PARK 42 BLK G</v>
      </c>
      <c r="D7817" s="1">
        <v>791.8</v>
      </c>
    </row>
    <row r="7818" spans="1:4" x14ac:dyDescent="0.3">
      <c r="A7818" s="1" t="str">
        <f>"01013278600"</f>
        <v>01013278600</v>
      </c>
      <c r="B7818" s="1" t="str">
        <f>"MACON GWENDOLYN LE, MACON-BRUCE MARCIA J RMDR"</f>
        <v>MACON GWENDOLYN LE, MACON-BRUCE MARCIA J RMDR</v>
      </c>
      <c r="C7818" s="1" t="str">
        <f>"SILVERBROOK DR SILVERBROOK HTS LOT 36"</f>
        <v>SILVERBROOK DR SILVERBROOK HTS LOT 36</v>
      </c>
      <c r="D7818" s="1">
        <v>99.94</v>
      </c>
    </row>
    <row r="7819" spans="1:4" x14ac:dyDescent="0.3">
      <c r="A7819" s="1" t="str">
        <f>"01002930700"</f>
        <v>01002930700</v>
      </c>
      <c r="B7819" s="1" t="str">
        <f>"MADAN A K TR, MADAN MANJU TR"</f>
        <v>MADAN A K TR, MADAN MANJU TR</v>
      </c>
      <c r="C7819" s="1" t="str">
        <f>"839 BERKELY RD SCARLET &amp; HALLERS LOTS 3-7"</f>
        <v>839 BERKELY RD SCARLET &amp; HALLERS LOTS 3-7</v>
      </c>
      <c r="D7819" s="1">
        <v>1977.6</v>
      </c>
    </row>
    <row r="7820" spans="1:4" x14ac:dyDescent="0.3">
      <c r="A7820" s="1" t="str">
        <f>"53017078900"</f>
        <v>53017078900</v>
      </c>
      <c r="B7820" s="1" t="str">
        <f>"MADDEN CHARLOTTE A"</f>
        <v>MADDEN CHARLOTTE A</v>
      </c>
      <c r="C7820" s="1" t="str">
        <f>"OVERLAND CT THREE RIVERS SUB RES D LOT 444"</f>
        <v>OVERLAND CT THREE RIVERS SUB RES D LOT 444</v>
      </c>
      <c r="D7820" s="1">
        <v>136.33000000000001</v>
      </c>
    </row>
    <row r="7821" spans="1:4" x14ac:dyDescent="0.3">
      <c r="A7821" s="1" t="str">
        <f>"01023012800"</f>
        <v>01023012800</v>
      </c>
      <c r="B7821" s="1" t="str">
        <f>"MADDEN RYAN P"</f>
        <v>MADDEN RYAN P</v>
      </c>
      <c r="C7821" s="1" t="str">
        <f>"17BROAD POINTE PLACE VILLA AT EAST POINTE CONDO BLDG 2 UNTI 17"</f>
        <v>17BROAD POINTE PLACE VILLA AT EAST POINTE CONDO BLDG 2 UNTI 17</v>
      </c>
      <c r="D7821" s="1">
        <v>1599.75</v>
      </c>
    </row>
    <row r="7822" spans="1:4" x14ac:dyDescent="0.3">
      <c r="A7822" s="1" t="str">
        <f>"01027777800"</f>
        <v>01027777800</v>
      </c>
      <c r="B7822" s="1" t="str">
        <f>"MADDY DOUGLAS TTEE"</f>
        <v>MADDY DOUGLAS TTEE</v>
      </c>
      <c r="C7822" s="1" t="str">
        <f>"COBBLESTONE AT THE PRESERVE CONDOMINIUM 2ND AMD UNIT 32-6225"</f>
        <v>COBBLESTONE AT THE PRESERVE CONDOMINIUM 2ND AMD UNIT 32-6225</v>
      </c>
      <c r="D7822" s="1">
        <v>244.95</v>
      </c>
    </row>
    <row r="7823" spans="1:4" x14ac:dyDescent="0.3">
      <c r="A7823" s="1" t="str">
        <f>"01010880900"</f>
        <v>01010880900</v>
      </c>
      <c r="B7823" s="1" t="str">
        <f>"MADISON CARL D"</f>
        <v>MADISON CARL D</v>
      </c>
      <c r="C7823" s="1" t="str">
        <f>"HOLT AVE BONA-VENTURA LOT 12"</f>
        <v>HOLT AVE BONA-VENTURA LOT 12</v>
      </c>
      <c r="D7823" s="1">
        <v>409.08</v>
      </c>
    </row>
    <row r="7824" spans="1:4" x14ac:dyDescent="0.3">
      <c r="A7824" s="1" t="str">
        <f>"01007552000"</f>
        <v>01007552000</v>
      </c>
      <c r="B7824" s="1" t="str">
        <f>"MADISON CARLINE TTEE"</f>
        <v>MADISON CARLINE TTEE</v>
      </c>
      <c r="C7824" s="1" t="str">
        <f>"ONTARIO ST HOMESTEAD HTS LOT 183"</f>
        <v>ONTARIO ST HOMESTEAD HTS LOT 183</v>
      </c>
      <c r="D7824" s="1">
        <v>20</v>
      </c>
    </row>
    <row r="7825" spans="1:4" x14ac:dyDescent="0.3">
      <c r="A7825" s="1" t="str">
        <f>"01007532400"</f>
        <v>01007532400</v>
      </c>
      <c r="B7825" s="1" t="str">
        <f>"MADISON CARLINE TTEE"</f>
        <v>MADISON CARLINE TTEE</v>
      </c>
      <c r="C7825" s="1" t="str">
        <f>"HIAWATHA PK DR GRASMERE GARDENS LOT 561"</f>
        <v>HIAWATHA PK DR GRASMERE GARDENS LOT 561</v>
      </c>
      <c r="D7825" s="1">
        <v>51.61</v>
      </c>
    </row>
    <row r="7826" spans="1:4" x14ac:dyDescent="0.3">
      <c r="A7826" s="1" t="str">
        <f>"01099934200"</f>
        <v>01099934200</v>
      </c>
      <c r="B7826" s="1" t="str">
        <f>"MADISON OH VALLEYVIEW LLC"</f>
        <v>MADISON OH VALLEYVIEW LLC</v>
      </c>
      <c r="C7826" s="1" t="str">
        <f>"  "</f>
        <v xml:space="preserve">  </v>
      </c>
      <c r="D7826" s="1">
        <v>68097.94</v>
      </c>
    </row>
    <row r="7827" spans="1:4" x14ac:dyDescent="0.3">
      <c r="A7827" s="1" t="str">
        <f>"11000509600"</f>
        <v>11000509600</v>
      </c>
      <c r="B7827" s="1" t="str">
        <f>"MADISON ROSE M, MADISON BRYANT"</f>
        <v>MADISON ROSE M, MADISON BRYANT</v>
      </c>
      <c r="C7827" s="1" t="str">
        <f>"TRITON COURT HAMSTEAD NO 2 LOT 412"</f>
        <v>TRITON COURT HAMSTEAD NO 2 LOT 412</v>
      </c>
      <c r="D7827" s="1">
        <v>239.98</v>
      </c>
    </row>
    <row r="7828" spans="1:4" x14ac:dyDescent="0.3">
      <c r="A7828" s="1" t="str">
        <f>"19000393400"</f>
        <v>19000393400</v>
      </c>
      <c r="B7828" s="1" t="str">
        <f>"MADRID DERAS WILMER, GUTIERREZ HUEZO BLANCA"</f>
        <v>MADRID DERAS WILMER, GUTIERREZ HUEZO BLANCA</v>
      </c>
      <c r="C7828" s="1" t="str">
        <f>"MECCA RD NORTHGLEN SUB LOT 174"</f>
        <v>MECCA RD NORTHGLEN SUB LOT 174</v>
      </c>
      <c r="D7828" s="1">
        <v>119.83</v>
      </c>
    </row>
    <row r="7829" spans="1:4" x14ac:dyDescent="0.3">
      <c r="A7829" s="1" t="str">
        <f>"11000328500"</f>
        <v>11000328500</v>
      </c>
      <c r="B7829" s="1" t="str">
        <f>"MADRID PATRICK T, MADRID NANCY J"</f>
        <v>MADRID PATRICK T, MADRID NANCY J</v>
      </c>
      <c r="C7829" s="1" t="str">
        <f>"BUENOS AIRES BLVD H C HUBER PLAT 48 SEC 2 1358"</f>
        <v>BUENOS AIRES BLVD H C HUBER PLAT 48 SEC 2 1358</v>
      </c>
      <c r="D7829" s="1">
        <v>2810.82</v>
      </c>
    </row>
    <row r="7830" spans="1:4" x14ac:dyDescent="0.3">
      <c r="A7830" s="1" t="str">
        <f>"11000328200"</f>
        <v>11000328200</v>
      </c>
      <c r="B7830" s="1" t="str">
        <f>"MADRID PATRICK T, MADRID NANCY J"</f>
        <v>MADRID PATRICK T, MADRID NANCY J</v>
      </c>
      <c r="C7830" s="1" t="str">
        <f>"BUENOS AIRES BLVD H C HUBER PLAT 48 SEC 2 1355"</f>
        <v>BUENOS AIRES BLVD H C HUBER PLAT 48 SEC 2 1355</v>
      </c>
      <c r="D7830" s="1">
        <v>7577.01</v>
      </c>
    </row>
    <row r="7831" spans="1:4" x14ac:dyDescent="0.3">
      <c r="A7831" s="1" t="str">
        <f>"01016689400"</f>
        <v>01016689400</v>
      </c>
      <c r="B7831" s="1" t="str">
        <f>"MADRID-DERAS WILMER ELOIN, GUTIERREZ-HUEZO BLANCA OLIVIA"</f>
        <v>MADRID-DERAS WILMER ELOIN, GUTIERREZ-HUEZO BLANCA OLIVIA</v>
      </c>
      <c r="C7831" s="1" t="str">
        <f>"2156 ARGYLE DRIVE AMVET HOMESTEAD 2 LOT 22 BLK M"</f>
        <v>2156 ARGYLE DRIVE AMVET HOMESTEAD 2 LOT 22 BLK M</v>
      </c>
      <c r="D7831" s="1">
        <v>78.47</v>
      </c>
    </row>
    <row r="7832" spans="1:4" x14ac:dyDescent="0.3">
      <c r="A7832" s="1" t="str">
        <f>"01001920600"</f>
        <v>01001920600</v>
      </c>
      <c r="B7832" s="1" t="str">
        <f>"MADROX PROPERTIES LLC"</f>
        <v>MADROX PROPERTIES LLC</v>
      </c>
      <c r="C7832" s="1" t="str">
        <f>"706 17TH ST SWAYNE LOT 232"</f>
        <v>706 17TH ST SWAYNE LOT 232</v>
      </c>
      <c r="D7832" s="1">
        <v>1606.37</v>
      </c>
    </row>
    <row r="7833" spans="1:4" x14ac:dyDescent="0.3">
      <c r="A7833" s="1" t="str">
        <f>"01019023700"</f>
        <v>01019023700</v>
      </c>
      <c r="B7833" s="1" t="str">
        <f>"MADU ROSE TTEE"</f>
        <v>MADU ROSE TTEE</v>
      </c>
      <c r="C7833" s="1" t="str">
        <f>"LAURELWOOD CONDO HOMES 1ST AMD UNIT 2291"</f>
        <v>LAURELWOOD CONDO HOMES 1ST AMD UNIT 2291</v>
      </c>
      <c r="D7833" s="1">
        <v>2202</v>
      </c>
    </row>
    <row r="7834" spans="1:4" x14ac:dyDescent="0.3">
      <c r="A7834" s="1" t="str">
        <f>"01011912400"</f>
        <v>01011912400</v>
      </c>
      <c r="B7834" s="1" t="str">
        <f>"MAEDER ROBERT M"</f>
        <v>MAEDER ROBERT M</v>
      </c>
      <c r="C7834" s="1" t="str">
        <f>"WOODWAY RD SOUTHFIELD LOT 148"</f>
        <v>WOODWAY RD SOUTHFIELD LOT 148</v>
      </c>
      <c r="D7834" s="1">
        <v>1582.96</v>
      </c>
    </row>
    <row r="7835" spans="1:4" x14ac:dyDescent="0.3">
      <c r="A7835" s="1" t="str">
        <f>"56022305800"</f>
        <v>56022305800</v>
      </c>
      <c r="B7835" s="1" t="str">
        <f>"MAFARJA MASHHOUR Y, ABDELLATIF NISREEN"</f>
        <v>MAFARJA MASHHOUR Y, ABDELLATIF NISREEN</v>
      </c>
      <c r="C7835" s="1" t="str">
        <f>"0000HILLIARD OAKS CT HILLIARD OAKS LOT 21"</f>
        <v>0000HILLIARD OAKS CT HILLIARD OAKS LOT 21</v>
      </c>
      <c r="D7835" s="1">
        <v>8109.23</v>
      </c>
    </row>
    <row r="7836" spans="1:4" x14ac:dyDescent="0.3">
      <c r="A7836" s="1" t="str">
        <f>"01008470100"</f>
        <v>01008470100</v>
      </c>
      <c r="B7836" s="1" t="str">
        <f>"MAFI LLC"</f>
        <v>MAFI LLC</v>
      </c>
      <c r="C7836" s="1" t="str">
        <f>"711 GARDEN ROAD SEE DUP FOR DESC HIGHLAND GARDENS"</f>
        <v>711 GARDEN ROAD SEE DUP FOR DESC HIGHLAND GARDENS</v>
      </c>
      <c r="D7836" s="1">
        <v>5430.05</v>
      </c>
    </row>
    <row r="7837" spans="1:4" x14ac:dyDescent="0.3">
      <c r="A7837" s="1" t="str">
        <f>"01002413300"</f>
        <v>01002413300</v>
      </c>
      <c r="B7837" s="1" t="str">
        <f>"MAFI LLC (99 YEAR LEASE)"</f>
        <v>MAFI LLC (99 YEAR LEASE)</v>
      </c>
      <c r="C7837" s="1" t="str">
        <f>"20-26 S FRONT ST          23.5 X 50 FT              IN LOT LOT 190           "</f>
        <v xml:space="preserve">20-26 S FRONT ST          23.5 X 50 FT              IN LOT LOT 190           </v>
      </c>
      <c r="D7837" s="1">
        <v>12725.54</v>
      </c>
    </row>
    <row r="7838" spans="1:4" x14ac:dyDescent="0.3">
      <c r="A7838" s="1" t="str">
        <f>"01013841100"</f>
        <v>01013841100</v>
      </c>
      <c r="B7838" s="1" t="str">
        <f>"MAGANA CALDERON KARLA M"</f>
        <v>MAGANA CALDERON KARLA M</v>
      </c>
      <c r="C7838" s="1" t="str">
        <f>"2133 KINGSHAVEN PL GLENBROOK SEC 2   LOT 327 &amp; 2.5'EL IRR TRI SE LT326"</f>
        <v>2133 KINGSHAVEN PL GLENBROOK SEC 2   LOT 327 &amp; 2.5'EL IRR TRI SE LT326</v>
      </c>
      <c r="D7838" s="1">
        <v>3172.3</v>
      </c>
    </row>
    <row r="7839" spans="1:4" x14ac:dyDescent="0.3">
      <c r="A7839" s="1" t="str">
        <f>"04000021000"</f>
        <v>04000021000</v>
      </c>
      <c r="B7839" s="1" t="str">
        <f>"MAGANA DIMAS D"</f>
        <v>MAGANA DIMAS D</v>
      </c>
      <c r="C7839" s="1" t="str">
        <f>"3690-692 MIDLAND AVE BEULAH SUB LOT 97"</f>
        <v>3690-692 MIDLAND AVE BEULAH SUB LOT 97</v>
      </c>
      <c r="D7839" s="1">
        <v>5796.41</v>
      </c>
    </row>
    <row r="7840" spans="1:4" x14ac:dyDescent="0.3">
      <c r="A7840" s="1" t="str">
        <f>"04000022800"</f>
        <v>04000022800</v>
      </c>
      <c r="B7840" s="1" t="str">
        <f>"MAGANA DIMAS D"</f>
        <v>MAGANA DIMAS D</v>
      </c>
      <c r="C7840" s="1" t="str">
        <f>"MIDLAND ST BEULAH SUB LOT 98"</f>
        <v>MIDLAND ST BEULAH SUB LOT 98</v>
      </c>
      <c r="D7840" s="1">
        <v>500.03</v>
      </c>
    </row>
    <row r="7841" spans="1:4" x14ac:dyDescent="0.3">
      <c r="A7841" s="1" t="str">
        <f>"09000634400"</f>
        <v>09000634400</v>
      </c>
      <c r="B7841" s="1" t="str">
        <f>"MAGANA MAICO OSVALDO"</f>
        <v>MAGANA MAICO OSVALDO</v>
      </c>
      <c r="C7841" s="1" t="str">
        <f>"4009 VIRGINIA CIRCLE OLPP LOT 94 "</f>
        <v xml:space="preserve">4009 VIRGINIA CIRCLE OLPP LOT 94 </v>
      </c>
      <c r="D7841" s="1">
        <v>3312.22</v>
      </c>
    </row>
    <row r="7842" spans="1:4" x14ac:dyDescent="0.3">
      <c r="A7842" s="1" t="str">
        <f>"01006826900"</f>
        <v>01006826900</v>
      </c>
      <c r="B7842" s="1" t="str">
        <f>"MAGANA ZEPEDA DIMAS"</f>
        <v>MAGANA ZEPEDA DIMAS</v>
      </c>
      <c r="C7842" s="1" t="str">
        <f>"578-80 S WARREN AVE HEFFNER HTS LOT 43"</f>
        <v>578-80 S WARREN AVE HEFFNER HTS LOT 43</v>
      </c>
      <c r="D7842" s="1">
        <v>5133.43</v>
      </c>
    </row>
    <row r="7843" spans="1:4" x14ac:dyDescent="0.3">
      <c r="A7843" s="1" t="str">
        <f>"01013946400"</f>
        <v>01013946400</v>
      </c>
      <c r="B7843" s="1" t="str">
        <f>"MAGELLAN PROPERTY MANAGEMENT LLC"</f>
        <v>MAGELLAN PROPERTY MANAGEMENT LLC</v>
      </c>
      <c r="C7843" s="1" t="str">
        <f>"WALNUT HILL PARK DR WALNUT HILL PARK LOT 128"</f>
        <v>WALNUT HILL PARK DR WALNUT HILL PARK LOT 128</v>
      </c>
      <c r="D7843" s="1">
        <v>4758.03</v>
      </c>
    </row>
    <row r="7844" spans="1:4" x14ac:dyDescent="0.3">
      <c r="A7844" s="1" t="str">
        <f>"55027598300"</f>
        <v>55027598300</v>
      </c>
      <c r="B7844" s="1" t="str">
        <f>"MAGGIED ANTOINETTE, MAGGIED BRIAN"</f>
        <v>MAGGIED ANTOINETTE, MAGGIED BRIAN</v>
      </c>
      <c r="C7844" s="1" t="str">
        <f>"MARIAS POINT LN GATES OF MCNAUGHTEN 48'NL,45'SL WS LOT 14"</f>
        <v>MARIAS POINT LN GATES OF MCNAUGHTEN 48'NL,45'SL WS LOT 14</v>
      </c>
      <c r="D7844" s="1">
        <v>5015.59</v>
      </c>
    </row>
    <row r="7845" spans="1:4" x14ac:dyDescent="0.3">
      <c r="A7845" s="1" t="str">
        <f>"01006936700"</f>
        <v>01006936700</v>
      </c>
      <c r="B7845" s="1" t="str">
        <f>"MAGIC RESTORATION LLC"</f>
        <v>MAGIC RESTORATION LLC</v>
      </c>
      <c r="C7845" s="1" t="str">
        <f>"MOUND ST VAUGHAN GARDENS LOT 4"</f>
        <v>MOUND ST VAUGHAN GARDENS LOT 4</v>
      </c>
      <c r="D7845" s="1">
        <v>357.11</v>
      </c>
    </row>
    <row r="7846" spans="1:4" x14ac:dyDescent="0.3">
      <c r="A7846" s="1" t="str">
        <f>"61019931600"</f>
        <v>61019931600</v>
      </c>
      <c r="B7846" s="1" t="str">
        <f>"MAGILL CONSTANCE A TTEE"</f>
        <v>MAGILL CONSTANCE A TTEE</v>
      </c>
      <c r="C7846" s="1" t="str">
        <f>"JAY PLACE CHRISTOPHER WOODS LOT 5"</f>
        <v>JAY PLACE CHRISTOPHER WOODS LOT 5</v>
      </c>
      <c r="D7846" s="1">
        <v>12519.44</v>
      </c>
    </row>
    <row r="7847" spans="1:4" x14ac:dyDescent="0.3">
      <c r="A7847" s="1" t="str">
        <f>"10000369700"</f>
        <v>10000369700</v>
      </c>
      <c r="B7847" s="1" t="str">
        <f>"MAGILL KYLE D, MAGILL SARAH W"</f>
        <v>MAGILL KYLE D, MAGILL SARAH W</v>
      </c>
      <c r="C7847" s="1" t="str">
        <f>"6894 RIEBER ST WORTHINGTON ESTATES LOT 20 BLK M"</f>
        <v>6894 RIEBER ST WORTHINGTON ESTATES LOT 20 BLK M</v>
      </c>
      <c r="D7847" s="1">
        <v>486.31</v>
      </c>
    </row>
    <row r="7848" spans="1:4" x14ac:dyDescent="0.3">
      <c r="A7848" s="1" t="str">
        <f>"01018526700"</f>
        <v>01018526700</v>
      </c>
      <c r="B7848" s="1" t="str">
        <f>"MAGLEY DAVID W"</f>
        <v>MAGLEY DAVID W</v>
      </c>
      <c r="C7848" s="1" t="str">
        <f>"MORSETOWN CT BRENTWOOD CONDO UNIT 4226 BLDG 6"</f>
        <v>MORSETOWN CT BRENTWOOD CONDO UNIT 4226 BLDG 6</v>
      </c>
      <c r="D7848" s="1">
        <v>518.22</v>
      </c>
    </row>
    <row r="7849" spans="1:4" x14ac:dyDescent="0.3">
      <c r="A7849" s="1" t="str">
        <f>"56021138400"</f>
        <v>56021138400</v>
      </c>
      <c r="B7849" s="1" t="str">
        <f>"MAGNAGHI DAVID V, MAGNAGHI ANGELA K"</f>
        <v>MAGNAGHI DAVID V, MAGNAGHI ANGELA K</v>
      </c>
      <c r="C7849" s="1" t="str">
        <f>"ADIDAS COURT THE COVENTRY LOT 14"</f>
        <v>ADIDAS COURT THE COVENTRY LOT 14</v>
      </c>
      <c r="D7849" s="1">
        <v>5571.07</v>
      </c>
    </row>
    <row r="7850" spans="1:4" x14ac:dyDescent="0.3">
      <c r="A7850" s="1" t="str">
        <f>"01004502300"</f>
        <v>01004502300</v>
      </c>
      <c r="B7850" s="1" t="str">
        <f>"MAGNOLIA SKY CO LTD"</f>
        <v>MAGNOLIA SKY CO LTD</v>
      </c>
      <c r="C7850" s="1" t="str">
        <f>"491 WHITTIER ST DESHLER&amp;SINKS2ND LOT 147"</f>
        <v>491 WHITTIER ST DESHLER&amp;SINKS2ND LOT 147</v>
      </c>
      <c r="D7850" s="1">
        <v>77.94</v>
      </c>
    </row>
    <row r="7851" spans="1:4" x14ac:dyDescent="0.3">
      <c r="A7851" s="1" t="str">
        <f>"08000092200"</f>
        <v>08000092200</v>
      </c>
      <c r="B7851" s="1" t="str">
        <f>"MAGNUSSON MARY P"</f>
        <v>MAGNUSSON MARY P</v>
      </c>
      <c r="C7851" s="1" t="str">
        <f>"58 E MAIN ST SLAUGHTER &amp; TABLERS OLD 4 NEW 236"</f>
        <v>58 E MAIN ST SLAUGHTER &amp; TABLERS OLD 4 NEW 236</v>
      </c>
      <c r="D7851" s="1">
        <v>165.47</v>
      </c>
    </row>
    <row r="7852" spans="1:4" x14ac:dyDescent="0.3">
      <c r="A7852" s="1" t="str">
        <f>"01029114800"</f>
        <v>01029114800</v>
      </c>
      <c r="B7852" s="1" t="str">
        <f>"MAGOTO ELLIOT N"</f>
        <v>MAGOTO ELLIOT N</v>
      </c>
      <c r="C7852" s="1" t="str">
        <f>"THE DESOTO,A CONDOMINIUM  2ND AMD UNIT G 14         (GARAGE UNIT)            "</f>
        <v xml:space="preserve">THE DESOTO,A CONDOMINIUM  2ND AMD UNIT G 14         (GARAGE UNIT)            </v>
      </c>
      <c r="D7852" s="1">
        <v>132.83000000000001</v>
      </c>
    </row>
    <row r="7853" spans="1:4" x14ac:dyDescent="0.3">
      <c r="A7853" s="1" t="str">
        <f>"07001233900"</f>
        <v>07001233900</v>
      </c>
      <c r="B7853" s="1" t="str">
        <f>"MAGOTO LINDA M TTEE"</f>
        <v>MAGOTO LINDA M TTEE</v>
      </c>
      <c r="C7853" s="1" t="str">
        <f>"FOUNTAINE DR TROUVILLE FOUNTAINE CONDOMINIUM LOT G5-L"</f>
        <v>FOUNTAINE DR TROUVILLE FOUNTAINE CONDOMINIUM LOT G5-L</v>
      </c>
      <c r="D7853" s="1">
        <v>353.43</v>
      </c>
    </row>
    <row r="7854" spans="1:4" x14ac:dyDescent="0.3">
      <c r="A7854" s="1" t="str">
        <f>"18000206900"</f>
        <v>18000206900</v>
      </c>
      <c r="B7854" s="1" t="str">
        <f>"MAGS RENTAL LLC"</f>
        <v>MAGS RENTAL LLC</v>
      </c>
      <c r="C7854" s="1" t="str">
        <f>"EVANSTON RD BLACKLICK ESTATES 1 211"</f>
        <v>EVANSTON RD BLACKLICK ESTATES 1 211</v>
      </c>
      <c r="D7854" s="1">
        <v>1358.39</v>
      </c>
    </row>
    <row r="7855" spans="1:4" x14ac:dyDescent="0.3">
      <c r="A7855" s="1" t="str">
        <f>"14000299800"</f>
        <v>14000299800</v>
      </c>
      <c r="B7855" s="1" t="str">
        <f>"MAGUANA GARCIA JOSE MIGUEL"</f>
        <v>MAGUANA GARCIA JOSE MIGUEL</v>
      </c>
      <c r="C7855" s="1" t="str">
        <f>"1083 HARRISBURG PI FIRST SEARLES 12 "</f>
        <v xml:space="preserve">1083 HARRISBURG PI FIRST SEARLES 12 </v>
      </c>
      <c r="D7855" s="1">
        <v>1345.58</v>
      </c>
    </row>
    <row r="7856" spans="1:4" x14ac:dyDescent="0.3">
      <c r="A7856" s="1" t="str">
        <f>"59023375700"</f>
        <v>59023375700</v>
      </c>
      <c r="B7856" s="1" t="str">
        <f>"MAHADEVAN KATHYAYANI, REDDY CHAITANYA K"</f>
        <v>MAHADEVAN KATHYAYANI, REDDY CHAITANYA K</v>
      </c>
      <c r="C7856" s="1" t="str">
        <f>"THE LAKES AT BETHEL PARK CONDO 3RD AMD BLDG 24 UNIT 2179"</f>
        <v>THE LAKES AT BETHEL PARK CONDO 3RD AMD BLDG 24 UNIT 2179</v>
      </c>
      <c r="D7856" s="1">
        <v>5756.5</v>
      </c>
    </row>
    <row r="7857" spans="1:4" x14ac:dyDescent="0.3">
      <c r="A7857" s="1" t="str">
        <f>"61022425400"</f>
        <v>61022425400</v>
      </c>
      <c r="B7857" s="1" t="str">
        <f>"MAHAFFEY KENNETH A TR"</f>
        <v>MAHAFFEY KENNETH A TR</v>
      </c>
      <c r="C7857" s="1" t="str">
        <f>"WORTHINGTON HIGHLANDS SECTION 6 LOT 381"</f>
        <v>WORTHINGTON HIGHLANDS SECTION 6 LOT 381</v>
      </c>
      <c r="D7857" s="1">
        <v>424.51</v>
      </c>
    </row>
    <row r="7858" spans="1:4" x14ac:dyDescent="0.3">
      <c r="A7858" s="1" t="str">
        <f>"04000163600"</f>
        <v>04000163600</v>
      </c>
      <c r="B7858" s="1" t="str">
        <f>"MAHAN AUBREE C"</f>
        <v>MAHAN AUBREE C</v>
      </c>
      <c r="C7858" s="1" t="str">
        <f>"4104 ASHGROVE DR BROOKGROVE 116 "</f>
        <v xml:space="preserve">4104 ASHGROVE DR BROOKGROVE 116 </v>
      </c>
      <c r="D7858" s="1">
        <v>1470.4</v>
      </c>
    </row>
    <row r="7859" spans="1:4" x14ac:dyDescent="0.3">
      <c r="A7859" s="1" t="str">
        <f>"01001360700"</f>
        <v>01001360700</v>
      </c>
      <c r="B7859" s="1" t="str">
        <f>"MAHER STEPHEN E"</f>
        <v>MAHER STEPHEN E</v>
      </c>
      <c r="C7859" s="1" t="str">
        <f>"741 WILSON AVE OAKWOOD LOT 174"</f>
        <v>741 WILSON AVE OAKWOOD LOT 174</v>
      </c>
      <c r="D7859" s="1">
        <v>2434.42</v>
      </c>
    </row>
    <row r="7860" spans="1:4" x14ac:dyDescent="0.3">
      <c r="A7860" s="1" t="str">
        <f>"01003005900"</f>
        <v>01003005900</v>
      </c>
      <c r="B7860" s="1" t="str">
        <f>"MAHMOOD ARSHAD"</f>
        <v>MAHMOOD ARSHAD</v>
      </c>
      <c r="C7860" s="1" t="str">
        <f>"2445 W BROAD ST &amp; 15-17 EUREKA AVE BELLAIRE LOT 3-4"</f>
        <v>2445 W BROAD ST &amp; 15-17 EUREKA AVE BELLAIRE LOT 3-4</v>
      </c>
      <c r="D7860" s="1">
        <v>3994.25</v>
      </c>
    </row>
    <row r="7861" spans="1:4" x14ac:dyDescent="0.3">
      <c r="A7861" s="1" t="str">
        <f>"01004990800"</f>
        <v>01004990800</v>
      </c>
      <c r="B7861" s="1" t="str">
        <f>"MAHMOOD QASIM"</f>
        <v>MAHMOOD QASIM</v>
      </c>
      <c r="C7861" s="1" t="str">
        <f>"717 WAGER ST SWAYNE LOT 86"</f>
        <v>717 WAGER ST SWAYNE LOT 86</v>
      </c>
      <c r="D7861" s="1">
        <v>3534.19</v>
      </c>
    </row>
    <row r="7862" spans="1:4" x14ac:dyDescent="0.3">
      <c r="A7862" s="1" t="str">
        <f>"57024390800"</f>
        <v>57024390800</v>
      </c>
      <c r="B7862" s="1" t="str">
        <f>"MAHON SAUNDRA D"</f>
        <v>MAHON SAUNDRA D</v>
      </c>
      <c r="C7862" s="1" t="str">
        <f>"RESACA DRIVE HOLT PARK SECTION 1 LOT 127"</f>
        <v>RESACA DRIVE HOLT PARK SECTION 1 LOT 127</v>
      </c>
      <c r="D7862" s="1">
        <v>3296.18</v>
      </c>
    </row>
    <row r="7863" spans="1:4" x14ac:dyDescent="0.3">
      <c r="A7863" s="1" t="str">
        <f>"01002164900"</f>
        <v>01002164900</v>
      </c>
      <c r="B7863" s="1" t="str">
        <f>"MAHONE RENNELL"</f>
        <v>MAHONE RENNELL</v>
      </c>
      <c r="C7863" s="1" t="str">
        <f>"HILDRETH AVE HILDRETH LOT 65"</f>
        <v>HILDRETH AVE HILDRETH LOT 65</v>
      </c>
      <c r="D7863" s="1">
        <v>5450.18</v>
      </c>
    </row>
    <row r="7864" spans="1:4" x14ac:dyDescent="0.3">
      <c r="A7864" s="1" t="str">
        <f>"01002780600"</f>
        <v>01002780600</v>
      </c>
      <c r="B7864" s="1" t="str">
        <f>"MAHONE RENNELL E"</f>
        <v>MAHONE RENNELL E</v>
      </c>
      <c r="C7864" s="1" t="str">
        <f>"1182 HILDRETH AVE HILDRETH LOT 66"</f>
        <v>1182 HILDRETH AVE HILDRETH LOT 66</v>
      </c>
      <c r="D7864" s="1">
        <v>524.04999999999995</v>
      </c>
    </row>
    <row r="7865" spans="1:4" x14ac:dyDescent="0.3">
      <c r="A7865" s="1" t="str">
        <f>"09000800100"</f>
        <v>09000800100</v>
      </c>
      <c r="B7865" s="1" t="str">
        <f>"MAIER JOSEPH A TR"</f>
        <v>MAIER JOSEPH A TR</v>
      </c>
      <c r="C7865" s="1" t="str">
        <f>"4060 ANTHONY COURT N VALERIO HEIGHTS 2 LOT 10"</f>
        <v>4060 ANTHONY COURT N VALERIO HEIGHTS 2 LOT 10</v>
      </c>
      <c r="D7865" s="1">
        <v>2016.95</v>
      </c>
    </row>
    <row r="7866" spans="1:4" x14ac:dyDescent="0.3">
      <c r="A7866" s="1" t="str">
        <f>"06000972800"</f>
        <v>06000972800</v>
      </c>
      <c r="B7866" s="1" t="str">
        <f>"MAIN &amp; ROSEHILL LLC"</f>
        <v>MAIN &amp; ROSEHILL LLC</v>
      </c>
      <c r="C7866" s="1" t="str">
        <f>"E MAIN ST R21 T12 S12 1/2S17 0.924 ACRES"</f>
        <v>E MAIN ST R21 T12 S12 1/2S17 0.924 ACRES</v>
      </c>
      <c r="D7866" s="1">
        <v>45549.36</v>
      </c>
    </row>
    <row r="7867" spans="1:4" x14ac:dyDescent="0.3">
      <c r="A7867" s="1" t="str">
        <f>"01004183300"</f>
        <v>01004183300</v>
      </c>
      <c r="B7867" s="1" t="str">
        <f>"MAIN AND BULEN HOLDING COMPANY LLC"</f>
        <v>MAIN AND BULEN HOLDING COMPANY LLC</v>
      </c>
      <c r="C7867" s="1" t="str">
        <f>"1773 E MAIN ST BULENS MAIN ST LOT 1"</f>
        <v>1773 E MAIN ST BULENS MAIN ST LOT 1</v>
      </c>
      <c r="D7867" s="1">
        <v>794.97</v>
      </c>
    </row>
    <row r="7868" spans="1:4" x14ac:dyDescent="0.3">
      <c r="A7868" s="1" t="str">
        <f>"01001424100"</f>
        <v>01001424100</v>
      </c>
      <c r="B7868" s="1" t="str">
        <f>"MAIN STREET AMERICA PROPERTY HOLDINGS LLC"</f>
        <v>MAIN STREET AMERICA PROPERTY HOLDINGS LLC</v>
      </c>
      <c r="C7868" s="1" t="str">
        <f>"841 W BROAD DAVIS PT LOTS 3-4"</f>
        <v>841 W BROAD DAVIS PT LOTS 3-4</v>
      </c>
      <c r="D7868" s="1">
        <v>6078.97</v>
      </c>
    </row>
    <row r="7869" spans="1:4" x14ac:dyDescent="0.3">
      <c r="A7869" s="1" t="str">
        <f>"51017635000"</f>
        <v>51017635000</v>
      </c>
      <c r="B7869" s="1" t="str">
        <f>"MAINA DAVID K, MUGO RUTH W"</f>
        <v>MAINA DAVID K, MUGO RUTH W</v>
      </c>
      <c r="C7869" s="1" t="str">
        <f>"GARY DR TOWN GREEN LOT 33"</f>
        <v>GARY DR TOWN GREEN LOT 33</v>
      </c>
      <c r="D7869" s="1">
        <v>2720.5</v>
      </c>
    </row>
    <row r="7870" spans="1:4" x14ac:dyDescent="0.3">
      <c r="A7870" s="1" t="str">
        <f>"01009462700"</f>
        <v>01009462700</v>
      </c>
      <c r="B7870" s="1" t="str">
        <f>"MAINOUS CALEB"</f>
        <v>MAINOUS CALEB</v>
      </c>
      <c r="C7870" s="1" t="str">
        <f>"PONTIAC PARK LOT 77 "</f>
        <v xml:space="preserve">PONTIAC PARK LOT 77 </v>
      </c>
      <c r="D7870" s="1">
        <v>291.89</v>
      </c>
    </row>
    <row r="7871" spans="1:4" x14ac:dyDescent="0.3">
      <c r="A7871" s="1" t="str">
        <f>"01029905700"</f>
        <v>01029905700</v>
      </c>
      <c r="B7871" s="1" t="str">
        <f>"MAINS WILLIAM A"</f>
        <v>MAINS WILLIAM A</v>
      </c>
      <c r="C7871" s="1" t="str">
        <f>"STOTTS 123.00' EL, 123.56' WL NE PT LOT 4 0.110 ACRE"</f>
        <v>STOTTS 123.00' EL, 123.56' WL NE PT LOT 4 0.110 ACRE</v>
      </c>
      <c r="D7871" s="1">
        <v>564.44000000000005</v>
      </c>
    </row>
    <row r="7872" spans="1:4" x14ac:dyDescent="0.3">
      <c r="A7872" s="1" t="str">
        <f>"12000051500"</f>
        <v>12000051500</v>
      </c>
      <c r="B7872" s="1" t="str">
        <f>"MAISENBACHER CHRISTOPHER TTEE"</f>
        <v>MAISENBACHER CHRISTOPHER TTEE</v>
      </c>
      <c r="C7872" s="1" t="str">
        <f>"HAYDEN RUN RD REAR ENTRY 1618-7693 0.403 ACRE"</f>
        <v>HAYDEN RUN RD REAR ENTRY 1618-7693 0.403 ACRE</v>
      </c>
      <c r="D7872" s="1">
        <v>361.78</v>
      </c>
    </row>
    <row r="7873" spans="1:4" x14ac:dyDescent="0.3">
      <c r="A7873" s="1" t="str">
        <f>"01006424500"</f>
        <v>01006424500</v>
      </c>
      <c r="B7873" s="1" t="str">
        <f>"MAISSADECROIXBERGEAUD LLC"</f>
        <v>MAISSADECROIXBERGEAUD LLC</v>
      </c>
      <c r="C7873" s="1" t="str">
        <f>"100-4-8-12 S POWELL CAMP CHASE HTS AMD LOT 677-8 15FTSS679"</f>
        <v>100-4-8-12 S POWELL CAMP CHASE HTS AMD LOT 677-8 15FTSS679</v>
      </c>
      <c r="D7873" s="1">
        <v>2255.0100000000002</v>
      </c>
    </row>
    <row r="7874" spans="1:4" x14ac:dyDescent="0.3">
      <c r="A7874" s="1" t="str">
        <f>"01020427100"</f>
        <v>01020427100</v>
      </c>
      <c r="B7874" s="1" t="str">
        <f>"MAKAN GROUP INC"</f>
        <v>MAKAN GROUP INC</v>
      </c>
      <c r="C7874" s="1" t="str">
        <f>"W BROAD ST .421 ACRES "</f>
        <v xml:space="preserve">W BROAD ST .421 ACRES </v>
      </c>
      <c r="D7874" s="1">
        <v>4010.25</v>
      </c>
    </row>
    <row r="7875" spans="1:4" x14ac:dyDescent="0.3">
      <c r="A7875" s="1" t="str">
        <f>"01006105200"</f>
        <v>01006105200</v>
      </c>
      <c r="B7875" s="1" t="str">
        <f>"MAKAN GROUP INC"</f>
        <v>MAKAN GROUP INC</v>
      </c>
      <c r="C7875" s="1" t="str">
        <f>"CLEVELAND AVE NEW LINDEN PT LOTS 4 &amp; 5"</f>
        <v>CLEVELAND AVE NEW LINDEN PT LOTS 4 &amp; 5</v>
      </c>
      <c r="D7875" s="1">
        <v>495.29</v>
      </c>
    </row>
    <row r="7876" spans="1:4" x14ac:dyDescent="0.3">
      <c r="A7876" s="1" t="str">
        <f>"09000603600"</f>
        <v>09000603600</v>
      </c>
      <c r="B7876" s="1" t="str">
        <f>"MALABY LUCY I"</f>
        <v>MALABY LUCY I</v>
      </c>
      <c r="C7876" s="1" t="str">
        <f>"9366 KUMLER DR WHITEHALL PARK LOT 136"</f>
        <v>9366 KUMLER DR WHITEHALL PARK LOT 136</v>
      </c>
      <c r="D7876" s="1">
        <v>3283.96</v>
      </c>
    </row>
    <row r="7877" spans="1:4" x14ac:dyDescent="0.3">
      <c r="A7877" s="1" t="str">
        <f>"01005403500"</f>
        <v>01005403500</v>
      </c>
      <c r="B7877" s="1" t="str">
        <f>"MALANDRUCCOLO MARGARET, NUSSBAUM BENJAMIN EDWARD"</f>
        <v>MALANDRUCCOLO MARGARET, NUSSBAUM BENJAMIN EDWARD</v>
      </c>
      <c r="C7877" s="1" t="str">
        <f>"398 HANFORD ST C HERMAN LOT 28"</f>
        <v>398 HANFORD ST C HERMAN LOT 28</v>
      </c>
      <c r="D7877" s="1">
        <v>129.01</v>
      </c>
    </row>
    <row r="7878" spans="1:4" x14ac:dyDescent="0.3">
      <c r="A7878" s="1" t="str">
        <f>"01004460400"</f>
        <v>01004460400</v>
      </c>
      <c r="B7878" s="1" t="str">
        <f>"MALAVE QUELVID E, ULLOA-MALAVE TANIA E"</f>
        <v>MALAVE QUELVID E, ULLOA-MALAVE TANIA E</v>
      </c>
      <c r="C7878" s="1" t="str">
        <f>"703-705 MACON AL MINSTERS 82.5'ES LOT 7"</f>
        <v>703-705 MACON AL MINSTERS 82.5'ES LOT 7</v>
      </c>
      <c r="D7878" s="1">
        <v>12439.12</v>
      </c>
    </row>
    <row r="7879" spans="1:4" x14ac:dyDescent="0.3">
      <c r="A7879" s="1" t="str">
        <f>"01007563800"</f>
        <v>01007563800</v>
      </c>
      <c r="B7879" s="1" t="str">
        <f>"MALDONADO LEONIDES A"</f>
        <v>MALDONADO LEONIDES A</v>
      </c>
      <c r="C7879" s="1" t="str">
        <f>"1382 E WEBER RD LINDEN GARDENS PT LOT 6"</f>
        <v>1382 E WEBER RD LINDEN GARDENS PT LOT 6</v>
      </c>
      <c r="D7879" s="1">
        <v>3373.82</v>
      </c>
    </row>
    <row r="7880" spans="1:4" x14ac:dyDescent="0.3">
      <c r="A7880" s="1" t="str">
        <f>"23000268800"</f>
        <v>23000268800</v>
      </c>
      <c r="B7880" s="1" t="str">
        <f>"MALDONADO TEODORO LOPEZ"</f>
        <v>MALDONADO TEODORO LOPEZ</v>
      </c>
      <c r="C7880" s="1" t="str">
        <f>"LONDON-GROVEPORT RD .5542 ACRE LOT 1-2-3-4"</f>
        <v>LONDON-GROVEPORT RD .5542 ACRE LOT 1-2-3-4</v>
      </c>
      <c r="D7880" s="1">
        <v>1855</v>
      </c>
    </row>
    <row r="7881" spans="1:4" x14ac:dyDescent="0.3">
      <c r="A7881" s="1" t="str">
        <f>"01000620600"</f>
        <v>01000620600</v>
      </c>
      <c r="B7881" s="1" t="str">
        <f>"MALHOTRA DIPALI"</f>
        <v>MALHOTRA DIPALI</v>
      </c>
      <c r="C7881" s="1" t="str">
        <f>"1224 WILSON AVE AUBURNDALE LOT 493"</f>
        <v>1224 WILSON AVE AUBURNDALE LOT 493</v>
      </c>
      <c r="D7881" s="1">
        <v>3754.51</v>
      </c>
    </row>
    <row r="7882" spans="1:4" x14ac:dyDescent="0.3">
      <c r="A7882" s="1" t="str">
        <f>"02500525800"</f>
        <v>02500525800</v>
      </c>
      <c r="B7882" s="1" t="str">
        <f>"MALLASEE SCOTT HAYDEN, MALLASEE TAMARA LYNN"</f>
        <v>MALLASEE SCOTT HAYDEN, MALLASEE TAMARA LYNN</v>
      </c>
      <c r="C7882" s="1" t="str">
        <f>"1165 VENETIAN WAY SARATOGA ESTATES S 2 LOT 128"</f>
        <v>1165 VENETIAN WAY SARATOGA ESTATES S 2 LOT 128</v>
      </c>
      <c r="D7882" s="1">
        <v>10939.4</v>
      </c>
    </row>
    <row r="7883" spans="1:4" x14ac:dyDescent="0.3">
      <c r="A7883" s="1" t="str">
        <f>"01006472100"</f>
        <v>01006472100</v>
      </c>
      <c r="B7883" s="1" t="str">
        <f>"MALLOTT AMANDA KAY"</f>
        <v>MALLOTT AMANDA KAY</v>
      </c>
      <c r="C7883" s="1" t="str">
        <f>"S ROYS AVE BROADVIEW BLK 17 LOT 5"</f>
        <v>S ROYS AVE BROADVIEW BLK 17 LOT 5</v>
      </c>
      <c r="D7883" s="1">
        <v>1914.45</v>
      </c>
    </row>
    <row r="7884" spans="1:4" x14ac:dyDescent="0.3">
      <c r="A7884" s="1" t="str">
        <f>"01027505500"</f>
        <v>01027505500</v>
      </c>
      <c r="B7884" s="1" t="str">
        <f>"MALONE KIMBERLY W TTEE"</f>
        <v>MALONE KIMBERLY W TTEE</v>
      </c>
      <c r="C7884" s="1" t="str">
        <f>"VICTORIAN GATE            CONDOMINIUMS              UNIT 708 PARK            "</f>
        <v xml:space="preserve">VICTORIAN GATE            CONDOMINIUMS              UNIT 708 PARK            </v>
      </c>
      <c r="D7884" s="1">
        <v>350.56</v>
      </c>
    </row>
    <row r="7885" spans="1:4" x14ac:dyDescent="0.3">
      <c r="A7885" s="1" t="str">
        <f>"05000885600"</f>
        <v>05000885600</v>
      </c>
      <c r="B7885" s="1" t="str">
        <f>"MALONE MARGARET D, FIKE WILLIAM H, BARRETT LISA D"</f>
        <v>MALONE MARGARET D, FIKE WILLIAM H, BARRETT LISA D</v>
      </c>
      <c r="C7885" s="1" t="str">
        <f>"VILLAGE AT HERITAGE CLUB CONDOMINIUM 2ND AMD UNIT 3690"</f>
        <v>VILLAGE AT HERITAGE CLUB CONDOMINIUM 2ND AMD UNIT 3690</v>
      </c>
      <c r="D7885" s="1">
        <v>1221.75</v>
      </c>
    </row>
    <row r="7886" spans="1:4" x14ac:dyDescent="0.3">
      <c r="A7886" s="1" t="str">
        <f>"01006225900"</f>
        <v>01006225900</v>
      </c>
      <c r="B7886" s="1" t="str">
        <f>"MALONE WAYMON JR"</f>
        <v>MALONE WAYMON JR</v>
      </c>
      <c r="C7886" s="1" t="str">
        <f>"HAMILTON AVE MCGUFFEY SCHOOL LOT 134"</f>
        <v>HAMILTON AVE MCGUFFEY SCHOOL LOT 134</v>
      </c>
      <c r="D7886" s="1">
        <v>518.39</v>
      </c>
    </row>
    <row r="7887" spans="1:4" x14ac:dyDescent="0.3">
      <c r="A7887" s="1" t="str">
        <f>"01006297600"</f>
        <v>01006297600</v>
      </c>
      <c r="B7887" s="1" t="str">
        <f>"MALONE WAYMON JR, MALONE KIMBERLEE A"</f>
        <v>MALONE WAYMON JR, MALONE KIMBERLEE A</v>
      </c>
      <c r="C7887" s="1" t="str">
        <f>"SUNBURY RD R17 T1 1/4T2 1.724 ACRES LOT 12"</f>
        <v>SUNBURY RD R17 T1 1/4T2 1.724 ACRES LOT 12</v>
      </c>
      <c r="D7887" s="1">
        <v>6790.89</v>
      </c>
    </row>
    <row r="7888" spans="1:4" x14ac:dyDescent="0.3">
      <c r="A7888" s="1" t="str">
        <f>"27300734700"</f>
        <v>27300734700</v>
      </c>
      <c r="B7888" s="1" t="str">
        <f>"MALUR PRASANNA, PRASANNA KAMALA"</f>
        <v>MALUR PRASANNA, PRASANNA KAMALA</v>
      </c>
      <c r="C7888" s="1" t="str">
        <f>"WYNDBURNE DRIVE WYNDHAM VILLAGE SEC3 LOT 140"</f>
        <v>WYNDBURNE DRIVE WYNDHAM VILLAGE SEC3 LOT 140</v>
      </c>
      <c r="D7888" s="1">
        <v>5833.03</v>
      </c>
    </row>
    <row r="7889" spans="1:4" x14ac:dyDescent="0.3">
      <c r="A7889" s="1" t="str">
        <f>"13000042600"</f>
        <v>13000042600</v>
      </c>
      <c r="B7889" s="1" t="str">
        <f>"MAMAY GEBEYEHU"</f>
        <v>MAMAY GEBEYEHU</v>
      </c>
      <c r="C7889" s="1" t="str">
        <f>"WESTERVILLE PIKE R18 T1 1-4TWP 1 1 ACRES"</f>
        <v>WESTERVILLE PIKE R18 T1 1-4TWP 1 1 ACRES</v>
      </c>
      <c r="D7889" s="1">
        <v>1043.5999999999999</v>
      </c>
    </row>
    <row r="7890" spans="1:4" x14ac:dyDescent="0.3">
      <c r="A7890" s="1" t="str">
        <f>"59017488600"</f>
        <v>59017488600</v>
      </c>
      <c r="B7890" s="1" t="str">
        <f>"MAMAY GEBEYEHU, ASAYEHEN ABEBA"</f>
        <v>MAMAY GEBEYEHU, ASAYEHEN ABEBA</v>
      </c>
      <c r="C7890" s="1" t="str">
        <f>"COWAN ST RIVERSIDEGREEN SEC 5 LOT 325"</f>
        <v>COWAN ST RIVERSIDEGREEN SEC 5 LOT 325</v>
      </c>
      <c r="D7890" s="1">
        <v>6984.52</v>
      </c>
    </row>
    <row r="7891" spans="1:4" x14ac:dyDescent="0.3">
      <c r="A7891" s="1" t="str">
        <f>"01025865900"</f>
        <v>01025865900</v>
      </c>
      <c r="B7891" s="1" t="str">
        <f>"MAMPHEY TINA"</f>
        <v>MAMPHEY TINA</v>
      </c>
      <c r="C7891" s="1" t="str">
        <f>"IRONWOOD CONDOMINIUM 2ND AMD UNIT 8-46"</f>
        <v>IRONWOOD CONDOMINIUM 2ND AMD UNIT 8-46</v>
      </c>
      <c r="D7891" s="1">
        <v>240.87</v>
      </c>
    </row>
    <row r="7892" spans="1:4" x14ac:dyDescent="0.3">
      <c r="A7892" s="1" t="str">
        <f>"53026777400"</f>
        <v>53026777400</v>
      </c>
      <c r="B7892" s="1" t="str">
        <f>"MANA INVESTMENT LLC"</f>
        <v>MANA INVESTMENT LLC</v>
      </c>
      <c r="C7892" s="1" t="str">
        <f>"VILLAGE AT WILLIAMS CREEK S-F HOMES CONDO 23 AMD HOME DESIGNATION 275"</f>
        <v>VILLAGE AT WILLIAMS CREEK S-F HOMES CONDO 23 AMD HOME DESIGNATION 275</v>
      </c>
      <c r="D7892" s="1">
        <v>143.07</v>
      </c>
    </row>
    <row r="7893" spans="1:4" x14ac:dyDescent="0.3">
      <c r="A7893" s="1" t="str">
        <f>"10000051800"</f>
        <v>10000051800</v>
      </c>
      <c r="B7893" s="1" t="str">
        <f>"MANAS 99 LLC"</f>
        <v>MANAS 99 LLC</v>
      </c>
      <c r="C7893" s="1" t="str">
        <f>"911 HIGH ST 132.25FT E 1/2 5 "</f>
        <v xml:space="preserve">911 HIGH ST 132.25FT E 1/2 5 </v>
      </c>
      <c r="D7893" s="1">
        <v>20172.14</v>
      </c>
    </row>
    <row r="7894" spans="1:4" x14ac:dyDescent="0.3">
      <c r="A7894" s="1" t="str">
        <f>"15200000300"</f>
        <v>15200000300</v>
      </c>
      <c r="B7894" s="1" t="str">
        <f>"MANBEVERS LOUIS E"</f>
        <v>MANBEVERS LOUIS E</v>
      </c>
      <c r="C7894" s="1" t="str">
        <f>"1830 ARCADIA AVE COLUMBUS TERRACE 432"</f>
        <v>1830 ARCADIA AVE COLUMBUS TERRACE 432</v>
      </c>
      <c r="D7894" s="1">
        <v>2528.61</v>
      </c>
    </row>
    <row r="7895" spans="1:4" x14ac:dyDescent="0.3">
      <c r="A7895" s="1" t="str">
        <f>"15200000400"</f>
        <v>15200000400</v>
      </c>
      <c r="B7895" s="1" t="str">
        <f>"MANBEVERS LOUIS E"</f>
        <v>MANBEVERS LOUIS E</v>
      </c>
      <c r="C7895" s="1" t="str">
        <f>"ARCADIA AVE COLUMBUS TERRACE 433"</f>
        <v>ARCADIA AVE COLUMBUS TERRACE 433</v>
      </c>
      <c r="D7895" s="1">
        <v>475.95</v>
      </c>
    </row>
    <row r="7896" spans="1:4" x14ac:dyDescent="0.3">
      <c r="A7896" s="1" t="str">
        <f>"01001045900"</f>
        <v>01001045900</v>
      </c>
      <c r="B7896" s="1" t="str">
        <f>"MANDATOR CHARLES A II"</f>
        <v>MANDATOR CHARLES A II</v>
      </c>
      <c r="C7896" s="1" t="str">
        <f>"617 LATHROP KRAUSS LOT 12"</f>
        <v>617 LATHROP KRAUSS LOT 12</v>
      </c>
      <c r="D7896" s="1">
        <v>7625.79</v>
      </c>
    </row>
    <row r="7897" spans="1:4" x14ac:dyDescent="0.3">
      <c r="A7897" s="1" t="str">
        <f>"27300863900"</f>
        <v>27300863900</v>
      </c>
      <c r="B7897" s="1" t="str">
        <f>"MANDELL CHERYL ANN"</f>
        <v>MANDELL CHERYL ANN</v>
      </c>
      <c r="C7897" s="1" t="str">
        <f>"TRAILS END DR R19 T2 1/4T2 LOT 2 1.274 ACRES"</f>
        <v>TRAILS END DR R19 T2 1/4T2 LOT 2 1.274 ACRES</v>
      </c>
      <c r="D7897" s="1">
        <v>704.84</v>
      </c>
    </row>
    <row r="7898" spans="1:4" x14ac:dyDescent="0.3">
      <c r="A7898" s="1" t="str">
        <f>"08000927200"</f>
        <v>08000927200</v>
      </c>
      <c r="B7898" s="1" t="str">
        <f>"MANDISH MICHAEL J JR, MANDISH PATRICIA R"</f>
        <v>MANDISH MICHAEL J JR, MANDISH PATRICIA R</v>
      </c>
      <c r="C7898" s="1" t="str">
        <f>"THREE FORKS DRIVE N FALLEN TIMBERS SEC 2 LOT 57 &amp; PT LOT 4"</f>
        <v>THREE FORKS DRIVE N FALLEN TIMBERS SEC 2 LOT 57 &amp; PT LOT 4</v>
      </c>
      <c r="D7898" s="1">
        <v>478.9</v>
      </c>
    </row>
    <row r="7899" spans="1:4" x14ac:dyDescent="0.3">
      <c r="A7899" s="1" t="str">
        <f>"01002600500"</f>
        <v>01002600500</v>
      </c>
      <c r="B7899" s="1" t="str">
        <f>"MANERI JAMES V"</f>
        <v>MANERI JAMES V</v>
      </c>
      <c r="C7899" s="1" t="str">
        <f>"1200 CAMPBELL AVE HAMILTON PLC LOT 228"</f>
        <v>1200 CAMPBELL AVE HAMILTON PLC LOT 228</v>
      </c>
      <c r="D7899" s="1">
        <v>355.21</v>
      </c>
    </row>
    <row r="7900" spans="1:4" x14ac:dyDescent="0.3">
      <c r="A7900" s="1" t="str">
        <f>"02500524100"</f>
        <v>02500524100</v>
      </c>
      <c r="B7900" s="1" t="str">
        <f>"MANFRESCA CHARLES"</f>
        <v>MANFRESCA CHARLES</v>
      </c>
      <c r="C7900" s="1" t="str">
        <f>"1019 VENETIAN WAY SARATOGA ESTATES S 2 LOT 111"</f>
        <v>1019 VENETIAN WAY SARATOGA ESTATES S 2 LOT 111</v>
      </c>
      <c r="D7900" s="1">
        <v>5057.6400000000003</v>
      </c>
    </row>
    <row r="7901" spans="1:4" x14ac:dyDescent="0.3">
      <c r="A7901" s="1" t="str">
        <f>"59017442300"</f>
        <v>59017442300</v>
      </c>
      <c r="B7901" s="1" t="str">
        <f>"MANGARAJ SANDEEP"</f>
        <v>MANGARAJ SANDEEP</v>
      </c>
      <c r="C7901" s="1" t="str">
        <f>"BLACKJACK COURT SAWMILL FOREST LOT 60"</f>
        <v>BLACKJACK COURT SAWMILL FOREST LOT 60</v>
      </c>
      <c r="D7901" s="1">
        <v>4402.6499999999996</v>
      </c>
    </row>
    <row r="7902" spans="1:4" x14ac:dyDescent="0.3">
      <c r="A7902" s="1" t="str">
        <f>"01010190700"</f>
        <v>01010190700</v>
      </c>
      <c r="B7902" s="1" t="str">
        <f>"MANGINI CECELIA I TOD"</f>
        <v>MANGINI CECELIA I TOD</v>
      </c>
      <c r="C7902" s="1" t="str">
        <f>"STEPHEN DR.WEST MIRIAM SUB 3 LOT 11 BLK 5"</f>
        <v>STEPHEN DR.WEST MIRIAM SUB 3 LOT 11 BLK 5</v>
      </c>
      <c r="D7902" s="1">
        <v>2346.08</v>
      </c>
    </row>
    <row r="7903" spans="1:4" x14ac:dyDescent="0.3">
      <c r="A7903" s="1" t="str">
        <f>"01028854600"</f>
        <v>01028854600</v>
      </c>
      <c r="B7903" s="1" t="str">
        <f>"MANGINI SCOTT"</f>
        <v>MANGINI SCOTT</v>
      </c>
      <c r="C7903" s="1" t="str">
        <f>"800-802 JAEGER STREET CONDOMINIUMS UNIT 802"</f>
        <v>800-802 JAEGER STREET CONDOMINIUMS UNIT 802</v>
      </c>
      <c r="D7903" s="1">
        <v>4977.63</v>
      </c>
    </row>
    <row r="7904" spans="1:4" x14ac:dyDescent="0.3">
      <c r="A7904" s="1" t="str">
        <f>"08000712900"</f>
        <v>08000712900</v>
      </c>
      <c r="B7904" s="1" t="str">
        <f>"MANGINO PATRICK N, MANGINO FRANCES M"</f>
        <v>MANGINO PATRICK N, MANGINO FRANCES M</v>
      </c>
      <c r="C7904" s="1" t="str">
        <f>"1180 SMOKE BURR DR TWELVE TREES SEC 3 LOT 178"</f>
        <v>1180 SMOKE BURR DR TWELVE TREES SEC 3 LOT 178</v>
      </c>
      <c r="D7904" s="1">
        <v>456.07</v>
      </c>
    </row>
    <row r="7905" spans="1:4" x14ac:dyDescent="0.3">
      <c r="A7905" s="1" t="str">
        <f>"11000245800"</f>
        <v>11000245800</v>
      </c>
      <c r="B7905" s="1" t="str">
        <f>"MANIAR ESTATE LLC"</f>
        <v>MANIAR ESTATE LLC</v>
      </c>
      <c r="C7905" s="1" t="str">
        <f>"CHESTER RD CLEVELAND HTS 2 LOTS 199, 200, 201, 202"</f>
        <v>CHESTER RD CLEVELAND HTS 2 LOTS 199, 200, 201, 202</v>
      </c>
      <c r="D7905" s="1">
        <v>731.37</v>
      </c>
    </row>
    <row r="7906" spans="1:4" x14ac:dyDescent="0.3">
      <c r="A7906" s="1" t="str">
        <f>"60014771300"</f>
        <v>60014771300</v>
      </c>
      <c r="B7906" s="1" t="str">
        <f>"MANIAR ESTATE LLC"</f>
        <v>MANIAR ESTATE LLC</v>
      </c>
      <c r="C7906" s="1" t="str">
        <f>"MINERVA AVE LOT 19 BLK 3 VILLA PARK"</f>
        <v>MINERVA AVE LOT 19 BLK 3 VILLA PARK</v>
      </c>
      <c r="D7906" s="1">
        <v>164.26</v>
      </c>
    </row>
    <row r="7907" spans="1:4" x14ac:dyDescent="0.3">
      <c r="A7907" s="1" t="str">
        <f>"60014771400"</f>
        <v>60014771400</v>
      </c>
      <c r="B7907" s="1" t="str">
        <f>"MANIAR ESTATE LLC"</f>
        <v>MANIAR ESTATE LLC</v>
      </c>
      <c r="C7907" s="1" t="str">
        <f>"MINERVA AVE LOT 20 BLK 3 VILLA PARK"</f>
        <v>MINERVA AVE LOT 20 BLK 3 VILLA PARK</v>
      </c>
      <c r="D7907" s="1">
        <v>164.26</v>
      </c>
    </row>
    <row r="7908" spans="1:4" x14ac:dyDescent="0.3">
      <c r="A7908" s="1" t="str">
        <f>"60014771500"</f>
        <v>60014771500</v>
      </c>
      <c r="B7908" s="1" t="str">
        <f>"MANIAR ESTATE LLC"</f>
        <v>MANIAR ESTATE LLC</v>
      </c>
      <c r="C7908" s="1" t="str">
        <f>"MINERVA AVE LOT 21 BLK 3 VILLA PARK"</f>
        <v>MINERVA AVE LOT 21 BLK 3 VILLA PARK</v>
      </c>
      <c r="D7908" s="1">
        <v>164.26</v>
      </c>
    </row>
    <row r="7909" spans="1:4" x14ac:dyDescent="0.3">
      <c r="A7909" s="1" t="str">
        <f>"60033271800"</f>
        <v>60033271800</v>
      </c>
      <c r="B7909" s="1" t="str">
        <f>"MANIAR ESTATE LLC"</f>
        <v>MANIAR ESTATE LLC</v>
      </c>
      <c r="C7909" s="1" t="str">
        <f>"STRIMPLE AVE PT VILLA PARK &amp; PT VAC AL 0.138 ACRES"</f>
        <v>STRIMPLE AVE PT VILLA PARK &amp; PT VAC AL 0.138 ACRES</v>
      </c>
      <c r="D7909" s="1">
        <v>972.3</v>
      </c>
    </row>
    <row r="7910" spans="1:4" x14ac:dyDescent="0.3">
      <c r="A7910" s="1" t="str">
        <f>"19100047200"</f>
        <v>19100047200</v>
      </c>
      <c r="B7910" s="1" t="str">
        <f>"MANIAR ESTATE LLC"</f>
        <v>MANIAR ESTATE LLC</v>
      </c>
      <c r="C7910" s="1" t="str">
        <f>"GENESSEE AVE LEONARD PARK 55 BLK D"</f>
        <v>GENESSEE AVE LEONARD PARK 55 BLK D</v>
      </c>
      <c r="D7910" s="1">
        <v>338.83</v>
      </c>
    </row>
    <row r="7911" spans="1:4" x14ac:dyDescent="0.3">
      <c r="A7911" s="1" t="str">
        <f>"01028485600"</f>
        <v>01028485600</v>
      </c>
      <c r="B7911" s="1" t="str">
        <f>"MANIAR HARSHIL P, MANIAR SAROJ P"</f>
        <v>MANIAR HARSHIL P, MANIAR SAROJ P</v>
      </c>
      <c r="C7911" s="1" t="str">
        <f>"ATRIUM LOFTS CONDOMINIUM FKA THE LOFTS AT 106 CONDOMINIUM UNIT 506"</f>
        <v>ATRIUM LOFTS CONDOMINIUM FKA THE LOFTS AT 106 CONDOMINIUM UNIT 506</v>
      </c>
      <c r="D7911" s="1">
        <v>176.16</v>
      </c>
    </row>
    <row r="7912" spans="1:4" x14ac:dyDescent="0.3">
      <c r="A7912" s="1" t="str">
        <f>"01028486900"</f>
        <v>01028486900</v>
      </c>
      <c r="B7912" s="1" t="str">
        <f>"MANIAR HARSHIL, MANIAR SAROJ"</f>
        <v>MANIAR HARSHIL, MANIAR SAROJ</v>
      </c>
      <c r="C7912" s="1" t="str">
        <f>"ATRIUM LOFTS CONDOMINIUM FKA THE LOFTS AT 106 CONDOMINIUM UNIT 801"</f>
        <v>ATRIUM LOFTS CONDOMINIUM FKA THE LOFTS AT 106 CONDOMINIUM UNIT 801</v>
      </c>
      <c r="D7912" s="1">
        <v>189.61</v>
      </c>
    </row>
    <row r="7913" spans="1:4" x14ac:dyDescent="0.3">
      <c r="A7913" s="1" t="str">
        <f>"11000247100"</f>
        <v>11000247100</v>
      </c>
      <c r="B7913" s="1" t="str">
        <f>"MANIAR NADIM"</f>
        <v>MANIAR NADIM</v>
      </c>
      <c r="C7913" s="1" t="str">
        <f>"CHESTER RD CLEVELAND HTS 2 212"</f>
        <v>CHESTER RD CLEVELAND HTS 2 212</v>
      </c>
      <c r="D7913" s="1">
        <v>876.85</v>
      </c>
    </row>
    <row r="7914" spans="1:4" x14ac:dyDescent="0.3">
      <c r="A7914" s="1" t="str">
        <f>"11000247200"</f>
        <v>11000247200</v>
      </c>
      <c r="B7914" s="1" t="str">
        <f>"MANIAR NADIM"</f>
        <v>MANIAR NADIM</v>
      </c>
      <c r="C7914" s="1" t="str">
        <f>"CHESTER RD CLEVELAND HTS 2 LOT 213"</f>
        <v>CHESTER RD CLEVELAND HTS 2 LOT 213</v>
      </c>
      <c r="D7914" s="1">
        <v>876.85</v>
      </c>
    </row>
    <row r="7915" spans="1:4" x14ac:dyDescent="0.3">
      <c r="A7915" s="1" t="str">
        <f>"11000253000"</f>
        <v>11000253000</v>
      </c>
      <c r="B7915" s="1" t="str">
        <f>"MANIAR NADIM"</f>
        <v>MANIAR NADIM</v>
      </c>
      <c r="C7915" s="1" t="str">
        <f>"CLARIDON ROAD CLEVELAND HEIGHTS 2 302"</f>
        <v>CLARIDON ROAD CLEVELAND HEIGHTS 2 302</v>
      </c>
      <c r="D7915" s="1">
        <v>87.15</v>
      </c>
    </row>
    <row r="7916" spans="1:4" x14ac:dyDescent="0.3">
      <c r="A7916" s="1" t="str">
        <f>"11000247600"</f>
        <v>11000247600</v>
      </c>
      <c r="B7916" s="1" t="str">
        <f>"MANIAR SAMEER N"</f>
        <v>MANIAR SAMEER N</v>
      </c>
      <c r="C7916" s="1" t="str">
        <f>"CHESTER RD CLEVELAND HTS 2 217"</f>
        <v>CHESTER RD CLEVELAND HTS 2 217</v>
      </c>
      <c r="D7916" s="1">
        <v>876.85</v>
      </c>
    </row>
    <row r="7917" spans="1:4" x14ac:dyDescent="0.3">
      <c r="A7917" s="1" t="str">
        <f>"04001670200"</f>
        <v>04001670200</v>
      </c>
      <c r="B7917" s="1" t="str">
        <f>"MANIYA YASH, MANIYA SHREY"</f>
        <v>MANIYA YASH, MANIYA SHREY</v>
      </c>
      <c r="C7917" s="1" t="str">
        <f>"FARMSTEAD PHASE 2 LOT 78"</f>
        <v>FARMSTEAD PHASE 2 LOT 78</v>
      </c>
      <c r="D7917" s="1">
        <v>11835.35</v>
      </c>
    </row>
    <row r="7918" spans="1:4" x14ac:dyDescent="0.3">
      <c r="A7918" s="1" t="str">
        <f>"01000249700"</f>
        <v>01000249700</v>
      </c>
      <c r="B7918" s="1" t="str">
        <f>"MANLEY DERRICK M"</f>
        <v>MANLEY DERRICK M</v>
      </c>
      <c r="C7918" s="1" t="str">
        <f>"677 WILSON OAKWOODS LOTS 160-161"</f>
        <v>677 WILSON OAKWOODS LOTS 160-161</v>
      </c>
      <c r="D7918" s="1">
        <v>307.13</v>
      </c>
    </row>
    <row r="7919" spans="1:4" x14ac:dyDescent="0.3">
      <c r="A7919" s="1" t="str">
        <f>"01009953400"</f>
        <v>01009953400</v>
      </c>
      <c r="B7919" s="1" t="str">
        <f>"MANLEY KATHERN D"</f>
        <v>MANLEY KATHERN D</v>
      </c>
      <c r="C7919" s="1" t="str">
        <f>"BOLTON AVE BEECHWOOD LOT 62"</f>
        <v>BOLTON AVE BEECHWOOD LOT 62</v>
      </c>
      <c r="D7919" s="1">
        <v>1654.48</v>
      </c>
    </row>
    <row r="7920" spans="1:4" x14ac:dyDescent="0.3">
      <c r="A7920" s="1" t="str">
        <f>"26000044500"</f>
        <v>26000044500</v>
      </c>
      <c r="B7920" s="1" t="str">
        <f>"MANLEY RACHEL"</f>
        <v>MANLEY RACHEL</v>
      </c>
      <c r="C7920" s="1" t="str">
        <f>"NORCREST DR QUALSTAN EAST 588 "</f>
        <v xml:space="preserve">NORCREST DR QUALSTAN EAST 588 </v>
      </c>
      <c r="D7920" s="1">
        <v>1646.87</v>
      </c>
    </row>
    <row r="7921" spans="1:4" x14ac:dyDescent="0.3">
      <c r="A7921" s="1" t="str">
        <f>"27401222300"</f>
        <v>27401222300</v>
      </c>
      <c r="B7921" s="1" t="str">
        <f>"MANN BONITA"</f>
        <v>MANN BONITA</v>
      </c>
      <c r="C7921" s="1" t="str">
        <f>"COTTAGES AT BALLANTRAE WOODS CONDOMINIUM 6TH AMD UNIT 51-5522"</f>
        <v>COTTAGES AT BALLANTRAE WOODS CONDOMINIUM 6TH AMD UNIT 51-5522</v>
      </c>
      <c r="D7921" s="1">
        <v>8113.19</v>
      </c>
    </row>
    <row r="7922" spans="1:4" x14ac:dyDescent="0.3">
      <c r="A7922" s="1" t="str">
        <f>"11000340200"</f>
        <v>11000340200</v>
      </c>
      <c r="B7922" s="1" t="str">
        <f>"MANN BYRON R, MANN LORETTA L"</f>
        <v>MANN BYRON R, MANN LORETTA L</v>
      </c>
      <c r="C7922" s="1" t="str">
        <f>"RANGOON DR H C HUBER PLAT 48 SEC 3 1470"</f>
        <v>RANGOON DR H C HUBER PLAT 48 SEC 3 1470</v>
      </c>
      <c r="D7922" s="1">
        <v>352.32</v>
      </c>
    </row>
    <row r="7923" spans="1:4" x14ac:dyDescent="0.3">
      <c r="A7923" s="1" t="str">
        <f>"01006402500"</f>
        <v>01006402500</v>
      </c>
      <c r="B7923" s="1" t="str">
        <f>"MANN TYONNA"</f>
        <v>MANN TYONNA</v>
      </c>
      <c r="C7923" s="1" t="str">
        <f>"1787-9 LINDEN PLACE CHENEY &amp; BURWELL LOT 9"</f>
        <v>1787-9 LINDEN PLACE CHENEY &amp; BURWELL LOT 9</v>
      </c>
      <c r="D7923" s="1">
        <v>1148.29</v>
      </c>
    </row>
    <row r="7924" spans="1:4" x14ac:dyDescent="0.3">
      <c r="A7924" s="1" t="str">
        <f>"01012763400"</f>
        <v>01012763400</v>
      </c>
      <c r="B7924" s="1" t="str">
        <f>"MANNING SHANE, MANNING SEAMUS"</f>
        <v>MANNING SHANE, MANNING SEAMUS</v>
      </c>
      <c r="C7924" s="1" t="str">
        <f>"ORLANDO RD PINE HILLS LOT 276"</f>
        <v>ORLANDO RD PINE HILLS LOT 276</v>
      </c>
      <c r="D7924" s="1">
        <v>131.91</v>
      </c>
    </row>
    <row r="7925" spans="1:4" x14ac:dyDescent="0.3">
      <c r="A7925" s="1" t="str">
        <f>"01009863800"</f>
        <v>01009863800</v>
      </c>
      <c r="B7925" s="1" t="str">
        <f>"MANNS CHERICADER"</f>
        <v>MANNS CHERICADER</v>
      </c>
      <c r="C7925" s="1" t="str">
        <f>"25TH AVE CASITA PARK LOT 102"</f>
        <v>25TH AVE CASITA PARK LOT 102</v>
      </c>
      <c r="D7925" s="1">
        <v>1064.48</v>
      </c>
    </row>
    <row r="7926" spans="1:4" x14ac:dyDescent="0.3">
      <c r="A7926" s="1" t="str">
        <f>"19000387600"</f>
        <v>19000387600</v>
      </c>
      <c r="B7926" s="1" t="str">
        <f>"MANNS CHERICADER"</f>
        <v>MANNS CHERICADER</v>
      </c>
      <c r="C7926" s="1" t="str">
        <f>"LINDALE RD NORTHGLEN 116 "</f>
        <v xml:space="preserve">LINDALE RD NORTHGLEN 116 </v>
      </c>
      <c r="D7926" s="1">
        <v>1135.67</v>
      </c>
    </row>
    <row r="7927" spans="1:4" x14ac:dyDescent="0.3">
      <c r="A7927" s="1" t="str">
        <f>"19000389500"</f>
        <v>19000389500</v>
      </c>
      <c r="B7927" s="1" t="str">
        <f>"MANNS CHERICADER"</f>
        <v>MANNS CHERICADER</v>
      </c>
      <c r="C7927" s="1" t="str">
        <f>"LINDALE RD NORTHGLEN 135 "</f>
        <v xml:space="preserve">LINDALE RD NORTHGLEN 135 </v>
      </c>
      <c r="D7927" s="1">
        <v>1162.0999999999999</v>
      </c>
    </row>
    <row r="7928" spans="1:4" x14ac:dyDescent="0.3">
      <c r="A7928" s="1" t="str">
        <f>"01002316400"</f>
        <v>01002316400</v>
      </c>
      <c r="B7928" s="1" t="str">
        <f>"MANSFIELD LAUREN, MANSFIELD KIRK"</f>
        <v>MANSFIELD LAUREN, MANSFIELD KIRK</v>
      </c>
      <c r="C7928" s="1" t="str">
        <f>"1283 SUMMIT ST HORLOCKER 30.85'X 145.3'N/E PT LT 8"</f>
        <v>1283 SUMMIT ST HORLOCKER 30.85'X 145.3'N/E PT LT 8</v>
      </c>
      <c r="D7928" s="1">
        <v>3842.12</v>
      </c>
    </row>
    <row r="7929" spans="1:4" x14ac:dyDescent="0.3">
      <c r="A7929" s="1" t="str">
        <f>"01002952900"</f>
        <v>01002952900</v>
      </c>
      <c r="B7929" s="1" t="str">
        <f>"MANSFIELD SCOTT"</f>
        <v>MANSFIELD SCOTT</v>
      </c>
      <c r="C7929" s="1" t="str">
        <f>"560 KELTON AVE COITS KELTON AVE LOT 33"</f>
        <v>560 KELTON AVE COITS KELTON AVE LOT 33</v>
      </c>
      <c r="D7929" s="1">
        <v>1105.79</v>
      </c>
    </row>
    <row r="7930" spans="1:4" x14ac:dyDescent="0.3">
      <c r="A7930" s="1" t="str">
        <f>"60019880500"</f>
        <v>60019880500</v>
      </c>
      <c r="B7930" s="1" t="str">
        <f>"MANSION GROUP LLC"</f>
        <v>MANSION GROUP LLC</v>
      </c>
      <c r="C7930" s="1" t="str">
        <f>"GRANADA HILLS DR COOPERWOODS CONDO UNIT 3071 BLDG 3"</f>
        <v>GRANADA HILLS DR COOPERWOODS CONDO UNIT 3071 BLDG 3</v>
      </c>
      <c r="D7930" s="1">
        <v>3035.95</v>
      </c>
    </row>
    <row r="7931" spans="1:4" x14ac:dyDescent="0.3">
      <c r="A7931" s="1" t="str">
        <f>"01019567700"</f>
        <v>01019567700</v>
      </c>
      <c r="B7931" s="1" t="str">
        <f>"MANSION GROUP LLC"</f>
        <v>MANSION GROUP LLC</v>
      </c>
      <c r="C7931" s="1" t="str">
        <f>"HAMPTON CT CONDO HOMES 2ND AMD UNIT 2338"</f>
        <v>HAMPTON CT CONDO HOMES 2ND AMD UNIT 2338</v>
      </c>
      <c r="D7931" s="1">
        <v>2536.89</v>
      </c>
    </row>
    <row r="7932" spans="1:4" x14ac:dyDescent="0.3">
      <c r="A7932" s="1" t="str">
        <f>"01022587100"</f>
        <v>01022587100</v>
      </c>
      <c r="B7932" s="1" t="str">
        <f>"MANSOUR GABRIELLE L, CARR DINA"</f>
        <v>MANSOUR GABRIELLE L, CARR DINA</v>
      </c>
      <c r="C7932" s="1" t="str">
        <f>"SHARON WOODS SENIOR VILLAGE CONDO II UNIT 305"</f>
        <v>SHARON WOODS SENIOR VILLAGE CONDO II UNIT 305</v>
      </c>
      <c r="D7932" s="1">
        <v>1615.15</v>
      </c>
    </row>
    <row r="7933" spans="1:4" x14ac:dyDescent="0.3">
      <c r="A7933" s="1" t="str">
        <f>"01007181900"</f>
        <v>01007181900</v>
      </c>
      <c r="B7933" s="1" t="str">
        <f>"MANZO ANGELO, MANZO REBEKAH"</f>
        <v>MANZO ANGELO, MANZO REBEKAH</v>
      </c>
      <c r="C7933" s="1" t="str">
        <f>"179ARDEN RD DOMINIONPARK LOT 526"</f>
        <v>179ARDEN RD DOMINIONPARK LOT 526</v>
      </c>
      <c r="D7933" s="1">
        <v>152.62</v>
      </c>
    </row>
    <row r="7934" spans="1:4" x14ac:dyDescent="0.3">
      <c r="A7934" s="1" t="str">
        <f>"01013842300"</f>
        <v>01013842300</v>
      </c>
      <c r="B7934" s="1" t="str">
        <f>"MAOKHAMPHIOU LEA"</f>
        <v>MAOKHAMPHIOU LEA</v>
      </c>
      <c r="C7934" s="1" t="str">
        <f>"KINGSHAVEN PLC GLENBROOK SEC 2 LOT 339"</f>
        <v>KINGSHAVEN PLC GLENBROOK SEC 2 LOT 339</v>
      </c>
      <c r="D7934" s="1">
        <v>2612.8200000000002</v>
      </c>
    </row>
    <row r="7935" spans="1:4" x14ac:dyDescent="0.3">
      <c r="A7935" s="1" t="str">
        <f>"01010417400"</f>
        <v>01010417400</v>
      </c>
      <c r="B7935" s="1" t="str">
        <f>"MAOKHAMPHIOU LEA"</f>
        <v>MAOKHAMPHIOU LEA</v>
      </c>
      <c r="C7935" s="1" t="str">
        <f>"1484 FAIRWOOD AVE FAIRWOOD FREBIS PARCELS PT LOT 8=0.401 ACRE"</f>
        <v>1484 FAIRWOOD AVE FAIRWOOD FREBIS PARCELS PT LOT 8=0.401 ACRE</v>
      </c>
      <c r="D7935" s="1">
        <v>4579.6400000000003</v>
      </c>
    </row>
    <row r="7936" spans="1:4" x14ac:dyDescent="0.3">
      <c r="A7936" s="1" t="str">
        <f>"01011196100"</f>
        <v>01011196100</v>
      </c>
      <c r="B7936" s="1" t="str">
        <f>"MAOKHAMPHIOU LEA, MAOKHAMPHIOU SIM"</f>
        <v>MAOKHAMPHIOU LEA, MAOKHAMPHIOU SIM</v>
      </c>
      <c r="C7936" s="1" t="str">
        <f>"CLARFILD AVE CLARFIELD LOT 43"</f>
        <v>CLARFILD AVE CLARFIELD LOT 43</v>
      </c>
      <c r="D7936" s="1">
        <v>2559.1799999999998</v>
      </c>
    </row>
    <row r="7937" spans="1:4" x14ac:dyDescent="0.3">
      <c r="A7937" s="1" t="str">
        <f>"01016946100"</f>
        <v>01016946100</v>
      </c>
      <c r="B7937" s="1" t="str">
        <f>"MAOKHAMPHIOU SIM, MAOKHAMPHIOU LEA"</f>
        <v>MAOKHAMPHIOU SIM, MAOKHAMPHIOU LEA</v>
      </c>
      <c r="C7937" s="1" t="str">
        <f>"FOX CHAPLE DRIVE WALNUT BLUFF NO 5 SEC ONE LOT 1223"</f>
        <v>FOX CHAPLE DRIVE WALNUT BLUFF NO 5 SEC ONE LOT 1223</v>
      </c>
      <c r="D7937" s="1">
        <v>3440.03</v>
      </c>
    </row>
    <row r="7938" spans="1:4" x14ac:dyDescent="0.3">
      <c r="A7938" s="1" t="str">
        <f>"09000081900"</f>
        <v>09000081900</v>
      </c>
      <c r="B7938" s="1" t="str">
        <f>"MAPLEWOOD AVENUE APARTMENTS LLC"</f>
        <v>MAPLEWOOD AVENUE APARTMENTS LLC</v>
      </c>
      <c r="C7938" s="1" t="str">
        <f>"78 MAPLEWOOD AVE LOWRIE BROS LOT 92"</f>
        <v>78 MAPLEWOOD AVE LOWRIE BROS LOT 92</v>
      </c>
      <c r="D7938" s="1">
        <v>9063.73</v>
      </c>
    </row>
    <row r="7939" spans="1:4" x14ac:dyDescent="0.3">
      <c r="A7939" s="1" t="str">
        <f>"09000082000"</f>
        <v>09000082000</v>
      </c>
      <c r="B7939" s="1" t="str">
        <f>"MAPLEWOOD AVENUE APARTMENTS LLC"</f>
        <v>MAPLEWOOD AVENUE APARTMENTS LLC</v>
      </c>
      <c r="C7939" s="1" t="str">
        <f>"78 MAPLEWOOD AVE LOWRIE BROS LOT 93 "</f>
        <v xml:space="preserve">78 MAPLEWOOD AVE LOWRIE BROS LOT 93 </v>
      </c>
      <c r="D7939" s="1">
        <v>1404.11</v>
      </c>
    </row>
    <row r="7940" spans="1:4" x14ac:dyDescent="0.3">
      <c r="A7940" s="1" t="str">
        <f>"56032831300"</f>
        <v>56032831300</v>
      </c>
      <c r="B7940" s="1" t="str">
        <f>"MARBLE CLIFF QUARRY COMMUNITY AUTHORITY"</f>
        <v>MARBLE CLIFF QUARRY COMMUNITY AUTHORITY</v>
      </c>
      <c r="C7940" s="1" t="str">
        <f>"NR MARBLE CLIFF QURS OQ 1000 ENTRY 544 5.894 ACRES"</f>
        <v>NR MARBLE CLIFF QURS OQ 1000 ENTRY 544 5.894 ACRES</v>
      </c>
      <c r="D7940" s="1">
        <v>1642.66</v>
      </c>
    </row>
    <row r="7941" spans="1:4" x14ac:dyDescent="0.3">
      <c r="A7941" s="1" t="str">
        <f>"56032831400"</f>
        <v>56032831400</v>
      </c>
      <c r="B7941" s="1" t="str">
        <f>"MARBLE CLIFF QUARRY COMMUNITY AUTHORITY"</f>
        <v>MARBLE CLIFF QUARRY COMMUNITY AUTHORITY</v>
      </c>
      <c r="C7941" s="1" t="str">
        <f>"DUBLIN ROAD ENTRY 544 1.180 AC"</f>
        <v>DUBLIN ROAD ENTRY 544 1.180 AC</v>
      </c>
      <c r="D7941" s="1">
        <v>288.73</v>
      </c>
    </row>
    <row r="7942" spans="1:4" x14ac:dyDescent="0.3">
      <c r="A7942" s="1" t="str">
        <f>"01003083600"</f>
        <v>01003083600</v>
      </c>
      <c r="B7942" s="1" t="str">
        <f>"MARBURY REBECCA P, MARBURY REBECCA"</f>
        <v>MARBURY REBECCA P, MARBURY REBECCA</v>
      </c>
      <c r="C7942" s="1" t="str">
        <f>"MARKINSON AVE 554 R22 T5 S7 1/2 S41 "</f>
        <v xml:space="preserve">MARKINSON AVE 554 R22 T5 S7 1/2 S41 </v>
      </c>
      <c r="D7942" s="1">
        <v>846.39</v>
      </c>
    </row>
    <row r="7943" spans="1:4" x14ac:dyDescent="0.3">
      <c r="A7943" s="1" t="str">
        <f>"01003083100"</f>
        <v>01003083100</v>
      </c>
      <c r="B7943" s="1" t="str">
        <f>"MARBURY REBECCA P, MARBURY REBECCA"</f>
        <v>MARBURY REBECCA P, MARBURY REBECCA</v>
      </c>
      <c r="C7943" s="1" t="str">
        <f>"MARKISON AVE FRIEBES HRS PARCELS LOT 13"</f>
        <v>MARKISON AVE FRIEBES HRS PARCELS LOT 13</v>
      </c>
      <c r="D7943" s="1">
        <v>633.53</v>
      </c>
    </row>
    <row r="7944" spans="1:4" x14ac:dyDescent="0.3">
      <c r="A7944" s="1" t="str">
        <f>"01007784600"</f>
        <v>01007784600</v>
      </c>
      <c r="B7944" s="1" t="str">
        <f>"MARBURY REBECCA P, MARBURY REBECCA"</f>
        <v>MARBURY REBECCA P, MARBURY REBECCA</v>
      </c>
      <c r="C7944" s="1" t="str">
        <f>"574 E MARKISON AVE R22W T5N 1/2 S41 (0.178 ACRE)"</f>
        <v>574 E MARKISON AVE R22W T5N 1/2 S41 (0.178 ACRE)</v>
      </c>
      <c r="D7944" s="1">
        <v>3104.32</v>
      </c>
    </row>
    <row r="7945" spans="1:4" x14ac:dyDescent="0.3">
      <c r="A7945" s="1" t="str">
        <f>"01006846700"</f>
        <v>01006846700</v>
      </c>
      <c r="B7945" s="1" t="str">
        <f>"MARCHESE NICHOLAS A, MARCHESE WILMA R"</f>
        <v>MARCHESE NICHOLAS A, MARCHESE WILMA R</v>
      </c>
      <c r="C7945" s="1" t="str">
        <f>"HAGUE AVE WILSHIRE HEIGHTS LOT 21 BLK 6"</f>
        <v>HAGUE AVE WILSHIRE HEIGHTS LOT 21 BLK 6</v>
      </c>
      <c r="D7945" s="1">
        <v>62.59</v>
      </c>
    </row>
    <row r="7946" spans="1:4" x14ac:dyDescent="0.3">
      <c r="A7946" s="1" t="str">
        <f>"61020751400"</f>
        <v>61020751400</v>
      </c>
      <c r="B7946" s="1" t="str">
        <f>"MARCHIK MARINA"</f>
        <v>MARCHIK MARINA</v>
      </c>
      <c r="C7946" s="1" t="str">
        <f>"VILLAGE AT WORTHINGTON SEC 1 LOT 77"</f>
        <v>VILLAGE AT WORTHINGTON SEC 1 LOT 77</v>
      </c>
      <c r="D7946" s="1">
        <v>183.15</v>
      </c>
    </row>
    <row r="7947" spans="1:4" x14ac:dyDescent="0.3">
      <c r="A7947" s="1" t="str">
        <f>"61017211200"</f>
        <v>61017211200</v>
      </c>
      <c r="B7947" s="1" t="str">
        <f>"MARCHIK MARINA"</f>
        <v>MARCHIK MARINA</v>
      </c>
      <c r="C7947" s="1" t="str">
        <f>"LOCH LOMOND LN OLENTANGY HIGHLANDS SEC 4 LOT 261"</f>
        <v>LOCH LOMOND LN OLENTANGY HIGHLANDS SEC 4 LOT 261</v>
      </c>
      <c r="D7947" s="1">
        <v>106.66</v>
      </c>
    </row>
    <row r="7948" spans="1:4" x14ac:dyDescent="0.3">
      <c r="A7948" s="1" t="str">
        <f>"01003426600"</f>
        <v>01003426600</v>
      </c>
      <c r="B7948" s="1" t="str">
        <f>"MARCUM CHARLES A, RANKE EDNA C"</f>
        <v>MARCUM CHARLES A, RANKE EDNA C</v>
      </c>
      <c r="C7948" s="1" t="str">
        <f>"252 REEB AVE KRANERS LOT 4"</f>
        <v>252 REEB AVE KRANERS LOT 4</v>
      </c>
      <c r="D7948" s="1">
        <v>752.28</v>
      </c>
    </row>
    <row r="7949" spans="1:4" x14ac:dyDescent="0.3">
      <c r="A7949" s="1" t="str">
        <f>"01006780200"</f>
        <v>01006780200</v>
      </c>
      <c r="B7949" s="1" t="str">
        <f>"MARCUM KIMBERLY"</f>
        <v>MARCUM KIMBERLY</v>
      </c>
      <c r="C7949" s="1" t="str">
        <f>"608 LARCOMB AVE HILLTONIA LOT 154"</f>
        <v>608 LARCOMB AVE HILLTONIA LOT 154</v>
      </c>
      <c r="D7949" s="1">
        <v>2601.67</v>
      </c>
    </row>
    <row r="7950" spans="1:4" x14ac:dyDescent="0.3">
      <c r="A7950" s="1" t="str">
        <f>"14000151400"</f>
        <v>14000151400</v>
      </c>
      <c r="B7950" s="1" t="str">
        <f>"MARCUM TAMMY R"</f>
        <v>MARCUM TAMMY R</v>
      </c>
      <c r="C7950" s="1" t="str">
        <f>"HUNT AVE LOT 74 WOODROW PLACE"</f>
        <v>HUNT AVE LOT 74 WOODROW PLACE</v>
      </c>
      <c r="D7950" s="1">
        <v>156.88</v>
      </c>
    </row>
    <row r="7951" spans="1:4" x14ac:dyDescent="0.3">
      <c r="A7951" s="1" t="str">
        <f>"14000151300"</f>
        <v>14000151300</v>
      </c>
      <c r="B7951" s="1" t="str">
        <f>"MARCUM TAMMY R"</f>
        <v>MARCUM TAMMY R</v>
      </c>
      <c r="C7951" s="1" t="str">
        <f>"HUNT AVE LOT 73 WOODROW PLACE"</f>
        <v>HUNT AVE LOT 73 WOODROW PLACE</v>
      </c>
      <c r="D7951" s="1">
        <v>156.88</v>
      </c>
    </row>
    <row r="7952" spans="1:4" x14ac:dyDescent="0.3">
      <c r="A7952" s="1" t="str">
        <f>"14000151200"</f>
        <v>14000151200</v>
      </c>
      <c r="B7952" s="1" t="str">
        <f>"MARCUM TAMMY R"</f>
        <v>MARCUM TAMMY R</v>
      </c>
      <c r="C7952" s="1" t="str">
        <f>"HUNT AVE LOT 72 WOODROW PLACE"</f>
        <v>HUNT AVE LOT 72 WOODROW PLACE</v>
      </c>
      <c r="D7952" s="1">
        <v>156.88</v>
      </c>
    </row>
    <row r="7953" spans="1:4" x14ac:dyDescent="0.3">
      <c r="A7953" s="1" t="str">
        <f>"01006098600"</f>
        <v>01006098600</v>
      </c>
      <c r="B7953" s="1" t="str">
        <f>"MARCUM WHITNEY"</f>
        <v>MARCUM WHITNEY</v>
      </c>
      <c r="C7953" s="1" t="str">
        <f>"KOHR PLACE MAPLE VIEW LOT 38"</f>
        <v>KOHR PLACE MAPLE VIEW LOT 38</v>
      </c>
      <c r="D7953" s="1">
        <v>1709.15</v>
      </c>
    </row>
    <row r="7954" spans="1:4" x14ac:dyDescent="0.3">
      <c r="A7954" s="1" t="str">
        <f>"01007071100"</f>
        <v>01007071100</v>
      </c>
      <c r="B7954" s="1" t="str">
        <f>"MARCUS BRIAN P"</f>
        <v>MARCUS BRIAN P</v>
      </c>
      <c r="C7954" s="1" t="str">
        <f>"WESTGATE AVE WESTGATE LOT 278"</f>
        <v>WESTGATE AVE WESTGATE LOT 278</v>
      </c>
      <c r="D7954" s="1">
        <v>177.28</v>
      </c>
    </row>
    <row r="7955" spans="1:4" x14ac:dyDescent="0.3">
      <c r="A7955" s="1" t="str">
        <f>"01001345500"</f>
        <v>01001345500</v>
      </c>
      <c r="B7955" s="1" t="str">
        <f>"MARCUS SAM J INC"</f>
        <v>MARCUS SAM J INC</v>
      </c>
      <c r="C7955" s="1" t="str">
        <f>"GRANVILLE PK .9682AC R18 T2 1/4T4 LOT 6 "</f>
        <v xml:space="preserve">GRANVILLE PK .9682AC R18 T2 1/4T4 LOT 6 </v>
      </c>
      <c r="D7955" s="1">
        <v>5291.67</v>
      </c>
    </row>
    <row r="7956" spans="1:4" x14ac:dyDescent="0.3">
      <c r="A7956" s="1" t="str">
        <f>"18000369000"</f>
        <v>18000369000</v>
      </c>
      <c r="B7956" s="1" t="str">
        <f>"MARCY BENJAMIN W, MARCY JENNIFER"</f>
        <v>MARCY BENJAMIN W, MARCY JENNIFER</v>
      </c>
      <c r="C7956" s="1" t="str">
        <f>"STOLTZ AVE HARRIET 3 34 "</f>
        <v xml:space="preserve">STOLTZ AVE HARRIET 3 34 </v>
      </c>
      <c r="D7956" s="1">
        <v>4044.1</v>
      </c>
    </row>
    <row r="7957" spans="1:4" x14ac:dyDescent="0.3">
      <c r="A7957" s="1" t="str">
        <f>"10000668900"</f>
        <v>10000668900</v>
      </c>
      <c r="B7957" s="1" t="str">
        <f>"MARGINEAN EMIL J"</f>
        <v>MARGINEAN EMIL J</v>
      </c>
      <c r="C7957" s="1" t="str">
        <f>"1945 SAMADA AVE WORTHLYNN 2 LOT 17"</f>
        <v>1945 SAMADA AVE WORTHLYNN 2 LOT 17</v>
      </c>
      <c r="D7957" s="1">
        <v>5779.19</v>
      </c>
    </row>
    <row r="7958" spans="1:4" x14ac:dyDescent="0.3">
      <c r="A7958" s="1" t="str">
        <f>"61028110300"</f>
        <v>61028110300</v>
      </c>
      <c r="B7958" s="1" t="str">
        <f>"MARIAPPAN SUBRAMANIAN"</f>
        <v>MARIAPPAN SUBRAMANIAN</v>
      </c>
      <c r="C7958" s="1" t="str">
        <f>"THE TRADITIONS AT POLARIS CONDOMINIUMS 7TH AMD BLDG 6 UNIT 1077"</f>
        <v>THE TRADITIONS AT POLARIS CONDOMINIUMS 7TH AMD BLDG 6 UNIT 1077</v>
      </c>
      <c r="D7958" s="1">
        <v>342.99</v>
      </c>
    </row>
    <row r="7959" spans="1:4" x14ac:dyDescent="0.3">
      <c r="A7959" s="1" t="str">
        <f>"01009143400"</f>
        <v>01009143400</v>
      </c>
      <c r="B7959" s="1" t="str">
        <f>"MARIAS BARRERA JOSE MANUEL"</f>
        <v>MARIAS BARRERA JOSE MANUEL</v>
      </c>
      <c r="C7959" s="1" t="str">
        <f>"HAMPTON RD EASTHAMPTON LOT 210"</f>
        <v>HAMPTON RD EASTHAMPTON LOT 210</v>
      </c>
      <c r="D7959" s="1">
        <v>878</v>
      </c>
    </row>
    <row r="7960" spans="1:4" x14ac:dyDescent="0.3">
      <c r="A7960" s="1" t="str">
        <f>"57024100400"</f>
        <v>57024100400</v>
      </c>
      <c r="B7960" s="1" t="str">
        <f>"MARIBETH LLC"</f>
        <v>MARIBETH LLC</v>
      </c>
      <c r="C7960" s="1" t="str">
        <f>"MARIBETH PLACE SOUTHFIELD VILLAGE SECTION 4 LOT 55"</f>
        <v>MARIBETH PLACE SOUTHFIELD VILLAGE SECTION 4 LOT 55</v>
      </c>
      <c r="D7960" s="1">
        <v>1365.33</v>
      </c>
    </row>
    <row r="7961" spans="1:4" x14ac:dyDescent="0.3">
      <c r="A7961" s="1" t="str">
        <f>"01015341600"</f>
        <v>01015341600</v>
      </c>
      <c r="B7961" s="1" t="str">
        <f>"MARIDA PATRICIA A TOD"</f>
        <v>MARIDA PATRICIA A TOD</v>
      </c>
      <c r="C7961" s="1" t="str">
        <f>"DORSETSHIRE RD SHARON WOODS SEC 4 LOT 278"</f>
        <v>DORSETSHIRE RD SHARON WOODS SEC 4 LOT 278</v>
      </c>
      <c r="D7961" s="1">
        <v>1942.93</v>
      </c>
    </row>
    <row r="7962" spans="1:4" x14ac:dyDescent="0.3">
      <c r="A7962" s="1" t="str">
        <f>"01011391400"</f>
        <v>01011391400</v>
      </c>
      <c r="B7962" s="1" t="str">
        <f>"MARINELLO JOSEPH WILLIAM"</f>
        <v>MARINELLO JOSEPH WILLIAM</v>
      </c>
      <c r="C7962" s="1" t="str">
        <f>"WILLIAMS RD HOME ACRES LOT 78"</f>
        <v>WILLIAMS RD HOME ACRES LOT 78</v>
      </c>
      <c r="D7962" s="1">
        <v>1874.21</v>
      </c>
    </row>
    <row r="7963" spans="1:4" x14ac:dyDescent="0.3">
      <c r="A7963" s="1" t="str">
        <f>"01005973300"</f>
        <v>01005973300</v>
      </c>
      <c r="B7963" s="1" t="str">
        <f>"MARINO NICHOLAS CHRISTOPHER JR, FRANCIS BRENDA A"</f>
        <v>MARINO NICHOLAS CHRISTOPHER JR, FRANCIS BRENDA A</v>
      </c>
      <c r="C7963" s="1" t="str">
        <f>"1565 E WEBERRD LINDEN LOT 65"</f>
        <v>1565 E WEBERRD LINDEN LOT 65</v>
      </c>
      <c r="D7963" s="1">
        <v>93.31</v>
      </c>
    </row>
    <row r="7964" spans="1:4" x14ac:dyDescent="0.3">
      <c r="A7964" s="1" t="str">
        <f>"01018752100"</f>
        <v>01018752100</v>
      </c>
      <c r="B7964" s="1" t="str">
        <f>"MARJANE SOULAIMANE"</f>
        <v>MARJANE SOULAIMANE</v>
      </c>
      <c r="C7964" s="1" t="str">
        <f>"TAMARACK BL TAMARACK CONDOMINIUM UNIT 5759-D BLDG 1"</f>
        <v>TAMARACK BL TAMARACK CONDOMINIUM UNIT 5759-D BLDG 1</v>
      </c>
      <c r="D7964" s="1">
        <v>78.78</v>
      </c>
    </row>
    <row r="7965" spans="1:4" x14ac:dyDescent="0.3">
      <c r="A7965" s="1" t="str">
        <f>"01024552700"</f>
        <v>01024552700</v>
      </c>
      <c r="B7965" s="1" t="str">
        <f>"MARKHAM HOWARD D JR"</f>
        <v>MARKHAM HOWARD D JR</v>
      </c>
      <c r="C7965" s="1" t="str">
        <f>"MCNAUGHTEN PLACE CONDOMINIUM 6TH AMD BLDG P UNIT 47"</f>
        <v>MCNAUGHTEN PLACE CONDOMINIUM 6TH AMD BLDG P UNIT 47</v>
      </c>
      <c r="D7965" s="1">
        <v>1320.62</v>
      </c>
    </row>
    <row r="7966" spans="1:4" x14ac:dyDescent="0.3">
      <c r="A7966" s="1" t="str">
        <f>"01028242400"</f>
        <v>01028242400</v>
      </c>
      <c r="B7966" s="1" t="str">
        <f>"MARKIN ROBERT E"</f>
        <v>MARKIN ROBERT E</v>
      </c>
      <c r="C7966" s="1" t="str">
        <f>"6153 CARLATUN STREET      UPPER ALBANY WEST         SECTION 3 LOT 511        "</f>
        <v xml:space="preserve">6153 CARLATUN STREET      UPPER ALBANY WEST         SECTION 3 LOT 511        </v>
      </c>
      <c r="D7966" s="1">
        <v>4545.37</v>
      </c>
    </row>
    <row r="7967" spans="1:4" x14ac:dyDescent="0.3">
      <c r="A7967" s="1" t="str">
        <f>"01008045600"</f>
        <v>01008045600</v>
      </c>
      <c r="B7967" s="1" t="str">
        <f>"MARKS DAVID"</f>
        <v>MARKS DAVID</v>
      </c>
      <c r="C7967" s="1" t="str">
        <f>"1491 MECCA RD LINDEN GARDENS LOT 43"</f>
        <v>1491 MECCA RD LINDEN GARDENS LOT 43</v>
      </c>
      <c r="D7967" s="1">
        <v>2107.88</v>
      </c>
    </row>
    <row r="7968" spans="1:4" x14ac:dyDescent="0.3">
      <c r="A7968" s="1" t="str">
        <f>"27100000200"</f>
        <v>27100000200</v>
      </c>
      <c r="B7968" s="1" t="str">
        <f>"MARKS FAMILY CORP"</f>
        <v>MARKS FAMILY CORP</v>
      </c>
      <c r="C7968" s="1" t="str">
        <f>"WILCOX RD 8 ACRES ENTRY 14150"</f>
        <v>WILCOX RD 8 ACRES ENTRY 14150</v>
      </c>
      <c r="D7968" s="1">
        <v>534.91</v>
      </c>
    </row>
    <row r="7969" spans="1:4" x14ac:dyDescent="0.3">
      <c r="A7969" s="1" t="str">
        <f>"15100010400"</f>
        <v>15100010400</v>
      </c>
      <c r="B7969" s="1" t="str">
        <f>"MARLOWE MICHAEL R"</f>
        <v>MARLOWE MICHAEL R</v>
      </c>
      <c r="C7969" s="1" t="str">
        <f>"50 COMMERCE ST  "</f>
        <v xml:space="preserve">50 COMMERCE ST  </v>
      </c>
      <c r="D7969" s="1">
        <v>3303.3</v>
      </c>
    </row>
    <row r="7970" spans="1:4" x14ac:dyDescent="0.3">
      <c r="A7970" s="1" t="str">
        <f>"53032997800"</f>
        <v>53032997800</v>
      </c>
      <c r="B7970" s="1" t="str">
        <f>"MARONDA HOMES INC OF OHIO"</f>
        <v>MARONDA HOMES INC OF OHIO</v>
      </c>
      <c r="C7970" s="1" t="str">
        <f>"SPANGLER FARMS LOT 1 "</f>
        <v xml:space="preserve">SPANGLER FARMS LOT 1 </v>
      </c>
      <c r="D7970" s="1">
        <v>212.69</v>
      </c>
    </row>
    <row r="7971" spans="1:4" x14ac:dyDescent="0.3">
      <c r="A7971" s="1" t="str">
        <f>"53032998200"</f>
        <v>53032998200</v>
      </c>
      <c r="B7971" s="1" t="str">
        <f>"MARONDA HOMES INC OF OHIO"</f>
        <v>MARONDA HOMES INC OF OHIO</v>
      </c>
      <c r="C7971" s="1" t="str">
        <f>"SPANGLER FARMS LOT 5 "</f>
        <v xml:space="preserve">SPANGLER FARMS LOT 5 </v>
      </c>
      <c r="D7971" s="1">
        <v>106.33</v>
      </c>
    </row>
    <row r="7972" spans="1:4" x14ac:dyDescent="0.3">
      <c r="A7972" s="1" t="str">
        <f>"53032998300"</f>
        <v>53032998300</v>
      </c>
      <c r="B7972" s="1" t="str">
        <f>"MARONDA HOMES INC OF OHIO"</f>
        <v>MARONDA HOMES INC OF OHIO</v>
      </c>
      <c r="C7972" s="1" t="str">
        <f>"SPANGLER FARMS LOT 6 "</f>
        <v xml:space="preserve">SPANGLER FARMS LOT 6 </v>
      </c>
      <c r="D7972" s="1">
        <v>75.959999999999994</v>
      </c>
    </row>
    <row r="7973" spans="1:4" x14ac:dyDescent="0.3">
      <c r="A7973" s="1" t="str">
        <f>"53032998600"</f>
        <v>53032998600</v>
      </c>
      <c r="B7973" s="1" t="str">
        <f>"MARONDA HOMES INC OF OHIO"</f>
        <v>MARONDA HOMES INC OF OHIO</v>
      </c>
      <c r="C7973" s="1" t="str">
        <f>"SPANGLER FARMS LOT 9 "</f>
        <v xml:space="preserve">SPANGLER FARMS LOT 9 </v>
      </c>
      <c r="D7973" s="1">
        <v>50.63</v>
      </c>
    </row>
    <row r="7974" spans="1:4" x14ac:dyDescent="0.3">
      <c r="A7974" s="1" t="str">
        <f>"53032999200"</f>
        <v>53032999200</v>
      </c>
      <c r="B7974" s="1" t="str">
        <f>"MARONDA HOMES INC OF OHIO"</f>
        <v>MARONDA HOMES INC OF OHIO</v>
      </c>
      <c r="C7974" s="1" t="str">
        <f>"SPANGLER FARMS LOT 15 "</f>
        <v xml:space="preserve">SPANGLER FARMS LOT 15 </v>
      </c>
      <c r="D7974" s="1">
        <v>265.83999999999997</v>
      </c>
    </row>
    <row r="7975" spans="1:4" x14ac:dyDescent="0.3">
      <c r="A7975" s="1" t="str">
        <f>"07001396400"</f>
        <v>07001396400</v>
      </c>
      <c r="B7975" s="1" t="str">
        <f>"MAROON MARY A TOD"</f>
        <v>MAROON MARY A TOD</v>
      </c>
      <c r="C7975" s="1" t="str">
        <f>"SANDSTON RD CONCORD VILLAGE 6A LOT 35-A"</f>
        <v>SANDSTON RD CONCORD VILLAGE 6A LOT 35-A</v>
      </c>
      <c r="D7975" s="1">
        <v>3326.94</v>
      </c>
    </row>
    <row r="7976" spans="1:4" x14ac:dyDescent="0.3">
      <c r="A7976" s="1" t="str">
        <f>"18000137500"</f>
        <v>18000137500</v>
      </c>
      <c r="B7976" s="1" t="str">
        <f>"MAROSCHER UDO W, MAROSCHER JANET L"</f>
        <v>MAROSCHER UDO W, MAROSCHER JANET L</v>
      </c>
      <c r="C7976" s="1" t="str">
        <f>"INN RD MARWICK ESTATES 2 34 "</f>
        <v xml:space="preserve">INN RD MARWICK ESTATES 2 34 </v>
      </c>
      <c r="D7976" s="1">
        <v>2.2000000000000002</v>
      </c>
    </row>
    <row r="7977" spans="1:4" x14ac:dyDescent="0.3">
      <c r="A7977" s="1" t="str">
        <f>"02500697800"</f>
        <v>02500697800</v>
      </c>
      <c r="B7977" s="1" t="str">
        <f>"MARRON ANDREW, MARRON KATHLEEN L"</f>
        <v>MARRON ANDREW, MARRON KATHLEEN L</v>
      </c>
      <c r="C7977" s="1" t="str">
        <f>"303 SUMPTION DRIVE WOODSIDE GREEN SEC 3 PH 3 LOT 303"</f>
        <v>303 SUMPTION DRIVE WOODSIDE GREEN SEC 3 PH 3 LOT 303</v>
      </c>
      <c r="D7977" s="1">
        <v>325.98</v>
      </c>
    </row>
    <row r="7978" spans="1:4" x14ac:dyDescent="0.3">
      <c r="A7978" s="1" t="str">
        <f>"01005940000"</f>
        <v>01005940000</v>
      </c>
      <c r="B7978" s="1" t="str">
        <f>"MARSH DEBBIE TR"</f>
        <v>MARSH DEBBIE TR</v>
      </c>
      <c r="C7978" s="1" t="str">
        <f>"GENESSEE AVE LINDEN LOT 818"</f>
        <v>GENESSEE AVE LINDEN LOT 818</v>
      </c>
      <c r="D7978" s="1">
        <v>1728.71</v>
      </c>
    </row>
    <row r="7979" spans="1:4" x14ac:dyDescent="0.3">
      <c r="A7979" s="1" t="str">
        <f>"22200081400"</f>
        <v>22200081400</v>
      </c>
      <c r="B7979" s="1" t="str">
        <f>"MARSH GA JR"</f>
        <v>MARSH GA JR</v>
      </c>
      <c r="C7979" s="1" t="str">
        <f>"PLAIN VIEW DR PLAIN VIEW COUNTRY EST LOT 12"</f>
        <v>PLAIN VIEW DR PLAIN VIEW COUNTRY EST LOT 12</v>
      </c>
      <c r="D7979" s="1">
        <v>534.5</v>
      </c>
    </row>
    <row r="7980" spans="1:4" x14ac:dyDescent="0.3">
      <c r="A7980" s="1" t="str">
        <f>"10000256700"</f>
        <v>10000256700</v>
      </c>
      <c r="B7980" s="1" t="str">
        <f>"MARSH JOHN, MARSH JODI"</f>
        <v>MARSH JOHN, MARSH JODI</v>
      </c>
      <c r="C7980" s="1" t="str">
        <f>"115 W NEW ENGLAND NEW ENGLAND LOT 6 "</f>
        <v xml:space="preserve">115 W NEW ENGLAND NEW ENGLAND LOT 6 </v>
      </c>
      <c r="D7980" s="1">
        <v>724.71</v>
      </c>
    </row>
    <row r="7981" spans="1:4" x14ac:dyDescent="0.3">
      <c r="A7981" s="1" t="str">
        <f>"10000054000"</f>
        <v>10000054000</v>
      </c>
      <c r="B7981" s="1" t="str">
        <f>"MARSH JOHN, MARSH JODI"</f>
        <v>MARSH JOHN, MARSH JODI</v>
      </c>
      <c r="C7981" s="1" t="str">
        <f>"W NEW ENGLAND AVE PT L 6 &amp; 127 NEW ENGLAND"</f>
        <v>W NEW ENGLAND AVE PT L 6 &amp; 127 NEW ENGLAND</v>
      </c>
      <c r="D7981" s="1">
        <v>95.23</v>
      </c>
    </row>
    <row r="7982" spans="1:4" x14ac:dyDescent="0.3">
      <c r="A7982" s="1" t="str">
        <f>"06000329800"</f>
        <v>06000329800</v>
      </c>
      <c r="B7982" s="1" t="str">
        <f>"MARSH MARY KAY"</f>
        <v>MARSH MARY KAY</v>
      </c>
      <c r="C7982" s="1" t="str">
        <f>"RED FOX COURT RED FOX HOLLOW 44 "</f>
        <v xml:space="preserve">RED FOX COURT RED FOX HOLLOW 44 </v>
      </c>
      <c r="D7982" s="1">
        <v>5684.31</v>
      </c>
    </row>
    <row r="7983" spans="1:4" x14ac:dyDescent="0.3">
      <c r="A7983" s="1" t="str">
        <f>"01026766800"</f>
        <v>01026766800</v>
      </c>
      <c r="B7983" s="1" t="str">
        <f>"MARSH NATALIE R"</f>
        <v>MARSH NATALIE R</v>
      </c>
      <c r="C7983" s="1" t="str">
        <f>"RENAISSANCE CONDOMINIUMS  UNIT 121-3                121 EAST NOBLE ST. #3    "</f>
        <v xml:space="preserve">RENAISSANCE CONDOMINIUMS  UNIT 121-3                121 EAST NOBLE ST. #3    </v>
      </c>
      <c r="D7983" s="1">
        <v>3314.25</v>
      </c>
    </row>
    <row r="7984" spans="1:4" x14ac:dyDescent="0.3">
      <c r="A7984" s="1" t="str">
        <f>"01003228600"</f>
        <v>01003228600</v>
      </c>
      <c r="B7984" s="1" t="str">
        <f>"MARSHALL CLAUDIA M"</f>
        <v>MARSHALL CLAUDIA M</v>
      </c>
      <c r="C7984" s="1" t="str">
        <f>"22ND ST ROSE HILL LOT 12"</f>
        <v>22ND ST ROSE HILL LOT 12</v>
      </c>
      <c r="D7984" s="1">
        <v>49.33</v>
      </c>
    </row>
    <row r="7985" spans="1:4" x14ac:dyDescent="0.3">
      <c r="A7985" s="1" t="str">
        <f>"01015860200"</f>
        <v>01015860200</v>
      </c>
      <c r="B7985" s="1" t="str">
        <f>"MARSHALL DEANNA"</f>
        <v>MARSHALL DEANNA</v>
      </c>
      <c r="C7985" s="1" t="str">
        <f>"WOODCUTTER AVE WALNUT CREEK SEC 1 LOT 133"</f>
        <v>WOODCUTTER AVE WALNUT CREEK SEC 1 LOT 133</v>
      </c>
      <c r="D7985" s="1">
        <v>1656.59</v>
      </c>
    </row>
    <row r="7986" spans="1:4" x14ac:dyDescent="0.3">
      <c r="A7986" s="1" t="str">
        <f>"01003460900"</f>
        <v>01003460900</v>
      </c>
      <c r="B7986" s="1" t="str">
        <f>"MARSHALL JOY L"</f>
        <v>MARSHALL JOY L</v>
      </c>
      <c r="C7986" s="1" t="str">
        <f>"1008 E 11TH AVE MILLERS CLEVELAND TERRACE LOT 41-42"</f>
        <v>1008 E 11TH AVE MILLERS CLEVELAND TERRACE LOT 41-42</v>
      </c>
      <c r="D7986" s="1">
        <v>1743.1</v>
      </c>
    </row>
    <row r="7987" spans="1:4" x14ac:dyDescent="0.3">
      <c r="A7987" s="1" t="str">
        <f>"01002518500"</f>
        <v>01002518500</v>
      </c>
      <c r="B7987" s="1" t="str">
        <f>"MARSHALL LINDA L"</f>
        <v>MARSHALL LINDA L</v>
      </c>
      <c r="C7987" s="1" t="str">
        <f>"ATCHESON ST HILDRETH &amp;CHITTENDEN LOT 79-80"</f>
        <v>ATCHESON ST HILDRETH &amp;CHITTENDEN LOT 79-80</v>
      </c>
      <c r="D7987" s="1">
        <v>423.2</v>
      </c>
    </row>
    <row r="7988" spans="1:4" x14ac:dyDescent="0.3">
      <c r="A7988" s="1" t="str">
        <f>"01005106000"</f>
        <v>01005106000</v>
      </c>
      <c r="B7988" s="1" t="str">
        <f>"MARSHALL WILLIAM S"</f>
        <v>MARSHALL WILLIAM S</v>
      </c>
      <c r="C7988" s="1" t="str">
        <f>"BURGESS AVE BRONX LOT 9"</f>
        <v>BURGESS AVE BRONX LOT 9</v>
      </c>
      <c r="D7988" s="1">
        <v>751.47</v>
      </c>
    </row>
    <row r="7989" spans="1:4" x14ac:dyDescent="0.3">
      <c r="A7989" s="1" t="str">
        <f>"15000172800"</f>
        <v>15000172800</v>
      </c>
      <c r="B7989" s="1" t="str">
        <f>"MARTENEY BRYAN II"</f>
        <v>MARTENEY BRYAN II</v>
      </c>
      <c r="C7989" s="1" t="str">
        <f>"1048 LANGTRY AVE HAMILTON MEADOWS LOT 106"</f>
        <v>1048 LANGTRY AVE HAMILTON MEADOWS LOT 106</v>
      </c>
      <c r="D7989" s="1">
        <v>3776.32</v>
      </c>
    </row>
    <row r="7990" spans="1:4" x14ac:dyDescent="0.3">
      <c r="A7990" s="1" t="str">
        <f>"01028247800"</f>
        <v>01028247800</v>
      </c>
      <c r="B7990" s="1" t="str">
        <f>"MARTENEY LOIRE, MATTOX DEVORE MARYLAND J"</f>
        <v>MARTENEY LOIRE, MATTOX DEVORE MARYLAND J</v>
      </c>
      <c r="C7990" s="1" t="str">
        <f>"6126 TOURNAMENT AVENUE    UPPER ALBANY WEST         SECTION 3 LOT 565        "</f>
        <v xml:space="preserve">6126 TOURNAMENT AVENUE    UPPER ALBANY WEST         SECTION 3 LOT 565        </v>
      </c>
      <c r="D7990" s="1">
        <v>5747.74</v>
      </c>
    </row>
    <row r="7991" spans="1:4" x14ac:dyDescent="0.3">
      <c r="A7991" s="1" t="str">
        <f>"01009567500"</f>
        <v>01009567500</v>
      </c>
      <c r="B7991" s="1" t="str">
        <f>"MARTIN ANTHONY L"</f>
        <v>MARTIN ANTHONY L</v>
      </c>
      <c r="C7991" s="1" t="str">
        <f>"HAMPTON RD MAYFAIR AMD LOT 378"</f>
        <v>HAMPTON RD MAYFAIR AMD LOT 378</v>
      </c>
      <c r="D7991" s="1">
        <v>750.71</v>
      </c>
    </row>
    <row r="7992" spans="1:4" x14ac:dyDescent="0.3">
      <c r="A7992" s="1" t="str">
        <f>"01002688200"</f>
        <v>01002688200</v>
      </c>
      <c r="B7992" s="1" t="str">
        <f>"MARTIN DESMON U"</f>
        <v>MARTIN DESMON U</v>
      </c>
      <c r="C7992" s="1" t="str">
        <f>"870 GIBBARD AVE BIDLEMANS SUB LOT 119"</f>
        <v>870 GIBBARD AVE BIDLEMANS SUB LOT 119</v>
      </c>
      <c r="D7992" s="1">
        <v>727.41</v>
      </c>
    </row>
    <row r="7993" spans="1:4" x14ac:dyDescent="0.3">
      <c r="A7993" s="1" t="str">
        <f>"01004738500"</f>
        <v>01004738500</v>
      </c>
      <c r="B7993" s="1" t="str">
        <f>"MARTIN DOLAND"</f>
        <v>MARTIN DOLAND</v>
      </c>
      <c r="C7993" s="1" t="str">
        <f>"304 MORRILL AVE JONES S S 35FT E E LOTS 30 31"</f>
        <v>304 MORRILL AVE JONES S S 35FT E E LOTS 30 31</v>
      </c>
      <c r="D7993" s="1">
        <v>2611.96</v>
      </c>
    </row>
    <row r="7994" spans="1:4" x14ac:dyDescent="0.3">
      <c r="A7994" s="1" t="str">
        <f>"01002836000"</f>
        <v>01002836000</v>
      </c>
      <c r="B7994" s="1" t="str">
        <f>"MARTIN ERIC"</f>
        <v>MARTIN ERIC</v>
      </c>
      <c r="C7994" s="1" t="str">
        <f>"39-41 GUILFORD AVE GUILFORD PK LOT 23"</f>
        <v>39-41 GUILFORD AVE GUILFORD PK LOT 23</v>
      </c>
      <c r="D7994" s="1">
        <v>2620.7600000000002</v>
      </c>
    </row>
    <row r="7995" spans="1:4" x14ac:dyDescent="0.3">
      <c r="A7995" s="1" t="str">
        <f>"01012722300"</f>
        <v>01012722300</v>
      </c>
      <c r="B7995" s="1" t="str">
        <f>"MARTIN EVELYN F"</f>
        <v>MARTIN EVELYN F</v>
      </c>
      <c r="C7995" s="1" t="str">
        <f>"DEVONHURST DR YORKSHIRE DR LOT 73"</f>
        <v>DEVONHURST DR YORKSHIRE DR LOT 73</v>
      </c>
      <c r="D7995" s="1">
        <v>169.51</v>
      </c>
    </row>
    <row r="7996" spans="1:4" x14ac:dyDescent="0.3">
      <c r="A7996" s="1" t="str">
        <f>"01025154000"</f>
        <v>01025154000</v>
      </c>
      <c r="B7996" s="1" t="str">
        <f>"MARTIN GARY L II, MARTIN DAI Q"</f>
        <v>MARTIN GARY L II, MARTIN DAI Q</v>
      </c>
      <c r="C7996" s="1" t="str">
        <f>"GENDER PARK CONDOMINIUM 9TH AMD UNIT 48E"</f>
        <v>GENDER PARK CONDOMINIUM 9TH AMD UNIT 48E</v>
      </c>
      <c r="D7996" s="1">
        <v>2815.62</v>
      </c>
    </row>
    <row r="7997" spans="1:4" x14ac:dyDescent="0.3">
      <c r="A7997" s="1" t="str">
        <f>"09000049600"</f>
        <v>09000049600</v>
      </c>
      <c r="B7997" s="1" t="str">
        <f>"MARTIN GLADYS D"</f>
        <v>MARTIN GLADYS D</v>
      </c>
      <c r="C7997" s="1" t="str">
        <f>"E MAIN ST                 BLOWER                    49                       "</f>
        <v xml:space="preserve">E MAIN ST                 BLOWER                    49                       </v>
      </c>
      <c r="D7997" s="1">
        <v>5970.46</v>
      </c>
    </row>
    <row r="7998" spans="1:4" x14ac:dyDescent="0.3">
      <c r="A7998" s="1" t="str">
        <f>"01009574000"</f>
        <v>01009574000</v>
      </c>
      <c r="B7998" s="1" t="str">
        <f>"MARTIN LINDA S"</f>
        <v>MARTIN LINDA S</v>
      </c>
      <c r="C7998" s="1" t="str">
        <f>"HAMPTON RD MAYFAIR AMD LOT 270"</f>
        <v>HAMPTON RD MAYFAIR AMD LOT 270</v>
      </c>
      <c r="D7998" s="1">
        <v>940.38</v>
      </c>
    </row>
    <row r="7999" spans="1:4" x14ac:dyDescent="0.3">
      <c r="A7999" s="1" t="str">
        <f>"19100028900"</f>
        <v>19100028900</v>
      </c>
      <c r="B7999" s="1" t="str">
        <f>"MARTIN MARQUAN"</f>
        <v>MARTIN MARQUAN</v>
      </c>
      <c r="C7999" s="1" t="str">
        <f>"ARMUTH AVE E              LEONARD PARK ADD          LOT 46 BLK A             "</f>
        <v xml:space="preserve">ARMUTH AVE E              LEONARD PARK ADD          LOT 46 BLK A             </v>
      </c>
      <c r="D7999" s="1">
        <v>1295.51</v>
      </c>
    </row>
    <row r="8000" spans="1:4" x14ac:dyDescent="0.3">
      <c r="A8000" s="1" t="str">
        <f>"08000438900"</f>
        <v>08000438900</v>
      </c>
      <c r="B8000" s="1" t="str">
        <f>"MARTIN MICHELLE N TR, MARTIN MICHAEL L TR"</f>
        <v>MARTIN MICHELLE N TR, MARTIN MICHAEL L TR</v>
      </c>
      <c r="C8000" s="1" t="str">
        <f>"BUCKEYE COURT HILLCREST NO 2 SECII LOT 81"</f>
        <v>BUCKEYE COURT HILLCREST NO 2 SECII LOT 81</v>
      </c>
      <c r="D8000" s="1">
        <v>8371.9</v>
      </c>
    </row>
    <row r="8001" spans="1:4" x14ac:dyDescent="0.3">
      <c r="A8001" s="1" t="str">
        <f>"16000138300"</f>
        <v>16000138300</v>
      </c>
      <c r="B8001" s="1" t="str">
        <f>"MARTIN PETER"</f>
        <v>MARTIN PETER</v>
      </c>
      <c r="C8001" s="1" t="str">
        <f>"HOLTON RD BLK OQ1892 3.101 ACRES"</f>
        <v>HOLTON RD BLK OQ1892 3.101 ACRES</v>
      </c>
      <c r="D8001" s="1">
        <v>4738.83</v>
      </c>
    </row>
    <row r="8002" spans="1:4" x14ac:dyDescent="0.3">
      <c r="A8002" s="1" t="str">
        <f>"01011302700"</f>
        <v>01011302700</v>
      </c>
      <c r="B8002" s="1" t="str">
        <f>"MARTIN RAYMOND J, MARTIN MARIE"</f>
        <v>MARTIN RAYMOND J, MARTIN MARIE</v>
      </c>
      <c r="C8002" s="1" t="str">
        <f>"BENFIELD AVE SOUTH HIGH ST LOT 81"</f>
        <v>BENFIELD AVE SOUTH HIGH ST LOT 81</v>
      </c>
      <c r="D8002" s="1">
        <v>1312.16</v>
      </c>
    </row>
    <row r="8003" spans="1:4" x14ac:dyDescent="0.3">
      <c r="A8003" s="1" t="str">
        <f>"05000525500"</f>
        <v>05000525500</v>
      </c>
      <c r="B8003" s="1" t="str">
        <f>"MARTIN RICHARD K, MARTIN KATHLYN B"</f>
        <v>MARTIN RICHARD K, MARTIN KATHLYN B</v>
      </c>
      <c r="C8003" s="1" t="str">
        <f>"BRIXSTON DRIVE BRIXSTON SUBDIVISION LOT 30"</f>
        <v>BRIXSTON DRIVE BRIXSTON SUBDIVISION LOT 30</v>
      </c>
      <c r="D8003" s="1">
        <v>411.72</v>
      </c>
    </row>
    <row r="8004" spans="1:4" x14ac:dyDescent="0.3">
      <c r="A8004" s="1" t="str">
        <f>"61017406500"</f>
        <v>61017406500</v>
      </c>
      <c r="B8004" s="1" t="str">
        <f>"MARTIN ROBERT C, MARTIN GENIA"</f>
        <v>MARTIN ROBERT C, MARTIN GENIA</v>
      </c>
      <c r="C8004" s="1" t="str">
        <f>"SCARSDALE BLVD SMOKYRIDGE EST SEC 2 LOT 177"</f>
        <v>SCARSDALE BLVD SMOKYRIDGE EST SEC 2 LOT 177</v>
      </c>
      <c r="D8004" s="1">
        <v>297.74</v>
      </c>
    </row>
    <row r="8005" spans="1:4" x14ac:dyDescent="0.3">
      <c r="A8005" s="1" t="str">
        <f>"16000256200"</f>
        <v>16000256200</v>
      </c>
      <c r="B8005" s="1" t="str">
        <f>"MARTIN ROBERT D, MARTIN DEBORAH L"</f>
        <v>MARTIN ROBERT D, MARTIN DEBORAH L</v>
      </c>
      <c r="C8005" s="1" t="str">
        <f>"1650 ZUBER RD ENTRY 6115 1.136 ACRES"</f>
        <v>1650 ZUBER RD ENTRY 6115 1.136 ACRES</v>
      </c>
      <c r="D8005" s="1">
        <v>236.43</v>
      </c>
    </row>
    <row r="8006" spans="1:4" x14ac:dyDescent="0.3">
      <c r="A8006" s="1" t="str">
        <f>"01002982000"</f>
        <v>01002982000</v>
      </c>
      <c r="B8006" s="1" t="str">
        <f>"MARTIN ROGER L"</f>
        <v>MARTIN ROGER L</v>
      </c>
      <c r="C8006" s="1" t="str">
        <f>"1389 E FULTON ST 50FT WE T MILLER LOT 43"</f>
        <v>1389 E FULTON ST 50FT WE T MILLER LOT 43</v>
      </c>
      <c r="D8006" s="1">
        <v>1107.69</v>
      </c>
    </row>
    <row r="8007" spans="1:4" x14ac:dyDescent="0.3">
      <c r="A8007" s="1" t="str">
        <f>"18500166300"</f>
        <v>18500166300</v>
      </c>
      <c r="B8007" s="1" t="str">
        <f>"MARTIN SHARON D"</f>
        <v>MARTIN SHARON D</v>
      </c>
      <c r="C8007" s="1" t="str">
        <f>"THE VILLAGE AT GROVEPOINTE CONDO 5TH AMD UNIT 4872"</f>
        <v>THE VILLAGE AT GROVEPOINTE CONDO 5TH AMD UNIT 4872</v>
      </c>
      <c r="D8007" s="1">
        <v>151.49</v>
      </c>
    </row>
    <row r="8008" spans="1:4" x14ac:dyDescent="0.3">
      <c r="A8008" s="1" t="str">
        <f>"01011346300"</f>
        <v>01011346300</v>
      </c>
      <c r="B8008" s="1" t="str">
        <f>"MARTIN TYSON L C, CECIL LISA L"</f>
        <v>MARTIN TYSON L C, CECIL LISA L</v>
      </c>
      <c r="C8008" s="1" t="str">
        <f>"LOCKBOURNE PK J A CLICKINGER HRS .8582 ACRES"</f>
        <v>LOCKBOURNE PK J A CLICKINGER HRS .8582 ACRES</v>
      </c>
      <c r="D8008" s="1">
        <v>2544.25</v>
      </c>
    </row>
    <row r="8009" spans="1:4" x14ac:dyDescent="0.3">
      <c r="A8009" s="1" t="str">
        <f>"59017275000"</f>
        <v>59017275000</v>
      </c>
      <c r="B8009" s="1" t="str">
        <f>"MARTIN WILL, MARTIN JOAN"</f>
        <v>MARTIN WILL, MARTIN JOAN</v>
      </c>
      <c r="C8009" s="1" t="str">
        <f>"CRESTON COURT RIVERSIDE GREEN SEC4 LOT 164"</f>
        <v>CRESTON COURT RIVERSIDE GREEN SEC4 LOT 164</v>
      </c>
      <c r="D8009" s="1">
        <v>772.75</v>
      </c>
    </row>
    <row r="8010" spans="1:4" x14ac:dyDescent="0.3">
      <c r="A8010" s="1" t="str">
        <f>"17000376100"</f>
        <v>17000376100</v>
      </c>
      <c r="B8010" s="1" t="str">
        <f>"MARTINELLI THOMAS F, MARTINELLI AMY J"</f>
        <v>MARTINELLI THOMAS F, MARTINELLI AMY J</v>
      </c>
      <c r="C8010" s="1" t="str">
        <f>"JEFFERSON VILLAGE CONDOMINIUM 13TH AMD UNIT 27"</f>
        <v>JEFFERSON VILLAGE CONDOMINIUM 13TH AMD UNIT 27</v>
      </c>
      <c r="D8010" s="1">
        <v>731.05</v>
      </c>
    </row>
    <row r="8011" spans="1:4" x14ac:dyDescent="0.3">
      <c r="A8011" s="1" t="str">
        <f>"19000128600"</f>
        <v>19000128600</v>
      </c>
      <c r="B8011" s="1" t="str">
        <f>"MARTINEZ ALEJANDRO DOMINGUEZ"</f>
        <v>MARTINEZ ALEJANDRO DOMINGUEZ</v>
      </c>
      <c r="C8011" s="1" t="str">
        <f>"MELROSE AVE TUXEDO PARK ADD LOTS 58-60"</f>
        <v>MELROSE AVE TUXEDO PARK ADD LOTS 58-60</v>
      </c>
      <c r="D8011" s="1">
        <v>707.44</v>
      </c>
    </row>
    <row r="8012" spans="1:4" x14ac:dyDescent="0.3">
      <c r="A8012" s="1" t="str">
        <f>"01028478300"</f>
        <v>01028478300</v>
      </c>
      <c r="B8012" s="1" t="str">
        <f>"MARTINEZ AMANDA ILENA"</f>
        <v>MARTINEZ AMANDA ILENA</v>
      </c>
      <c r="C8012" s="1" t="str">
        <f>"BROADWAY CONDOMINIUM 1ST AMD UNIT 20-4181"</f>
        <v>BROADWAY CONDOMINIUM 1ST AMD UNIT 20-4181</v>
      </c>
      <c r="D8012" s="1">
        <v>148.66999999999999</v>
      </c>
    </row>
    <row r="8013" spans="1:4" x14ac:dyDescent="0.3">
      <c r="A8013" s="1" t="str">
        <f>"01007631700"</f>
        <v>01007631700</v>
      </c>
      <c r="B8013" s="1" t="str">
        <f>"MARTINEZ AMNERIS"</f>
        <v>MARTINEZ AMNERIS</v>
      </c>
      <c r="C8013" s="1" t="str">
        <f>"19TH AVE HIGHLAND PLACE LOT 47"</f>
        <v>19TH AVE HIGHLAND PLACE LOT 47</v>
      </c>
      <c r="D8013" s="1">
        <v>1910.04</v>
      </c>
    </row>
    <row r="8014" spans="1:4" x14ac:dyDescent="0.3">
      <c r="A8014" s="1" t="str">
        <f>"09000577200"</f>
        <v>09000577200</v>
      </c>
      <c r="B8014" s="1" t="str">
        <f>"MARTINEZ FERNANDO"</f>
        <v>MARTINEZ FERNANDO</v>
      </c>
      <c r="C8014" s="1" t="str">
        <f>"391 MAPLEWOOD AVE SEE DUP FOR DESC LOWRIE BROS 61-62"</f>
        <v>391 MAPLEWOOD AVE SEE DUP FOR DESC LOWRIE BROS 61-62</v>
      </c>
      <c r="D8014" s="1">
        <v>3024.04</v>
      </c>
    </row>
    <row r="8015" spans="1:4" x14ac:dyDescent="0.3">
      <c r="A8015" s="1" t="str">
        <f>"01005603700"</f>
        <v>01005603700</v>
      </c>
      <c r="B8015" s="1" t="str">
        <f>"MARTINEZ JOSE G"</f>
        <v>MARTINEZ JOSE G</v>
      </c>
      <c r="C8015" s="1" t="str">
        <f>"6TH AVE 26FT ESL 506 &amp;14FT WS LT 507 E COLS LOT 506-507"</f>
        <v>6TH AVE 26FT ESL 506 &amp;14FT WS LT 507 E COLS LOT 506-507</v>
      </c>
      <c r="D8015" s="1">
        <v>1991.22</v>
      </c>
    </row>
    <row r="8016" spans="1:4" x14ac:dyDescent="0.3">
      <c r="A8016" s="1" t="str">
        <f>"01011487900"</f>
        <v>01011487900</v>
      </c>
      <c r="B8016" s="1" t="str">
        <f>"MARTINEZ JUAN A, MARTINEZ KATHRYN I"</f>
        <v>MARTINEZ JUAN A, MARTINEZ KATHRYN I</v>
      </c>
      <c r="C8016" s="1" t="str">
        <f>"WATKINS RD PAR .24 URP R22 T4 S1-12"</f>
        <v>WATKINS RD PAR .24 URP R22 T4 S1-12</v>
      </c>
      <c r="D8016" s="1">
        <v>1321.64</v>
      </c>
    </row>
    <row r="8017" spans="1:4" x14ac:dyDescent="0.3">
      <c r="A8017" s="1" t="str">
        <f>"01013783100"</f>
        <v>01013783100</v>
      </c>
      <c r="B8017" s="1" t="str">
        <f>"MARTINEZ MIRIAM NUNEZ"</f>
        <v>MARTINEZ MIRIAM NUNEZ</v>
      </c>
      <c r="C8017" s="1" t="str">
        <f>"AMBLESIDE DR DEVONSHIRE 4 LOT 413"</f>
        <v>AMBLESIDE DR DEVONSHIRE 4 LOT 413</v>
      </c>
      <c r="D8017" s="1">
        <v>631.79</v>
      </c>
    </row>
    <row r="8018" spans="1:4" x14ac:dyDescent="0.3">
      <c r="A8018" s="1" t="str">
        <f>"01005946800"</f>
        <v>01005946800</v>
      </c>
      <c r="B8018" s="1" t="str">
        <f>"MARTINEZ PEDRO NEFTALI"</f>
        <v>MARTINEZ PEDRO NEFTALI</v>
      </c>
      <c r="C8018" s="1" t="str">
        <f>"1312 MANCHESTER AVE LINDEN LOT 191"</f>
        <v>1312 MANCHESTER AVE LINDEN LOT 191</v>
      </c>
      <c r="D8018" s="1">
        <v>2541.04</v>
      </c>
    </row>
    <row r="8019" spans="1:4" x14ac:dyDescent="0.3">
      <c r="A8019" s="1" t="str">
        <f>"01006831000"</f>
        <v>01006831000</v>
      </c>
      <c r="B8019" s="1" t="str">
        <f>"MARTINEZ ROBERTO SANCHEZ"</f>
        <v>MARTINEZ ROBERTO SANCHEZ</v>
      </c>
      <c r="C8019" s="1" t="str">
        <f>"558 S OGDEN AVE HEFFNER HTS LOT 84"</f>
        <v>558 S OGDEN AVE HEFFNER HTS LOT 84</v>
      </c>
      <c r="D8019" s="1">
        <v>1661.35</v>
      </c>
    </row>
    <row r="8020" spans="1:4" x14ac:dyDescent="0.3">
      <c r="A8020" s="1" t="str">
        <f>"01002684100"</f>
        <v>01002684100</v>
      </c>
      <c r="B8020" s="1" t="str">
        <f>"MARTINEZ ROBERTO SANCHEZ"</f>
        <v>MARTINEZ ROBERTO SANCHEZ</v>
      </c>
      <c r="C8020" s="1" t="str">
        <f>"90 S TERRACE AVE LANDSCAPE LOT 36 &amp; PT 37"</f>
        <v>90 S TERRACE AVE LANDSCAPE LOT 36 &amp; PT 37</v>
      </c>
      <c r="D8020" s="1">
        <v>1765.19</v>
      </c>
    </row>
    <row r="8021" spans="1:4" x14ac:dyDescent="0.3">
      <c r="A8021" s="1" t="str">
        <f>"01011524800"</f>
        <v>01011524800</v>
      </c>
      <c r="B8021" s="1" t="str">
        <f>"MARTINEZ SANDRA"</f>
        <v>MARTINEZ SANDRA</v>
      </c>
      <c r="C8021" s="1" t="str">
        <f>"EVERGREEN RD M J MCDOWELLS GREEN- DALE W1/2 LOT 1"</f>
        <v>EVERGREEN RD M J MCDOWELLS GREEN- DALE W1/2 LOT 1</v>
      </c>
      <c r="D8021" s="1">
        <v>2719.4</v>
      </c>
    </row>
    <row r="8022" spans="1:4" x14ac:dyDescent="0.3">
      <c r="A8022" s="1" t="str">
        <f>"16000171900"</f>
        <v>16000171900</v>
      </c>
      <c r="B8022" s="1" t="str">
        <f>"MARTINO OPAL"</f>
        <v>MARTINO OPAL</v>
      </c>
      <c r="C8022" s="1" t="str">
        <f>"ZUBER RD ENTRY 1365 1.000 ACRE"</f>
        <v>ZUBER RD ENTRY 1365 1.000 ACRE</v>
      </c>
      <c r="D8022" s="1">
        <v>77.42</v>
      </c>
    </row>
    <row r="8023" spans="1:4" x14ac:dyDescent="0.3">
      <c r="A8023" s="1" t="str">
        <f>"01027228800"</f>
        <v>01027228800</v>
      </c>
      <c r="B8023" s="1" t="str">
        <f>"MARTIN-WILLIAMS DANIELA, MARTIN VANESSA, WILLIAMS ANTHONY"</f>
        <v>MARTIN-WILLIAMS DANIELA, MARTIN VANESSA, WILLIAMS ANTHONY</v>
      </c>
      <c r="C8023" s="1" t="str">
        <f>"CROSSFORD STREET McCUTCHEON CROSSING SECTION 6 LOT 302"</f>
        <v>CROSSFORD STREET McCUTCHEON CROSSING SECTION 6 LOT 302</v>
      </c>
      <c r="D8023" s="1">
        <v>7152.56</v>
      </c>
    </row>
    <row r="8024" spans="1:4" x14ac:dyDescent="0.3">
      <c r="A8024" s="1" t="str">
        <f>"01011930500"</f>
        <v>01011930500</v>
      </c>
      <c r="B8024" s="1" t="str">
        <f>"MARVIN ROY E"</f>
        <v>MARVIN ROY E</v>
      </c>
      <c r="C8024" s="1" t="str">
        <f>"WARD RD JENKINSON LOT 22"</f>
        <v>WARD RD JENKINSON LOT 22</v>
      </c>
      <c r="D8024" s="1">
        <v>1352.18</v>
      </c>
    </row>
    <row r="8025" spans="1:4" x14ac:dyDescent="0.3">
      <c r="A8025" s="1" t="str">
        <f>"59022250400"</f>
        <v>59022250400</v>
      </c>
      <c r="B8025" s="1" t="str">
        <f>"MARY SWISSHELM"</f>
        <v>MARY SWISSHELM</v>
      </c>
      <c r="C8025" s="1" t="str">
        <f>"BETHEL VILLAGE CONDOMINIUM 1ST AMD UNIT 17A"</f>
        <v>BETHEL VILLAGE CONDOMINIUM 1ST AMD UNIT 17A</v>
      </c>
      <c r="D8025" s="1">
        <v>2267.77</v>
      </c>
    </row>
    <row r="8026" spans="1:4" x14ac:dyDescent="0.3">
      <c r="A8026" s="1" t="str">
        <f>"02501181600"</f>
        <v>02501181600</v>
      </c>
      <c r="B8026" s="1" t="str">
        <f>"MARZIALE ARTHUR J JR, MARZIALE DANA K"</f>
        <v>MARZIALE ARTHUR J JR, MARZIALE DANA K</v>
      </c>
      <c r="C8026" s="1" t="str">
        <f>"PARK AT HARRISON POND VILLAGES AT ROCKY FORK SECTION 8 PART 2 LOT 247"</f>
        <v>PARK AT HARRISON POND VILLAGES AT ROCKY FORK SECTION 8 PART 2 LOT 247</v>
      </c>
      <c r="D8026" s="1">
        <v>550.54</v>
      </c>
    </row>
    <row r="8027" spans="1:4" x14ac:dyDescent="0.3">
      <c r="A8027" s="1" t="str">
        <f>"21200143900"</f>
        <v>21200143900</v>
      </c>
      <c r="B8027" s="1" t="str">
        <f>"MASDERBY GROUP VENTURES LLC"</f>
        <v>MASDERBY GROUP VENTURES LLC</v>
      </c>
      <c r="C8027" s="1" t="str">
        <f>"W CASE RD R19 T2 1-4T4 0.999 ACRE"</f>
        <v>W CASE RD R19 T2 1-4T4 0.999 ACRE</v>
      </c>
      <c r="D8027" s="1">
        <v>127.51</v>
      </c>
    </row>
    <row r="8028" spans="1:4" x14ac:dyDescent="0.3">
      <c r="A8028" s="1" t="str">
        <f>"01002052100"</f>
        <v>01002052100</v>
      </c>
      <c r="B8028" s="1" t="str">
        <f>"MASE VENTURES LLC"</f>
        <v>MASE VENTURES LLC</v>
      </c>
      <c r="C8028" s="1" t="str">
        <f>"470 C CHAMPION AVE HAYES LOT 27"</f>
        <v>470 C CHAMPION AVE HAYES LOT 27</v>
      </c>
      <c r="D8028" s="1">
        <v>346.71</v>
      </c>
    </row>
    <row r="8029" spans="1:4" x14ac:dyDescent="0.3">
      <c r="A8029" s="1" t="str">
        <f>"01002052000"</f>
        <v>01002052000</v>
      </c>
      <c r="B8029" s="1" t="str">
        <f>"MASE VENTURES LLC"</f>
        <v>MASE VENTURES LLC</v>
      </c>
      <c r="C8029" s="1" t="str">
        <f>"CHAMPION AVE HAYES LOT 26"</f>
        <v>CHAMPION AVE HAYES LOT 26</v>
      </c>
      <c r="D8029" s="1">
        <v>330.2</v>
      </c>
    </row>
    <row r="8030" spans="1:4" x14ac:dyDescent="0.3">
      <c r="A8030" s="1" t="str">
        <f>"03000196900"</f>
        <v>03000196900</v>
      </c>
      <c r="B8030" s="1" t="str">
        <f>"MASON JAMES H"</f>
        <v>MASON JAMES H</v>
      </c>
      <c r="C8030" s="1" t="str">
        <f>"1290 BROADVIEW AVE 40 FT N PT GRANDVIEW LOT 34"</f>
        <v>1290 BROADVIEW AVE 40 FT N PT GRANDVIEW LOT 34</v>
      </c>
      <c r="D8030" s="1">
        <v>3972.59</v>
      </c>
    </row>
    <row r="8031" spans="1:4" x14ac:dyDescent="0.3">
      <c r="A8031" s="1" t="str">
        <f>"01002787400"</f>
        <v>01002787400</v>
      </c>
      <c r="B8031" s="1" t="str">
        <f>"MASON JESSE WAYNE TR, MASON CYNTHIA ANN TR"</f>
        <v>MASON JESSE WAYNE TR, MASON CYNTHIA ANN TR</v>
      </c>
      <c r="C8031" s="1" t="str">
        <f>"1147-1149 E WHITTIER STUDER AMD LOT 317-8"</f>
        <v>1147-1149 E WHITTIER STUDER AMD LOT 317-8</v>
      </c>
      <c r="D8031" s="1">
        <v>205.08</v>
      </c>
    </row>
    <row r="8032" spans="1:4" x14ac:dyDescent="0.3">
      <c r="A8032" s="1" t="str">
        <f>"01004830700"</f>
        <v>01004830700</v>
      </c>
      <c r="B8032" s="1" t="str">
        <f>"MASON JOHN T, MASON MILDRED S"</f>
        <v>MASON JOHN T, MASON MILDRED S</v>
      </c>
      <c r="C8032" s="1" t="str">
        <f>"823 FAIRWOOD AVE BELLS FAIRWOOD AVE LOT 14"</f>
        <v>823 FAIRWOOD AVE BELLS FAIRWOOD AVE LOT 14</v>
      </c>
      <c r="D8032" s="1">
        <v>1682.18</v>
      </c>
    </row>
    <row r="8033" spans="1:4" x14ac:dyDescent="0.3">
      <c r="A8033" s="1" t="str">
        <f>"03000269100"</f>
        <v>03000269100</v>
      </c>
      <c r="B8033" s="1" t="str">
        <f>"MASON SHAWN"</f>
        <v>MASON SHAWN</v>
      </c>
      <c r="C8033" s="1" t="str">
        <f>"1000 URLIN AVENUE SUMMIT CHASE CONDO UNIT 1018"</f>
        <v>1000 URLIN AVENUE SUMMIT CHASE CONDO UNIT 1018</v>
      </c>
      <c r="D8033" s="1">
        <v>134.4</v>
      </c>
    </row>
    <row r="8034" spans="1:4" x14ac:dyDescent="0.3">
      <c r="A8034" s="1" t="str">
        <f>"14000065900"</f>
        <v>14000065900</v>
      </c>
      <c r="B8034" s="1" t="str">
        <f>"MASON WAYNE"</f>
        <v>MASON WAYNE</v>
      </c>
      <c r="C8034" s="1" t="str">
        <f>"1667 CENTRAL AVE BRIGGS 1ST LOT 81 "</f>
        <v xml:space="preserve">1667 CENTRAL AVE BRIGGS 1ST LOT 81 </v>
      </c>
      <c r="D8034" s="1">
        <v>1985.34</v>
      </c>
    </row>
    <row r="8035" spans="1:4" x14ac:dyDescent="0.3">
      <c r="A8035" s="1" t="str">
        <f>"01020956900"</f>
        <v>01020956900</v>
      </c>
      <c r="B8035" s="1" t="str">
        <f>"MASON2346 LLC"</f>
        <v>MASON2346 LLC</v>
      </c>
      <c r="C8035" s="1" t="str">
        <f>"MASON RUN COURT MASON VILLAGE CONDO UNIT 2436"</f>
        <v>MASON RUN COURT MASON VILLAGE CONDO UNIT 2436</v>
      </c>
      <c r="D8035" s="1">
        <v>88</v>
      </c>
    </row>
    <row r="8036" spans="1:4" x14ac:dyDescent="0.3">
      <c r="A8036" s="1" t="str">
        <f>"22000101100"</f>
        <v>22000101100</v>
      </c>
      <c r="B8036" s="1" t="str">
        <f>"MASSIE ADAM DANIEL"</f>
        <v>MASSIE ADAM DANIEL</v>
      </c>
      <c r="C8036" s="1" t="str">
        <f>"JOHNSTOWN RD 0.510 ACRE LOT 12"</f>
        <v>JOHNSTOWN RD 0.510 ACRE LOT 12</v>
      </c>
      <c r="D8036" s="1">
        <v>116.13</v>
      </c>
    </row>
    <row r="8037" spans="1:4" x14ac:dyDescent="0.3">
      <c r="A8037" s="1" t="str">
        <f>"01005939400"</f>
        <v>01005939400</v>
      </c>
      <c r="B8037" s="1" t="str">
        <f>"MASSIE DONALD L, MASSIE LOIS L"</f>
        <v>MASSIE DONALD L, MASSIE LOIS L</v>
      </c>
      <c r="C8037" s="1" t="str">
        <f>"MANCHESTER AVE LINDEN LOT 250"</f>
        <v>MANCHESTER AVE LINDEN LOT 250</v>
      </c>
      <c r="D8037" s="1">
        <v>1298.3900000000001</v>
      </c>
    </row>
    <row r="8038" spans="1:4" x14ac:dyDescent="0.3">
      <c r="A8038" s="1" t="str">
        <f>"01005740000"</f>
        <v>01005740000</v>
      </c>
      <c r="B8038" s="1" t="str">
        <f>"MASSIE JAMES H"</f>
        <v>MASSIE JAMES H</v>
      </c>
      <c r="C8038" s="1" t="str">
        <f>"1106 S 4TH ST DESHLER THURMAN &amp; BENNETT LOT 13-14"</f>
        <v>1106 S 4TH ST DESHLER THURMAN &amp; BENNETT LOT 13-14</v>
      </c>
      <c r="D8038" s="1">
        <v>335.6</v>
      </c>
    </row>
    <row r="8039" spans="1:4" x14ac:dyDescent="0.3">
      <c r="A8039" s="1" t="str">
        <f>"09000023200"</f>
        <v>09000023200</v>
      </c>
      <c r="B8039" s="1" t="str">
        <f>"MASTNICK E DAMIAN, MASTNICK SHERRY L"</f>
        <v>MASTNICK E DAMIAN, MASTNICK SHERRY L</v>
      </c>
      <c r="C8039" s="1" t="str">
        <f>"208 MAPLEWOOD AVE N 1/2 LOWRIE BROS 102"</f>
        <v>208 MAPLEWOOD AVE N 1/2 LOWRIE BROS 102</v>
      </c>
      <c r="D8039" s="1">
        <v>1541.85</v>
      </c>
    </row>
    <row r="8040" spans="1:4" x14ac:dyDescent="0.3">
      <c r="A8040" s="1" t="str">
        <f>"01006874700"</f>
        <v>01006874700</v>
      </c>
      <c r="B8040" s="1" t="str">
        <f>"MASWELS REAL ESTATE INVESTMENTS LLC"</f>
        <v>MASWELS REAL ESTATE INVESTMENTS LLC</v>
      </c>
      <c r="C8040" s="1" t="str">
        <f>"575 WILTSHIRE RD WILSHIRE HTSBLK17 LOT 9"</f>
        <v>575 WILTSHIRE RD WILSHIRE HTSBLK17 LOT 9</v>
      </c>
      <c r="D8040" s="1">
        <v>1548.61</v>
      </c>
    </row>
    <row r="8041" spans="1:4" x14ac:dyDescent="0.3">
      <c r="A8041" s="1" t="str">
        <f>"19000312300"</f>
        <v>19000312300</v>
      </c>
      <c r="B8041" s="1" t="str">
        <f>"MATAN DOUGLAS, MATAN KATHY L"</f>
        <v>MATAN DOUGLAS, MATAN KATHY L</v>
      </c>
      <c r="C8041" s="1" t="str">
        <f>"SUNBURY PIKE R17 T1 S2 4 5.72 ACRES"</f>
        <v>SUNBURY PIKE R17 T1 S2 4 5.72 ACRES</v>
      </c>
      <c r="D8041" s="1">
        <v>408.63</v>
      </c>
    </row>
    <row r="8042" spans="1:4" x14ac:dyDescent="0.3">
      <c r="A8042" s="1" t="str">
        <f>"12000088200"</f>
        <v>12000088200</v>
      </c>
      <c r="B8042" s="1" t="str">
        <f>"MATCHETT MICHAEL W, MATCHETT MARY ANN"</f>
        <v>MATCHETT MICHAEL W, MATCHETT MARY ANN</v>
      </c>
      <c r="C8042" s="1" t="str">
        <f>"2080 WALKER ROAD 5.369 ACRES "</f>
        <v xml:space="preserve">2080 WALKER ROAD 5.369 ACRES </v>
      </c>
      <c r="D8042" s="1">
        <v>583.5</v>
      </c>
    </row>
    <row r="8043" spans="1:4" x14ac:dyDescent="0.3">
      <c r="A8043" s="1" t="str">
        <f>"15200001000"</f>
        <v>15200001000</v>
      </c>
      <c r="B8043" s="1" t="str">
        <f>"MATHERS JAMES B JR TR"</f>
        <v>MATHERS JAMES B JR TR</v>
      </c>
      <c r="C8043" s="1" t="str">
        <f>"GROVEPORT RD SE QR R22 T4 S14 0.223 ACRE"</f>
        <v>GROVEPORT RD SE QR R22 T4 S14 0.223 ACRE</v>
      </c>
      <c r="D8043" s="1">
        <v>3139.13</v>
      </c>
    </row>
    <row r="8044" spans="1:4" x14ac:dyDescent="0.3">
      <c r="A8044" s="1" t="str">
        <f>"15200021500"</f>
        <v>15200021500</v>
      </c>
      <c r="B8044" s="1" t="str">
        <f>"MATHERS JAMES B JR TR"</f>
        <v>MATHERS JAMES B JR TR</v>
      </c>
      <c r="C8044" s="1" t="str">
        <f>"GROVEPORT RD R22 T4 S14 0.298 ACRE"</f>
        <v>GROVEPORT RD R22 T4 S14 0.298 ACRE</v>
      </c>
      <c r="D8044" s="1">
        <v>563.04</v>
      </c>
    </row>
    <row r="8045" spans="1:4" x14ac:dyDescent="0.3">
      <c r="A8045" s="1" t="str">
        <f>"49026119600"</f>
        <v>49026119600</v>
      </c>
      <c r="B8045" s="1" t="str">
        <f>"MATHESON DANIEL"</f>
        <v>MATHESON DANIEL</v>
      </c>
      <c r="C8045" s="1" t="str">
        <f>"EMPIRE MILLS RUN LEHMAN ESTATES SECTION 3 PART 2 LOT 179"</f>
        <v>EMPIRE MILLS RUN LEHMAN ESTATES SECTION 3 PART 2 LOT 179</v>
      </c>
      <c r="D8045" s="1">
        <v>1323.89</v>
      </c>
    </row>
    <row r="8046" spans="1:4" x14ac:dyDescent="0.3">
      <c r="A8046" s="1" t="str">
        <f>"53025168000"</f>
        <v>53025168000</v>
      </c>
      <c r="B8046" s="1" t="str">
        <f>"MATHEW CHAVANICKAMANNI T"</f>
        <v>MATHEW CHAVANICKAMANNI T</v>
      </c>
      <c r="C8046" s="1" t="str">
        <f>"KENSINGTON GLEN DRIVE KENSINGTON GLEN SECTION 1 LOT 26"</f>
        <v>KENSINGTON GLEN DRIVE KENSINGTON GLEN SECTION 1 LOT 26</v>
      </c>
      <c r="D8046" s="1">
        <v>259.24</v>
      </c>
    </row>
    <row r="8047" spans="1:4" x14ac:dyDescent="0.3">
      <c r="A8047" s="1" t="str">
        <f>"01003818200"</f>
        <v>01003818200</v>
      </c>
      <c r="B8047" s="1" t="str">
        <f>"MATHEWS DONNA S"</f>
        <v>MATHEWS DONNA S</v>
      </c>
      <c r="C8047" s="1" t="str">
        <f>"MEADOWDALE LOT 50  "</f>
        <v xml:space="preserve">MEADOWDALE LOT 50  </v>
      </c>
      <c r="D8047" s="1">
        <v>3766.95</v>
      </c>
    </row>
    <row r="8048" spans="1:4" x14ac:dyDescent="0.3">
      <c r="A8048" s="1" t="str">
        <f>"04000649500"</f>
        <v>04000649500</v>
      </c>
      <c r="B8048" s="1" t="str">
        <f>"MATHEWS LAVERNE L"</f>
        <v>MATHEWS LAVERNE L</v>
      </c>
      <c r="C8048" s="1" t="str">
        <f>"3413 MULBERRY STREET WEST GROVE NORTH SEC 3 LOT 40"</f>
        <v>3413 MULBERRY STREET WEST GROVE NORTH SEC 3 LOT 40</v>
      </c>
      <c r="D8048" s="1">
        <v>4776.4799999999996</v>
      </c>
    </row>
    <row r="8049" spans="1:4" x14ac:dyDescent="0.3">
      <c r="A8049" s="1" t="str">
        <f>"01003950200"</f>
        <v>01003950200</v>
      </c>
      <c r="B8049" s="1" t="str">
        <f>"MATHIS RANDALL F, MATHIS DEBRA L"</f>
        <v>MATHIS RANDALL F, MATHIS DEBRA L</v>
      </c>
      <c r="C8049" s="1" t="str">
        <f>"BERKELEY RD BLOOMFIELD HTS LOT 3"</f>
        <v>BERKELEY RD BLOOMFIELD HTS LOT 3</v>
      </c>
      <c r="D8049" s="1">
        <v>148.36000000000001</v>
      </c>
    </row>
    <row r="8050" spans="1:4" x14ac:dyDescent="0.3">
      <c r="A8050" s="1" t="str">
        <f>"06000007300"</f>
        <v>06000007300</v>
      </c>
      <c r="B8050" s="1" t="str">
        <f>"MATI PROPERTIES LLC"</f>
        <v>MATI PROPERTIES LLC</v>
      </c>
      <c r="C8050" s="1" t="str">
        <f>"LANCASTER ST OLD REYNOLDSBURG PLT 43X35FTNWCOR LOT 40"</f>
        <v>LANCASTER ST OLD REYNOLDSBURG PLT 43X35FTNWCOR LOT 40</v>
      </c>
      <c r="D8050" s="1">
        <v>427.88</v>
      </c>
    </row>
    <row r="8051" spans="1:4" x14ac:dyDescent="0.3">
      <c r="A8051" s="1" t="str">
        <f>"01006664700"</f>
        <v>01006664700</v>
      </c>
      <c r="B8051" s="1" t="str">
        <f>"MATOS RAMIREZ MILAGROS"</f>
        <v>MATOS RAMIREZ MILAGROS</v>
      </c>
      <c r="C8051" s="1" t="str">
        <f>"SIXTH AVE CASSADYS 5TH AVE LOT 154-7"</f>
        <v>SIXTH AVE CASSADYS 5TH AVE LOT 154-7</v>
      </c>
      <c r="D8051" s="1">
        <v>1716.33</v>
      </c>
    </row>
    <row r="8052" spans="1:4" x14ac:dyDescent="0.3">
      <c r="A8052" s="1" t="str">
        <f>"09000073100"</f>
        <v>09000073100</v>
      </c>
      <c r="B8052" s="1" t="str">
        <f>"MATOS RAMIREZ MILAGROSE, RAFAEL JUAN C"</f>
        <v>MATOS RAMIREZ MILAGROSE, RAFAEL JUAN C</v>
      </c>
      <c r="C8052" s="1" t="str">
        <f>"144 MAPLEWOOD AVE N 1/2 LOWRIE BROS LOT 98"</f>
        <v>144 MAPLEWOOD AVE N 1/2 LOWRIE BROS LOT 98</v>
      </c>
      <c r="D8052" s="1">
        <v>2400.83</v>
      </c>
    </row>
    <row r="8053" spans="1:4" x14ac:dyDescent="0.3">
      <c r="A8053" s="1" t="str">
        <f>"01007165600"</f>
        <v>01007165600</v>
      </c>
      <c r="B8053" s="1" t="str">
        <f>"MATTHAES LYNNE J"</f>
        <v>MATTHAES LYNNE J</v>
      </c>
      <c r="C8053" s="1" t="str">
        <f>"GLENMONT AVE W1/2 OF 200FT N END LOT 350 INDIAN SPRINGS"</f>
        <v>GLENMONT AVE W1/2 OF 200FT N END LOT 350 INDIAN SPRINGS</v>
      </c>
      <c r="D8053" s="1">
        <v>34.85</v>
      </c>
    </row>
    <row r="8054" spans="1:4" x14ac:dyDescent="0.3">
      <c r="A8054" s="1" t="str">
        <f>"01007132500"</f>
        <v>01007132500</v>
      </c>
      <c r="B8054" s="1" t="str">
        <f>"MATTHAES LYNNE J"</f>
        <v>MATTHAES LYNNE J</v>
      </c>
      <c r="C8054" s="1" t="str">
        <f>"GLENMONT AVE INDIAN SPRINGS LOT 351"</f>
        <v>GLENMONT AVE INDIAN SPRINGS LOT 351</v>
      </c>
      <c r="D8054" s="1">
        <v>418.02</v>
      </c>
    </row>
    <row r="8055" spans="1:4" x14ac:dyDescent="0.3">
      <c r="A8055" s="1" t="str">
        <f>"01005500200"</f>
        <v>01005500200</v>
      </c>
      <c r="B8055" s="1" t="str">
        <f>"MATTHEW 724-27 PROPERTIES LLC"</f>
        <v>MATTHEW 724-27 PROPERTIES LLC</v>
      </c>
      <c r="C8055" s="1" t="str">
        <f>"1839-1841 S 5TH ST LINTON &amp; MCLARREN'S PARCELS LOT 35"</f>
        <v>1839-1841 S 5TH ST LINTON &amp; MCLARREN'S PARCELS LOT 35</v>
      </c>
      <c r="D8055" s="1">
        <v>1343.56</v>
      </c>
    </row>
    <row r="8056" spans="1:4" x14ac:dyDescent="0.3">
      <c r="A8056" s="1" t="str">
        <f>"01005670700"</f>
        <v>01005670700</v>
      </c>
      <c r="B8056" s="1" t="str">
        <f>"MATTHEW 724-27 PROPERTIES LLC"</f>
        <v>MATTHEW 724-27 PROPERTIES LLC</v>
      </c>
      <c r="C8056" s="1" t="str">
        <f>"1843-45 S 5TH ST LINTON &amp; MCLARREN'S PARCELS LOT 34"</f>
        <v>1843-45 S 5TH ST LINTON &amp; MCLARREN'S PARCELS LOT 34</v>
      </c>
      <c r="D8056" s="1">
        <v>1352.41</v>
      </c>
    </row>
    <row r="8057" spans="1:4" x14ac:dyDescent="0.3">
      <c r="A8057" s="1" t="str">
        <f>"01004332000"</f>
        <v>01004332000</v>
      </c>
      <c r="B8057" s="1" t="str">
        <f>"MATTHEW 724-27 PROPERTIES LLC"</f>
        <v>MATTHEW 724-27 PROPERTIES LLC</v>
      </c>
      <c r="C8057" s="1" t="str">
        <f>"FIFTH ST LINTON &amp; MCLARREN'S LOT 54"</f>
        <v>FIFTH ST LINTON &amp; MCLARREN'S LOT 54</v>
      </c>
      <c r="D8057" s="1">
        <v>362.81</v>
      </c>
    </row>
    <row r="8058" spans="1:4" x14ac:dyDescent="0.3">
      <c r="A8058" s="1" t="str">
        <f>"01003856000"</f>
        <v>01003856000</v>
      </c>
      <c r="B8058" s="1" t="str">
        <f>"MATTHEW 724-27 PROPERTIES LLC"</f>
        <v>MATTHEW 724-27 PROPERTIES LLC</v>
      </c>
      <c r="C8058" s="1" t="str">
        <f>"94 BARTHMAN AVE 1.5 FT ES 70&amp;ALL 71 REEB LOT 70-71"</f>
        <v>94 BARTHMAN AVE 1.5 FT ES 70&amp;ALL 71 REEB LOT 70-71</v>
      </c>
      <c r="D8058" s="1">
        <v>1278.08</v>
      </c>
    </row>
    <row r="8059" spans="1:4" x14ac:dyDescent="0.3">
      <c r="A8059" s="1" t="str">
        <f>"01008077500"</f>
        <v>01008077500</v>
      </c>
      <c r="B8059" s="1" t="str">
        <f>"MATTHEWS CHERYL"</f>
        <v>MATTHEWS CHERYL</v>
      </c>
      <c r="C8059" s="1" t="str">
        <f>"1060 LILLEY AVE DRIVING PARK LOT 276"</f>
        <v>1060 LILLEY AVE DRIVING PARK LOT 276</v>
      </c>
      <c r="D8059" s="1">
        <v>1203.0999999999999</v>
      </c>
    </row>
    <row r="8060" spans="1:4" x14ac:dyDescent="0.3">
      <c r="A8060" s="1" t="str">
        <f>"56017507200"</f>
        <v>56017507200</v>
      </c>
      <c r="B8060" s="1" t="str">
        <f>"MATTHEWS GEORGE DENVER"</f>
        <v>MATTHEWS GEORGE DENVER</v>
      </c>
      <c r="C8060" s="1" t="str">
        <f>"NIKE DR THE MEADOWS PHASE 2 LOT 185"</f>
        <v>NIKE DR THE MEADOWS PHASE 2 LOT 185</v>
      </c>
      <c r="D8060" s="1">
        <v>5557.4</v>
      </c>
    </row>
    <row r="8061" spans="1:4" x14ac:dyDescent="0.3">
      <c r="A8061" s="1" t="str">
        <f>"05001183900"</f>
        <v>05001183900</v>
      </c>
      <c r="B8061" s="1" t="str">
        <f>"MATTHEWS LESLIE J"</f>
        <v>MATTHEWS LESLIE J</v>
      </c>
      <c r="C8061" s="1" t="str">
        <f>"DIPLOMAT WAY THE COURTYARDS AT CARR FARMS SECTION 2 LOT 38"</f>
        <v>DIPLOMAT WAY THE COURTYARDS AT CARR FARMS SECTION 2 LOT 38</v>
      </c>
      <c r="D8061" s="1">
        <v>771.83</v>
      </c>
    </row>
    <row r="8062" spans="1:4" x14ac:dyDescent="0.3">
      <c r="A8062" s="1" t="str">
        <f>"01019392100"</f>
        <v>01019392100</v>
      </c>
      <c r="B8062" s="1" t="str">
        <f>"MATTHEWS PATRICIA A"</f>
        <v>MATTHEWS PATRICIA A</v>
      </c>
      <c r="C8062" s="1" t="str">
        <f>"1484B CLIFF CT HIDDEN LAKE CONDO 1 UNIT 2 BLDG 1"</f>
        <v>1484B CLIFF CT HIDDEN LAKE CONDO 1 UNIT 2 BLDG 1</v>
      </c>
      <c r="D8062" s="1">
        <v>1514.88</v>
      </c>
    </row>
    <row r="8063" spans="1:4" x14ac:dyDescent="0.3">
      <c r="A8063" s="1" t="str">
        <f>"01015104500"</f>
        <v>01015104500</v>
      </c>
      <c r="B8063" s="1" t="str">
        <f>"MATTHEWS WILLIAM W"</f>
        <v>MATTHEWS WILLIAM W</v>
      </c>
      <c r="C8063" s="1" t="str">
        <f>"EDENDALE COURT SOUTHERN PINES SEC 10 LOT 652"</f>
        <v>EDENDALE COURT SOUTHERN PINES SEC 10 LOT 652</v>
      </c>
      <c r="D8063" s="1">
        <v>83.37</v>
      </c>
    </row>
    <row r="8064" spans="1:4" x14ac:dyDescent="0.3">
      <c r="A8064" s="1" t="str">
        <f>"01005930400"</f>
        <v>01005930400</v>
      </c>
      <c r="B8064" s="1" t="str">
        <f>"MATTHEWS-DAVIS TERINA"</f>
        <v>MATTHEWS-DAVIS TERINA</v>
      </c>
      <c r="C8064" s="1" t="str">
        <f>"2549 51 CLEVELAND AV LINDEN LOT 709"</f>
        <v>2549 51 CLEVELAND AV LINDEN LOT 709</v>
      </c>
      <c r="D8064" s="1">
        <v>1238.53</v>
      </c>
    </row>
    <row r="8065" spans="1:4" x14ac:dyDescent="0.3">
      <c r="A8065" s="1" t="str">
        <f>"01005923300"</f>
        <v>01005923300</v>
      </c>
      <c r="B8065" s="1" t="str">
        <f>"MATTHEWS-DAVIS TERINA"</f>
        <v>MATTHEWS-DAVIS TERINA</v>
      </c>
      <c r="C8065" s="1" t="str">
        <f>"2537 CLEVELAND AVE LINDEN PT LOT 710"</f>
        <v>2537 CLEVELAND AVE LINDEN PT LOT 710</v>
      </c>
      <c r="D8065" s="1">
        <v>364.14</v>
      </c>
    </row>
    <row r="8066" spans="1:4" x14ac:dyDescent="0.3">
      <c r="A8066" s="1" t="str">
        <f>"51014605000"</f>
        <v>51014605000</v>
      </c>
      <c r="B8066" s="1" t="str">
        <f>"MATUSKOWITZ CONNIE M"</f>
        <v>MATUSKOWITZ CONNIE M</v>
      </c>
      <c r="C8066" s="1" t="str">
        <f>"3814 HIGBEE DR S SOUTHERN PINES SEC 8 LOT 569"</f>
        <v>3814 HIGBEE DR S SOUTHERN PINES SEC 8 LOT 569</v>
      </c>
      <c r="D8066" s="1">
        <v>83.25</v>
      </c>
    </row>
    <row r="8067" spans="1:4" x14ac:dyDescent="0.3">
      <c r="A8067" s="1" t="str">
        <f>"57022572100"</f>
        <v>57022572100</v>
      </c>
      <c r="B8067" s="1" t="str">
        <f>"MATYAC DANIEL L, MATYAC CECILIA R"</f>
        <v>MATYAC DANIEL L, MATYAC CECILIA R</v>
      </c>
      <c r="C8067" s="1" t="str">
        <f>"CHESAPEAKE FARMS SECTION 1 LOT 5"</f>
        <v>CHESAPEAKE FARMS SECTION 1 LOT 5</v>
      </c>
      <c r="D8067" s="1">
        <v>96.55</v>
      </c>
    </row>
    <row r="8068" spans="1:4" x14ac:dyDescent="0.3">
      <c r="A8068" s="1" t="str">
        <f>"01027704100"</f>
        <v>01027704100</v>
      </c>
      <c r="B8068" s="1" t="str">
        <f>"MATYSKELLA JOAN"</f>
        <v>MATYSKELLA JOAN</v>
      </c>
      <c r="C8068" s="1" t="str">
        <f>"OLENTANGY POINT AND COVE CONDOMINIUM UNIT F-3007"</f>
        <v>OLENTANGY POINT AND COVE CONDOMINIUM UNIT F-3007</v>
      </c>
      <c r="D8068" s="1">
        <v>4129.57</v>
      </c>
    </row>
    <row r="8069" spans="1:4" x14ac:dyDescent="0.3">
      <c r="A8069" s="1" t="str">
        <f>"61020941800"</f>
        <v>61020941800</v>
      </c>
      <c r="B8069" s="1" t="str">
        <f>"MAUL HAYDEN B"</f>
        <v>MAUL HAYDEN B</v>
      </c>
      <c r="C8069" s="1" t="str">
        <f>"WORTHINGTON PARK CONDO 4TH AMD UNIT 15E"</f>
        <v>WORTHINGTON PARK CONDO 4TH AMD UNIT 15E</v>
      </c>
      <c r="D8069" s="1">
        <v>5124.34</v>
      </c>
    </row>
    <row r="8070" spans="1:4" x14ac:dyDescent="0.3">
      <c r="A8070" s="1" t="str">
        <f>"01009871800"</f>
        <v>01009871800</v>
      </c>
      <c r="B8070" s="1" t="str">
        <f>"MAUPIN JACQUELYN R, SHEQUELLE RASHEED"</f>
        <v>MAUPIN JACQUELYN R, SHEQUELLE RASHEED</v>
      </c>
      <c r="C8070" s="1" t="str">
        <f>"25TH AVE DUXBERRY PARK LOT 69"</f>
        <v>25TH AVE DUXBERRY PARK LOT 69</v>
      </c>
      <c r="D8070" s="1">
        <v>1016.97</v>
      </c>
    </row>
    <row r="8071" spans="1:4" x14ac:dyDescent="0.3">
      <c r="A8071" s="1" t="str">
        <f>"23000279600"</f>
        <v>23000279600</v>
      </c>
      <c r="B8071" s="1" t="str">
        <f>"MAURER MICHAEL G TR"</f>
        <v>MAURER MICHAEL G TR</v>
      </c>
      <c r="C8071" s="1" t="str">
        <f>"GEORGESVILLE RD VMS 1448 0.8522 ACRE"</f>
        <v>GEORGESVILLE RD VMS 1448 0.8522 ACRE</v>
      </c>
      <c r="D8071" s="1">
        <v>1492.42</v>
      </c>
    </row>
    <row r="8072" spans="1:4" x14ac:dyDescent="0.3">
      <c r="A8072" s="1" t="str">
        <f>"01003533100"</f>
        <v>01003533100</v>
      </c>
      <c r="B8072" s="1" t="str">
        <f>"MAURICE ATAHY LLC"</f>
        <v>MAURICE ATAHY LLC</v>
      </c>
      <c r="C8072" s="1" t="str">
        <f>"1304 HILDRETH ST HILDRETH LOT 128"</f>
        <v>1304 HILDRETH ST HILDRETH LOT 128</v>
      </c>
      <c r="D8072" s="1">
        <v>1329.07</v>
      </c>
    </row>
    <row r="8073" spans="1:4" x14ac:dyDescent="0.3">
      <c r="A8073" s="1" t="str">
        <f>"01006010500"</f>
        <v>01006010500</v>
      </c>
      <c r="B8073" s="1" t="str">
        <f>"MAURICE ERIC G"</f>
        <v>MAURICE ERIC G</v>
      </c>
      <c r="C8073" s="1" t="str">
        <f>"1467 ARLINGTON AVE WALDON LOT 71"</f>
        <v>1467 ARLINGTON AVE WALDON LOT 71</v>
      </c>
      <c r="D8073" s="1">
        <v>247.26</v>
      </c>
    </row>
    <row r="8074" spans="1:4" x14ac:dyDescent="0.3">
      <c r="A8074" s="1" t="str">
        <f>"08000203700"</f>
        <v>08000203700</v>
      </c>
      <c r="B8074" s="1" t="str">
        <f>"MAURICE TIMOTHY C, MAURICE JANET KAY"</f>
        <v>MAURICE TIMOTHY C, MAURICE JANET KAY</v>
      </c>
      <c r="C8074" s="1" t="str">
        <f>"CATAWBA AVE WESTERVILLE ESTATES LOT 31"</f>
        <v>CATAWBA AVE WESTERVILLE ESTATES LOT 31</v>
      </c>
      <c r="D8074" s="1">
        <v>70</v>
      </c>
    </row>
    <row r="8075" spans="1:4" x14ac:dyDescent="0.3">
      <c r="A8075" s="1" t="str">
        <f>"07001310500"</f>
        <v>07001310500</v>
      </c>
      <c r="B8075" s="1" t="str">
        <f>"MAUTZ MARY L TR"</f>
        <v>MAUTZ MARY L TR</v>
      </c>
      <c r="C8075" s="1" t="str">
        <f>"CARRIAGE HILL COND UNIT 1617 TYPE W "</f>
        <v xml:space="preserve">CARRIAGE HILL COND UNIT 1617 TYPE W </v>
      </c>
      <c r="D8075" s="1">
        <v>1359.69</v>
      </c>
    </row>
    <row r="8076" spans="1:4" x14ac:dyDescent="0.3">
      <c r="A8076" s="1" t="str">
        <f>"61018095700"</f>
        <v>61018095700</v>
      </c>
      <c r="B8076" s="1" t="str">
        <f>"MAVB LLC"</f>
        <v>MAVB LLC</v>
      </c>
      <c r="C8076" s="1" t="str">
        <f>"HIGHTOWER DR TOWER ESTATES SEC 2 LOT 71"</f>
        <v>HIGHTOWER DR TOWER ESTATES SEC 2 LOT 71</v>
      </c>
      <c r="D8076" s="1">
        <v>5034.25</v>
      </c>
    </row>
    <row r="8077" spans="1:4" x14ac:dyDescent="0.3">
      <c r="A8077" s="1" t="str">
        <f>"01012406800"</f>
        <v>01012406800</v>
      </c>
      <c r="B8077" s="1" t="str">
        <f>"MAY BURNETTE LORAINE"</f>
        <v>MAY BURNETTE LORAINE</v>
      </c>
      <c r="C8077" s="1" t="str">
        <f>"PARSONS AVE HILLGATE 3 LOT 298"</f>
        <v>PARSONS AVE HILLGATE 3 LOT 298</v>
      </c>
      <c r="D8077" s="1">
        <v>114.5</v>
      </c>
    </row>
    <row r="8078" spans="1:4" x14ac:dyDescent="0.3">
      <c r="A8078" s="1" t="str">
        <f>"53011186900"</f>
        <v>53011186900</v>
      </c>
      <c r="B8078" s="1" t="str">
        <f>"MAY DALTON"</f>
        <v>MAY DALTON</v>
      </c>
      <c r="C8078" s="1" t="str">
        <f>"WILLIAMS RD ACRES .27 R22 T4 S12"</f>
        <v>WILLIAMS RD ACRES .27 R22 T4 S12</v>
      </c>
      <c r="D8078" s="1">
        <v>118.55</v>
      </c>
    </row>
    <row r="8079" spans="1:4" x14ac:dyDescent="0.3">
      <c r="A8079" s="1" t="str">
        <f>"23400017700"</f>
        <v>23400017700</v>
      </c>
      <c r="B8079" s="1" t="str">
        <f>"MAY KIRK LEON"</f>
        <v>MAY KIRK LEON</v>
      </c>
      <c r="C8079" s="1" t="str">
        <f>"SPRING LAWN AVE SPRING LAWN 45 "</f>
        <v xml:space="preserve">SPRING LAWN AVE SPRING LAWN 45 </v>
      </c>
      <c r="D8079" s="1">
        <v>235.87</v>
      </c>
    </row>
    <row r="8080" spans="1:4" x14ac:dyDescent="0.3">
      <c r="A8080" s="1" t="str">
        <f>"23400017800"</f>
        <v>23400017800</v>
      </c>
      <c r="B8080" s="1" t="str">
        <f>"MAY KIRK LEON"</f>
        <v>MAY KIRK LEON</v>
      </c>
      <c r="C8080" s="1" t="str">
        <f>"SPRING LAWN AVE SPRING LAWN 46 "</f>
        <v xml:space="preserve">SPRING LAWN AVE SPRING LAWN 46 </v>
      </c>
      <c r="D8080" s="1">
        <v>235.87</v>
      </c>
    </row>
    <row r="8081" spans="1:4" x14ac:dyDescent="0.3">
      <c r="A8081" s="1" t="str">
        <f>"23400017900"</f>
        <v>23400017900</v>
      </c>
      <c r="B8081" s="1" t="str">
        <f>"MAY KIRK LEON"</f>
        <v>MAY KIRK LEON</v>
      </c>
      <c r="C8081" s="1" t="str">
        <f>"SPRING LAWN AVE SPRING LAWN 47-8 "</f>
        <v xml:space="preserve">SPRING LAWN AVE SPRING LAWN 47-8 </v>
      </c>
      <c r="D8081" s="1">
        <v>2270.73</v>
      </c>
    </row>
    <row r="8082" spans="1:4" x14ac:dyDescent="0.3">
      <c r="A8082" s="1" t="str">
        <f>"01007472000"</f>
        <v>01007472000</v>
      </c>
      <c r="B8082" s="1" t="str">
        <f>"MAYA CONSTRUCTION LLC"</f>
        <v>MAYA CONSTRUCTION LLC</v>
      </c>
      <c r="C8082" s="1" t="str">
        <f>"HIAWATHA PARK DR HIAWATHA PARK PLC LOT 146"</f>
        <v>HIAWATHA PARK DR HIAWATHA PARK PLC LOT 146</v>
      </c>
      <c r="D8082" s="1">
        <v>2116.2600000000002</v>
      </c>
    </row>
    <row r="8083" spans="1:4" x14ac:dyDescent="0.3">
      <c r="A8083" s="1" t="str">
        <f>"01002362100"</f>
        <v>01002362100</v>
      </c>
      <c r="B8083" s="1" t="str">
        <f>"MAYER-SANTOS LISA"</f>
        <v>MAYER-SANTOS LISA</v>
      </c>
      <c r="C8083" s="1" t="str">
        <f>"35 KELSO RD ALL 917&amp; W1/2 918 CRESTVIEW LOT 917-8"</f>
        <v>35 KELSO RD ALL 917&amp; W1/2 918 CRESTVIEW LOT 917-8</v>
      </c>
      <c r="D8083" s="1">
        <v>271.17</v>
      </c>
    </row>
    <row r="8084" spans="1:4" x14ac:dyDescent="0.3">
      <c r="A8084" s="1" t="str">
        <f>"57021279300"</f>
        <v>57021279300</v>
      </c>
      <c r="B8084" s="1" t="str">
        <f>"MAYES PATRICIA L"</f>
        <v>MAYES PATRICIA L</v>
      </c>
      <c r="C8084" s="1" t="str">
        <f>"CHENILLE WAY LAUREL GREENE SEC 6 LOT 725"</f>
        <v>CHENILLE WAY LAUREL GREENE SEC 6 LOT 725</v>
      </c>
      <c r="D8084" s="1">
        <v>130.88999999999999</v>
      </c>
    </row>
    <row r="8085" spans="1:4" x14ac:dyDescent="0.3">
      <c r="A8085" s="1" t="str">
        <f>"01009208900"</f>
        <v>01009208900</v>
      </c>
      <c r="B8085" s="1" t="str">
        <f>"MAYHAN ROBERT J CO-TR, MAYHAN MARY J CO-TR"</f>
        <v>MAYHAN ROBERT J CO-TR, MAYHAN MARY J CO-TR</v>
      </c>
      <c r="C8085" s="1" t="str">
        <f>"VIRGINIA LEE RD EASTMOOR AMD LLOTS 714 &amp; 715"</f>
        <v>VIRGINIA LEE RD EASTMOOR AMD LLOTS 714 &amp; 715</v>
      </c>
      <c r="D8085" s="1">
        <v>445.21</v>
      </c>
    </row>
    <row r="8086" spans="1:4" x14ac:dyDescent="0.3">
      <c r="A8086" s="1" t="str">
        <f>"01009081000"</f>
        <v>01009081000</v>
      </c>
      <c r="B8086" s="1" t="str">
        <f>"MAYHAN ROBERT, MAYHAN JAIME"</f>
        <v>MAYHAN ROBERT, MAYHAN JAIME</v>
      </c>
      <c r="C8086" s="1" t="str">
        <f>"HARDING RD EASTMOOR LOT 227"</f>
        <v>HARDING RD EASTMOOR LOT 227</v>
      </c>
      <c r="D8086" s="1">
        <v>150.16</v>
      </c>
    </row>
    <row r="8087" spans="1:4" x14ac:dyDescent="0.3">
      <c r="A8087" s="1" t="str">
        <f>"01010312000"</f>
        <v>01010312000</v>
      </c>
      <c r="B8087" s="1" t="str">
        <f>"MAYLE DIANNE"</f>
        <v>MAYLE DIANNE</v>
      </c>
      <c r="C8087" s="1" t="str">
        <f>"EAKIN RD EUREKA PARK AMD 1 LOT 4"</f>
        <v>EAKIN RD EUREKA PARK AMD 1 LOT 4</v>
      </c>
      <c r="D8087" s="1">
        <v>963.22</v>
      </c>
    </row>
    <row r="8088" spans="1:4" x14ac:dyDescent="0.3">
      <c r="A8088" s="1" t="str">
        <f>"01010358800"</f>
        <v>01010358800</v>
      </c>
      <c r="B8088" s="1" t="str">
        <f>"MAYLE MARVIN L"</f>
        <v>MAYLE MARVIN L</v>
      </c>
      <c r="C8088" s="1" t="str">
        <f>"GLENMAWR AVE BABY FARMS BLK 95 LOT 255 &amp; N 1/2 LOT 254"</f>
        <v>GLENMAWR AVE BABY FARMS BLK 95 LOT 255 &amp; N 1/2 LOT 254</v>
      </c>
      <c r="D8088" s="1">
        <v>138.5</v>
      </c>
    </row>
    <row r="8089" spans="1:4" x14ac:dyDescent="0.3">
      <c r="A8089" s="1" t="str">
        <f>"01010359700"</f>
        <v>01010359700</v>
      </c>
      <c r="B8089" s="1" t="str">
        <f>"MAYLE MARVIN L"</f>
        <v>MAYLE MARVIN L</v>
      </c>
      <c r="C8089" s="1" t="str">
        <f>"GLENMAWR AVE              BABY FARMS BLK 102        LOTS 268-269             "</f>
        <v xml:space="preserve">GLENMAWR AVE              BABY FARMS BLK 102        LOTS 268-269             </v>
      </c>
      <c r="D8089" s="1">
        <v>189.43</v>
      </c>
    </row>
    <row r="8090" spans="1:4" x14ac:dyDescent="0.3">
      <c r="A8090" s="1" t="str">
        <f>"02501027000"</f>
        <v>02501027000</v>
      </c>
      <c r="B8090" s="1" t="str">
        <f>"MAYNARD VICKY"</f>
        <v>MAYNARD VICKY</v>
      </c>
      <c r="C8090" s="1" t="str">
        <f>"THE VILLAS OF GAHANNA CONDO3RD AMD BLDG 17 UNIT 1274"</f>
        <v>THE VILLAS OF GAHANNA CONDO3RD AMD BLDG 17 UNIT 1274</v>
      </c>
      <c r="D8090" s="1">
        <v>214.33</v>
      </c>
    </row>
    <row r="8091" spans="1:4" x14ac:dyDescent="0.3">
      <c r="A8091" s="1" t="str">
        <f>"23000273400"</f>
        <v>23000273400</v>
      </c>
      <c r="B8091" s="1" t="str">
        <f>"MAYNARD VONIS LACEY TTEE, WOOD ROBERT W JR"</f>
        <v>MAYNARD VONIS LACEY TTEE, WOOD ROBERT W JR</v>
      </c>
      <c r="C8091" s="1" t="str">
        <f>"5400 EVANS DR .3447 ACRE ENTRY 6309-6582"</f>
        <v>5400 EVANS DR .3447 ACRE ENTRY 6309-6582</v>
      </c>
      <c r="D8091" s="1">
        <v>1212.23</v>
      </c>
    </row>
    <row r="8092" spans="1:4" x14ac:dyDescent="0.3">
      <c r="A8092" s="1" t="str">
        <f>"01004284700"</f>
        <v>01004284700</v>
      </c>
      <c r="B8092" s="1" t="str">
        <f>"MAYNARD VONIS M"</f>
        <v>MAYNARD VONIS M</v>
      </c>
      <c r="C8092" s="1" t="str">
        <f>"1456 E FOURTH AVENUE DEVON LOT 73"</f>
        <v>1456 E FOURTH AVENUE DEVON LOT 73</v>
      </c>
      <c r="D8092" s="1">
        <v>999.44</v>
      </c>
    </row>
    <row r="8093" spans="1:4" x14ac:dyDescent="0.3">
      <c r="A8093" s="1" t="str">
        <f>"01000917700"</f>
        <v>01000917700</v>
      </c>
      <c r="B8093" s="1" t="str">
        <f>"MAYNARD VONIS M"</f>
        <v>MAYNARD VONIS M</v>
      </c>
      <c r="C8093" s="1" t="str">
        <f>"861 MANSFIELD AVE DEVON LOT 62-63"</f>
        <v>861 MANSFIELD AVE DEVON LOT 62-63</v>
      </c>
      <c r="D8093" s="1">
        <v>351.49</v>
      </c>
    </row>
    <row r="8094" spans="1:4" x14ac:dyDescent="0.3">
      <c r="A8094" s="1" t="str">
        <f>"01004284300"</f>
        <v>01004284300</v>
      </c>
      <c r="B8094" s="1" t="str">
        <f>"MAYNARD VONIS M"</f>
        <v>MAYNARD VONIS M</v>
      </c>
      <c r="C8094" s="1" t="str">
        <f>"1468 E FOURTH AVENUE DEVON LOT 69-70"</f>
        <v>1468 E FOURTH AVENUE DEVON LOT 69-70</v>
      </c>
      <c r="D8094" s="1">
        <v>1064.6600000000001</v>
      </c>
    </row>
    <row r="8095" spans="1:4" x14ac:dyDescent="0.3">
      <c r="A8095" s="1" t="str">
        <f>"01002344300"</f>
        <v>01002344300</v>
      </c>
      <c r="B8095" s="1" t="str">
        <f>"MAYO CHRISTOPHER S, MATTHEWS PAMELA N"</f>
        <v>MAYO CHRISTOPHER S, MATTHEWS PAMELA N</v>
      </c>
      <c r="C8095" s="1" t="str">
        <f>"2789 NINTH AVE EAST DUNHAMS 1ST LOT 6"</f>
        <v>2789 NINTH AVE EAST DUNHAMS 1ST LOT 6</v>
      </c>
      <c r="D8095" s="1">
        <v>689.59</v>
      </c>
    </row>
    <row r="8096" spans="1:4" x14ac:dyDescent="0.3">
      <c r="A8096" s="1" t="str">
        <f>"01000314900"</f>
        <v>01000314900</v>
      </c>
      <c r="B8096" s="1" t="str">
        <f>"MAYO CYNTHIA S"</f>
        <v>MAYO CYNTHIA S</v>
      </c>
      <c r="C8096" s="1" t="str">
        <f>"3387 CALUMET AVE OAKLAND PT LOT 18"</f>
        <v>3387 CALUMET AVE OAKLAND PT LOT 18</v>
      </c>
      <c r="D8096" s="1">
        <v>3722.21</v>
      </c>
    </row>
    <row r="8097" spans="1:4" x14ac:dyDescent="0.3">
      <c r="A8097" s="1" t="str">
        <f>"01008081300"</f>
        <v>01008081300</v>
      </c>
      <c r="B8097" s="1" t="str">
        <f>"MAYO DENISE A"</f>
        <v>MAYO DENISE A</v>
      </c>
      <c r="C8097" s="1" t="str">
        <f>"BERKELEY RD DRIVING PARK PT LOT 314"</f>
        <v>BERKELEY RD DRIVING PARK PT LOT 314</v>
      </c>
      <c r="D8097" s="1">
        <v>1669.29</v>
      </c>
    </row>
    <row r="8098" spans="1:4" x14ac:dyDescent="0.3">
      <c r="A8098" s="1" t="str">
        <f>"09000730500"</f>
        <v>09000730500</v>
      </c>
      <c r="B8098" s="1" t="str">
        <f>"MAYO STEVEN P, MAYO DIANA F"</f>
        <v>MAYO STEVEN P, MAYO DIANA F</v>
      </c>
      <c r="C8098" s="1" t="str">
        <f>"4103 ETNA ST 52FT MID PT LOT 90 TORNES YEARLING RD ADD"</f>
        <v>4103 ETNA ST 52FT MID PT LOT 90 TORNES YEARLING RD ADD</v>
      </c>
      <c r="D8098" s="1">
        <v>445.5</v>
      </c>
    </row>
    <row r="8099" spans="1:4" x14ac:dyDescent="0.3">
      <c r="A8099" s="1" t="str">
        <f>"01014856500"</f>
        <v>01014856500</v>
      </c>
      <c r="B8099" s="1" t="str">
        <f>"MAZAL GARASHI LLC"</f>
        <v>MAZAL GARASHI LLC</v>
      </c>
      <c r="C8099" s="1" t="str">
        <f>"BAR HARBOR RD BRITTANY HILLS LOT 35"</f>
        <v>BAR HARBOR RD BRITTANY HILLS LOT 35</v>
      </c>
      <c r="D8099" s="1">
        <v>1274.28</v>
      </c>
    </row>
    <row r="8100" spans="1:4" x14ac:dyDescent="0.3">
      <c r="A8100" s="1" t="str">
        <f>"61017573600"</f>
        <v>61017573600</v>
      </c>
      <c r="B8100" s="1" t="str">
        <f>"MAZHAR TIMEA"</f>
        <v>MAZHAR TIMEA</v>
      </c>
      <c r="C8100" s="1" t="str">
        <f>"JOHN JOHN CT WORTHINGROW ESTATES LOT 64"</f>
        <v>JOHN JOHN CT WORTHINGROW ESTATES LOT 64</v>
      </c>
      <c r="D8100" s="1">
        <v>9094.66</v>
      </c>
    </row>
    <row r="8101" spans="1:4" x14ac:dyDescent="0.3">
      <c r="A8101" s="1" t="str">
        <f>"23000158200"</f>
        <v>23000158200</v>
      </c>
      <c r="B8101" s="1" t="str">
        <f>"MAZZARINI RICHARD"</f>
        <v>MAZZARINI RICHARD</v>
      </c>
      <c r="C8101" s="1" t="str">
        <f>"CCC HIGHWAY JOHN DEAN FARM LOTS 21-24"</f>
        <v>CCC HIGHWAY JOHN DEAN FARM LOTS 21-24</v>
      </c>
      <c r="D8101" s="1">
        <v>197.89</v>
      </c>
    </row>
    <row r="8102" spans="1:4" x14ac:dyDescent="0.3">
      <c r="A8102" s="1" t="str">
        <f>"56024844700"</f>
        <v>56024844700</v>
      </c>
      <c r="B8102" s="1" t="str">
        <f>"MAZZURCO STACEY TTEE"</f>
        <v>MAZZURCO STACEY TTEE</v>
      </c>
      <c r="C8102" s="1" t="str">
        <f>"CLOVER GROFF DRIVE WESTBROOKE PARK SECTION 3 LOT 131"</f>
        <v>CLOVER GROFF DRIVE WESTBROOKE PARK SECTION 3 LOT 131</v>
      </c>
      <c r="D8102" s="1">
        <v>3814.72</v>
      </c>
    </row>
    <row r="8103" spans="1:4" x14ac:dyDescent="0.3">
      <c r="A8103" s="1" t="str">
        <f>"01028232400"</f>
        <v>01028232400</v>
      </c>
      <c r="B8103" s="1" t="str">
        <f>"MBOCHE GEORGE"</f>
        <v>MBOCHE GEORGE</v>
      </c>
      <c r="C8103" s="1" t="str">
        <f>"PRESERVE CROSSING         CONDOMINIUM 6TH AMD       BLDG 15 UNIT 15-3681     "</f>
        <v xml:space="preserve">PRESERVE CROSSING         CONDOMINIUM 6TH AMD       BLDG 15 UNIT 15-3681     </v>
      </c>
      <c r="D8103" s="1">
        <v>4836.59</v>
      </c>
    </row>
    <row r="8104" spans="1:4" x14ac:dyDescent="0.3">
      <c r="A8104" s="1" t="str">
        <f>"18500270900"</f>
        <v>18500270900</v>
      </c>
      <c r="B8104" s="1" t="str">
        <f>"MBOYO BIBICHE BAMALA TR"</f>
        <v>MBOYO BIBICHE BAMALA TR</v>
      </c>
      <c r="C8104" s="1" t="str">
        <f>"WHISPERING FALLS DRIVE ELMONT PLACE SECTION 3 LOT 203"</f>
        <v>WHISPERING FALLS DRIVE ELMONT PLACE SECTION 3 LOT 203</v>
      </c>
      <c r="D8104" s="1">
        <v>2672.91</v>
      </c>
    </row>
    <row r="8105" spans="1:4" x14ac:dyDescent="0.3">
      <c r="A8105" s="1" t="str">
        <f>"01002818600"</f>
        <v>01002818600</v>
      </c>
      <c r="B8105" s="1" t="str">
        <f>"MC HOME INVESTMENTS LLC"</f>
        <v>MC HOME INVESTMENTS LLC</v>
      </c>
      <c r="C8105" s="1" t="str">
        <f>"796 NORTHVIEW AVE NORTH BEXLEY VIEW LOT 18"</f>
        <v>796 NORTHVIEW AVE NORTH BEXLEY VIEW LOT 18</v>
      </c>
      <c r="D8105" s="1">
        <v>866.46</v>
      </c>
    </row>
    <row r="8106" spans="1:4" x14ac:dyDescent="0.3">
      <c r="A8106" s="1" t="str">
        <f>"27401244000"</f>
        <v>27401244000</v>
      </c>
      <c r="B8106" s="1" t="str">
        <f>"MC SHIER RINGS LLC"</f>
        <v>MC SHIER RINGS LLC</v>
      </c>
      <c r="C8106" s="1" t="str">
        <f>"AYRSHIRE FARMS RESERVE B "</f>
        <v xml:space="preserve">AYRSHIRE FARMS RESERVE B </v>
      </c>
      <c r="D8106" s="1">
        <v>3.75</v>
      </c>
    </row>
    <row r="8107" spans="1:4" x14ac:dyDescent="0.3">
      <c r="A8107" s="1" t="str">
        <f>"27300293700"</f>
        <v>27300293700</v>
      </c>
      <c r="B8107" s="1" t="str">
        <f>"MCADOW JOHN M, MCADOW DAWN M"</f>
        <v>MCADOW JOHN M, MCADOW DAWN M</v>
      </c>
      <c r="C8107" s="1" t="str">
        <f>"5301 EARLINGTON PKWY EARLINGTON VIL SEC 1 LOT 1"</f>
        <v>5301 EARLINGTON PKWY EARLINGTON VIL SEC 1 LOT 1</v>
      </c>
      <c r="D8107" s="1">
        <v>12883.65</v>
      </c>
    </row>
    <row r="8108" spans="1:4" x14ac:dyDescent="0.3">
      <c r="A8108" s="1" t="str">
        <f>"01016568200"</f>
        <v>01016568200</v>
      </c>
      <c r="B8108" s="1" t="str">
        <f>"MCALLISTER ANDI"</f>
        <v>MCALLISTER ANDI</v>
      </c>
      <c r="C8108" s="1" t="str">
        <f>"PLANTATION LAKES CONDOMINIUM BLDG 49 UNIT B"</f>
        <v>PLANTATION LAKES CONDOMINIUM BLDG 49 UNIT B</v>
      </c>
      <c r="D8108" s="1">
        <v>1528.71</v>
      </c>
    </row>
    <row r="8109" spans="1:4" x14ac:dyDescent="0.3">
      <c r="A8109" s="1" t="str">
        <f>"57016508700"</f>
        <v>57016508700</v>
      </c>
      <c r="B8109" s="1" t="str">
        <f>"MCBRIDE JEREMY S TR"</f>
        <v>MCBRIDE JEREMY S TR</v>
      </c>
      <c r="C8109" s="1" t="str">
        <f>"NEWMARKET COURT WILLOW CREEK SEC 1 LOT 8"</f>
        <v>NEWMARKET COURT WILLOW CREEK SEC 1 LOT 8</v>
      </c>
      <c r="D8109" s="1">
        <v>1245.79</v>
      </c>
    </row>
    <row r="8110" spans="1:4" x14ac:dyDescent="0.3">
      <c r="A8110" s="1" t="str">
        <f>"04000989000"</f>
        <v>04000989000</v>
      </c>
      <c r="B8110" s="1" t="str">
        <f>"MCBRIDE PHILIP TERRY, HIVELY SHEILA"</f>
        <v>MCBRIDE PHILIP TERRY, HIVELY SHEILA</v>
      </c>
      <c r="C8110" s="1" t="str">
        <f>"SCIOTO MEADOWS BLVD SCIOTO MEADOWS SEC 1 PART 3 LOT 122"</f>
        <v>SCIOTO MEADOWS BLVD SCIOTO MEADOWS SEC 1 PART 3 LOT 122</v>
      </c>
      <c r="D8110" s="1">
        <v>126.18</v>
      </c>
    </row>
    <row r="8111" spans="1:4" x14ac:dyDescent="0.3">
      <c r="A8111" s="1" t="str">
        <f>"01013712200"</f>
        <v>01013712200</v>
      </c>
      <c r="B8111" s="1" t="str">
        <f>"MCBRIDE SHIRLEY"</f>
        <v>MCBRIDE SHIRLEY</v>
      </c>
      <c r="C8111" s="1" t="str">
        <f>"WEDGEWOOD DR HOLLY HILL 7 LOT 681"</f>
        <v>WEDGEWOOD DR HOLLY HILL 7 LOT 681</v>
      </c>
      <c r="D8111" s="1">
        <v>2363.04</v>
      </c>
    </row>
    <row r="8112" spans="1:4" x14ac:dyDescent="0.3">
      <c r="A8112" s="1" t="str">
        <f>"08001049900"</f>
        <v>08001049900</v>
      </c>
      <c r="B8112" s="1" t="str">
        <f>"MCBRIDE SYLVIA M"</f>
        <v>MCBRIDE SYLVIA M</v>
      </c>
      <c r="C8112" s="1" t="str">
        <f>"FARTHING COURT STERLING GLEN SEC 1 LOT 38"</f>
        <v>FARTHING COURT STERLING GLEN SEC 1 LOT 38</v>
      </c>
      <c r="D8112" s="1">
        <v>4703.3599999999997</v>
      </c>
    </row>
    <row r="8113" spans="1:4" x14ac:dyDescent="0.3">
      <c r="A8113" s="1" t="str">
        <f>"01003678300"</f>
        <v>01003678300</v>
      </c>
      <c r="B8113" s="1" t="str">
        <f>"MCBROOM JEAN"</f>
        <v>MCBROOM JEAN</v>
      </c>
      <c r="C8113" s="1" t="str">
        <f>"1883 MARYLAND AVENUE EAST GATE 2 LOT 14 BLK 16"</f>
        <v>1883 MARYLAND AVENUE EAST GATE 2 LOT 14 BLK 16</v>
      </c>
      <c r="D8113" s="1">
        <v>1009.25</v>
      </c>
    </row>
    <row r="8114" spans="1:4" x14ac:dyDescent="0.3">
      <c r="A8114" s="1" t="str">
        <f>"01027527100"</f>
        <v>01027527100</v>
      </c>
      <c r="B8114" s="1" t="str">
        <f>"MCCAFFERTY ROBERT A SR"</f>
        <v>MCCAFFERTY ROBERT A SR</v>
      </c>
      <c r="C8114" s="1" t="str">
        <f>"5691 MARSHFIELD DR        VILLAGE @ ALBANY CROSSING SECTION 1 PART 2 LOT 86  "</f>
        <v xml:space="preserve">5691 MARSHFIELD DR        VILLAGE @ ALBANY CROSSING SECTION 1 PART 2 LOT 86  </v>
      </c>
      <c r="D8114" s="1">
        <v>195.75</v>
      </c>
    </row>
    <row r="8115" spans="1:4" x14ac:dyDescent="0.3">
      <c r="A8115" s="1" t="str">
        <f>"01008433500"</f>
        <v>01008433500</v>
      </c>
      <c r="B8115" s="1" t="str">
        <f>"MCCAIN THOMAS A, MCCAIN JANICE J"</f>
        <v>MCCAIN THOMAS A, MCCAIN JANICE J</v>
      </c>
      <c r="C8115" s="1" t="str">
        <f>"161 OVERBROOK DRIVE 120 FT W E INDIAN SPRINGS"</f>
        <v>161 OVERBROOK DRIVE 120 FT W E INDIAN SPRINGS</v>
      </c>
      <c r="D8115" s="1">
        <v>3833.39</v>
      </c>
    </row>
    <row r="8116" spans="1:4" x14ac:dyDescent="0.3">
      <c r="A8116" s="1" t="str">
        <f>"01001685400"</f>
        <v>01001685400</v>
      </c>
      <c r="B8116" s="1" t="str">
        <f>"MCCAIN THOMAS A, MCCAIN JANICE J"</f>
        <v>MCCAIN THOMAS A, MCCAIN JANICE J</v>
      </c>
      <c r="C8116" s="1" t="str">
        <f>"GLENMONT AVE 140FT.N.E82-83 GLENMONT LOT 82-83"</f>
        <v>GLENMONT AVE 140FT.N.E82-83 GLENMONT LOT 82-83</v>
      </c>
      <c r="D8116" s="1">
        <v>319.87</v>
      </c>
    </row>
    <row r="8117" spans="1:4" x14ac:dyDescent="0.3">
      <c r="A8117" s="1" t="str">
        <f>"01007121100"</f>
        <v>01007121100</v>
      </c>
      <c r="B8117" s="1" t="str">
        <f>"MCCAIN THOMAS A, MCCAIN JANICE J"</f>
        <v>MCCAIN THOMAS A, MCCAIN JANICE J</v>
      </c>
      <c r="C8117" s="1" t="str">
        <f>"GLENMONT AVE EX 45X170FT SE COR GLENMONT LOT 84"</f>
        <v>GLENMONT AVE EX 45X170FT SE COR GLENMONT LOT 84</v>
      </c>
      <c r="D8117" s="1">
        <v>188.77</v>
      </c>
    </row>
    <row r="8118" spans="1:4" x14ac:dyDescent="0.3">
      <c r="A8118" s="1" t="str">
        <f>"01007183800"</f>
        <v>01007183800</v>
      </c>
      <c r="B8118" s="1" t="str">
        <f>"MCCAIN THOMAS A, MCCAIN JANICE J"</f>
        <v>MCCAIN THOMAS A, MCCAIN JANICE J</v>
      </c>
      <c r="C8118" s="1" t="str">
        <f>"GLENMONT AVE GLENMONT LOT 81"</f>
        <v>GLENMONT AVE GLENMONT LOT 81</v>
      </c>
      <c r="D8118" s="1">
        <v>147.79</v>
      </c>
    </row>
    <row r="8119" spans="1:4" x14ac:dyDescent="0.3">
      <c r="A8119" s="1" t="str">
        <f>"01021113600"</f>
        <v>01021113600</v>
      </c>
      <c r="B8119" s="1" t="str">
        <f>"MCCANN DENNIS J"</f>
        <v>MCCANN DENNIS J</v>
      </c>
      <c r="C8119" s="1" t="str">
        <f>"5809 BASTILLE PLACE TROUVILLE EAST CONDO 6TH AMD UNIT 64"</f>
        <v>5809 BASTILLE PLACE TROUVILLE EAST CONDO 6TH AMD UNIT 64</v>
      </c>
      <c r="D8119" s="1">
        <v>4766.5200000000004</v>
      </c>
    </row>
    <row r="8120" spans="1:4" x14ac:dyDescent="0.3">
      <c r="A8120" s="1" t="str">
        <f>"01009069600"</f>
        <v>01009069600</v>
      </c>
      <c r="B8120" s="1" t="str">
        <f>"MCCARTHY DENNIS M, MCCARTHY ROSEMARY B"</f>
        <v>MCCARTHY DENNIS M, MCCARTHY ROSEMARY B</v>
      </c>
      <c r="C8120" s="1" t="str">
        <f>"291 EASTMOOR BLVD EASTMOOR AMD LOT 117"</f>
        <v>291 EASTMOOR BLVD EASTMOOR AMD LOT 117</v>
      </c>
      <c r="D8120" s="1">
        <v>452.53</v>
      </c>
    </row>
    <row r="8121" spans="1:4" x14ac:dyDescent="0.3">
      <c r="A8121" s="1" t="str">
        <f>"01018684700"</f>
        <v>01018684700</v>
      </c>
      <c r="B8121" s="1" t="str">
        <f>"MCCARTHY JEFF"</f>
        <v>MCCARTHY JEFF</v>
      </c>
      <c r="C8121" s="1" t="str">
        <f>"SUNAPPLE WAY APPLEWAY EAST CONDO UNIT 1768 BLDG 4"</f>
        <v>SUNAPPLE WAY APPLEWAY EAST CONDO UNIT 1768 BLDG 4</v>
      </c>
      <c r="D8121" s="1">
        <v>1145.42</v>
      </c>
    </row>
    <row r="8122" spans="1:4" x14ac:dyDescent="0.3">
      <c r="A8122" s="1" t="str">
        <f>"01018684600"</f>
        <v>01018684600</v>
      </c>
      <c r="B8122" s="1" t="str">
        <f>"MCCARTHY JEFFREY J, MCCARTHY JEFFEREY J"</f>
        <v>MCCARTHY JEFFREY J, MCCARTHY JEFFEREY J</v>
      </c>
      <c r="C8122" s="1" t="str">
        <f>"SUNAPPLE WAY APPLEWAY EAST CONDO UNIT 1766 BLDG 4"</f>
        <v>SUNAPPLE WAY APPLEWAY EAST CONDO UNIT 1766 BLDG 4</v>
      </c>
      <c r="D8122" s="1">
        <v>1145.42</v>
      </c>
    </row>
    <row r="8123" spans="1:4" x14ac:dyDescent="0.3">
      <c r="A8123" s="1" t="str">
        <f>"01000427900"</f>
        <v>01000427900</v>
      </c>
      <c r="B8123" s="1" t="str">
        <f>"MCCARTHY JOHN N"</f>
        <v>MCCARTHY JOHN N</v>
      </c>
      <c r="C8123" s="1" t="str">
        <f>"1017 HUNTER AVE COLLINS ATKINSON &amp; GUITNER PT L 125-126"</f>
        <v>1017 HUNTER AVE COLLINS ATKINSON &amp; GUITNER PT L 125-126</v>
      </c>
      <c r="D8123" s="1">
        <v>2688.21</v>
      </c>
    </row>
    <row r="8124" spans="1:4" x14ac:dyDescent="0.3">
      <c r="A8124" s="1" t="str">
        <f>"05000591700"</f>
        <v>05000591700</v>
      </c>
      <c r="B8124" s="1" t="str">
        <f>"MCCARTHY PATRICK, MCCARTHY AUDREY"</f>
        <v>MCCARTHY PATRICK, MCCARTHY AUDREY</v>
      </c>
      <c r="C8124" s="1" t="str">
        <f>"THE VILLAS AT MILL RUN CONDOMINIUM BLDG 5 UNIT 3714"</f>
        <v>THE VILLAS AT MILL RUN CONDOMINIUM BLDG 5 UNIT 3714</v>
      </c>
      <c r="D8124" s="1">
        <v>2534.5100000000002</v>
      </c>
    </row>
    <row r="8125" spans="1:4" x14ac:dyDescent="0.3">
      <c r="A8125" s="1" t="str">
        <f>"01005460200"</f>
        <v>01005460200</v>
      </c>
      <c r="B8125" s="1" t="str">
        <f>"MCCARTHY RENTALS LLC"</f>
        <v>MCCARTHY RENTALS LLC</v>
      </c>
      <c r="C8125" s="1" t="str">
        <f>"190 W 2ND AVE MILLER &amp; JOYCE LOT 1-3"</f>
        <v>190 W 2ND AVE MILLER &amp; JOYCE LOT 1-3</v>
      </c>
      <c r="D8125" s="1">
        <v>2770.18</v>
      </c>
    </row>
    <row r="8126" spans="1:4" x14ac:dyDescent="0.3">
      <c r="A8126" s="1" t="str">
        <f>"01011080000"</f>
        <v>01011080000</v>
      </c>
      <c r="B8126" s="1" t="str">
        <f>"MCCARTHY TIMOTHY G TR, MCCARTHY SANDRA D TR"</f>
        <v>MCCARTHY TIMOTHY G TR, MCCARTHY SANDRA D TR</v>
      </c>
      <c r="C8126" s="1" t="str">
        <f>"100 FENWAY RD PTS OF LOT 21 &amp; 22 NORTHWOLD AMD 1"</f>
        <v>100 FENWAY RD PTS OF LOT 21 &amp; 22 NORTHWOLD AMD 1</v>
      </c>
      <c r="D8126" s="1">
        <v>278.26</v>
      </c>
    </row>
    <row r="8127" spans="1:4" x14ac:dyDescent="0.3">
      <c r="A8127" s="1" t="str">
        <f>"01006431400"</f>
        <v>01006431400</v>
      </c>
      <c r="B8127" s="1" t="str">
        <f>"MCCARTNEY WILLIAM"</f>
        <v>MCCARTNEY WILLIAM</v>
      </c>
      <c r="C8127" s="1" t="str">
        <f>"17TH AVE WILLARD CLEVELAND HT SLOT 13"</f>
        <v>17TH AVE WILLARD CLEVELAND HT SLOT 13</v>
      </c>
      <c r="D8127" s="1">
        <v>747.12</v>
      </c>
    </row>
    <row r="8128" spans="1:4" x14ac:dyDescent="0.3">
      <c r="A8128" s="1" t="str">
        <f>"01000572800"</f>
        <v>01000572800</v>
      </c>
      <c r="B8128" s="1" t="str">
        <f>"MCCARTNEY WILLIAM"</f>
        <v>MCCARTNEY WILLIAM</v>
      </c>
      <c r="C8128" s="1" t="str">
        <f>"822 FAIRWOOD AVE BULENS FAIRWOOD PK LOT 49"</f>
        <v>822 FAIRWOOD AVE BULENS FAIRWOOD PK LOT 49</v>
      </c>
      <c r="D8128" s="1">
        <v>1205.26</v>
      </c>
    </row>
    <row r="8129" spans="1:4" x14ac:dyDescent="0.3">
      <c r="A8129" s="1" t="str">
        <f>"27301176900"</f>
        <v>27301176900</v>
      </c>
      <c r="B8129" s="1" t="str">
        <f>"MCCHESNEY VICTORIA S"</f>
        <v>MCCHESNEY VICTORIA S</v>
      </c>
      <c r="C8129" s="1" t="str">
        <f>"GORDEN FARMS CONDOMINIUM UNIT 066 (GARAGE)"</f>
        <v>GORDEN FARMS CONDOMINIUM UNIT 066 (GARAGE)</v>
      </c>
      <c r="D8129" s="1">
        <v>38.71</v>
      </c>
    </row>
    <row r="8130" spans="1:4" x14ac:dyDescent="0.3">
      <c r="A8130" s="1" t="str">
        <f>"04000881500"</f>
        <v>04000881500</v>
      </c>
      <c r="B8130" s="1" t="str">
        <f>"MCCLAREN ROBERT J, MCCLAREN ROBIN"</f>
        <v>MCCLAREN ROBERT J, MCCLAREN ROBIN</v>
      </c>
      <c r="C8130" s="1" t="str">
        <f>"THE WILLOWS AT QUAIL CREEK CONDO 4TH AMD BLDG 23 UNIT 2344"</f>
        <v>THE WILLOWS AT QUAIL CREEK CONDO 4TH AMD BLDG 23 UNIT 2344</v>
      </c>
      <c r="D8130" s="1">
        <v>550</v>
      </c>
    </row>
    <row r="8131" spans="1:4" x14ac:dyDescent="0.3">
      <c r="A8131" s="1" t="str">
        <f>"01009985700"</f>
        <v>01009985700</v>
      </c>
      <c r="B8131" s="1" t="str">
        <f>"MCCLASKIE STEPHEN L"</f>
        <v>MCCLASKIE STEPHEN L</v>
      </c>
      <c r="C8131" s="1" t="str">
        <f>"HARLEY DR UNIVERSITY CITY HOME LOT 69"</f>
        <v>HARLEY DR UNIVERSITY CITY HOME LOT 69</v>
      </c>
      <c r="D8131" s="1">
        <v>2408.4299999999998</v>
      </c>
    </row>
    <row r="8132" spans="1:4" x14ac:dyDescent="0.3">
      <c r="A8132" s="1" t="str">
        <f>"01024923500"</f>
        <v>01024923500</v>
      </c>
      <c r="B8132" s="1" t="str">
        <f>"MCCLEARY GERALD W, MCCLEARY CYNTHIA L"</f>
        <v>MCCLEARY GERALD W, MCCLEARY CYNTHIA L</v>
      </c>
      <c r="C8132" s="1" t="str">
        <f>"BIDLINGTON DRIVE FRAMINGHAM PLACE SECTION 1 LOT 269"</f>
        <v>BIDLINGTON DRIVE FRAMINGHAM PLACE SECTION 1 LOT 269</v>
      </c>
      <c r="D8132" s="1">
        <v>4105.63</v>
      </c>
    </row>
    <row r="8133" spans="1:4" x14ac:dyDescent="0.3">
      <c r="A8133" s="1" t="str">
        <f>"07000248400"</f>
        <v>07000248400</v>
      </c>
      <c r="B8133" s="1" t="str">
        <f>"MCCLELLAN CAROLYN H, MCCLELLAN CARROLL JENNINGS III"</f>
        <v>MCCLELLAN CAROLYN H, MCCLELLAN CARROLL JENNINGS III</v>
      </c>
      <c r="C8133" s="1" t="str">
        <f>"BALDRIDGE ROAD UPPER ARLINGTON LOT 8 BLK 147"</f>
        <v>BALDRIDGE ROAD UPPER ARLINGTON LOT 8 BLK 147</v>
      </c>
      <c r="D8133" s="1">
        <v>7831.67</v>
      </c>
    </row>
    <row r="8134" spans="1:4" x14ac:dyDescent="0.3">
      <c r="A8134" s="1" t="str">
        <f>"24100030200"</f>
        <v>24100030200</v>
      </c>
      <c r="B8134" s="1" t="str">
        <f>"MCCLELLAN GENE"</f>
        <v>MCCLELLAN GENE</v>
      </c>
      <c r="C8134" s="1" t="str">
        <f>"LAKEFIELD DRIVE LAKE DARBY ESTATES 2 LOT 368"</f>
        <v>LAKEFIELD DRIVE LAKE DARBY ESTATES 2 LOT 368</v>
      </c>
      <c r="D8134" s="1">
        <v>2718.62</v>
      </c>
    </row>
    <row r="8135" spans="1:4" x14ac:dyDescent="0.3">
      <c r="A8135" s="1" t="str">
        <f>"01025856300"</f>
        <v>01025856300</v>
      </c>
      <c r="B8135" s="1" t="str">
        <f>"MCCLELLAN-HUFFMAN MATTHEW TYLER, MCCLELLAN CHARLES VERNON"</f>
        <v>MCCLELLAN-HUFFMAN MATTHEW TYLER, MCCLELLAN CHARLES VERNON</v>
      </c>
      <c r="C8135" s="1" t="str">
        <f>"RIPPINGALE STREET McNEILL FARMS SECTION 4 PART 2 LOT 252"</f>
        <v>RIPPINGALE STREET McNEILL FARMS SECTION 4 PART 2 LOT 252</v>
      </c>
      <c r="D8135" s="1">
        <v>2357.42</v>
      </c>
    </row>
    <row r="8136" spans="1:4" x14ac:dyDescent="0.3">
      <c r="A8136" s="1" t="str">
        <f>"01011879700"</f>
        <v>01011879700</v>
      </c>
      <c r="B8136" s="1" t="str">
        <f>"MCCLOUD KARRI JEAN"</f>
        <v>MCCLOUD KARRI JEAN</v>
      </c>
      <c r="C8136" s="1" t="str">
        <f>"COLVIN RD CATALPA PARK 2 LOT 82"</f>
        <v>COLVIN RD CATALPA PARK 2 LOT 82</v>
      </c>
      <c r="D8136" s="1">
        <v>35.549999999999997</v>
      </c>
    </row>
    <row r="8137" spans="1:4" x14ac:dyDescent="0.3">
      <c r="A8137" s="1" t="str">
        <f>"01011879800"</f>
        <v>01011879800</v>
      </c>
      <c r="B8137" s="1" t="str">
        <f>"MCCLOUD KARRI JEAN"</f>
        <v>MCCLOUD KARRI JEAN</v>
      </c>
      <c r="C8137" s="1" t="str">
        <f>"COLVIN RD CATALPA PARK 2 LOT 83"</f>
        <v>COLVIN RD CATALPA PARK 2 LOT 83</v>
      </c>
      <c r="D8137" s="1">
        <v>35.549999999999997</v>
      </c>
    </row>
    <row r="8138" spans="1:4" x14ac:dyDescent="0.3">
      <c r="A8138" s="1" t="str">
        <f>"24100089500"</f>
        <v>24100089500</v>
      </c>
      <c r="B8138" s="1" t="str">
        <f>"MCCOLLOR JOHN"</f>
        <v>MCCOLLOR JOHN</v>
      </c>
      <c r="C8138" s="1" t="str">
        <f>"FEDER RD ENTRY 7071 2.9951 ACRES"</f>
        <v>FEDER RD ENTRY 7071 2.9951 ACRES</v>
      </c>
      <c r="D8138" s="1">
        <v>4778.33</v>
      </c>
    </row>
    <row r="8139" spans="1:4" x14ac:dyDescent="0.3">
      <c r="A8139" s="1" t="str">
        <f>"15100016800"</f>
        <v>15100016800</v>
      </c>
      <c r="B8139" s="1" t="str">
        <f>"MCCOMAS AUDI D, MCCOMAS CORDELIA, MCCOMAS VIRGIL E SR"</f>
        <v>MCCOMAS AUDI D, MCCOMAS CORDELIA, MCCOMAS VIRGIL E SR</v>
      </c>
      <c r="C8139" s="1" t="str">
        <f>"210 COMMERCE ST LOT 175 COMMERCE ST "</f>
        <v xml:space="preserve">210 COMMERCE ST LOT 175 COMMERCE ST </v>
      </c>
      <c r="D8139" s="1">
        <v>6986.63</v>
      </c>
    </row>
    <row r="8140" spans="1:4" x14ac:dyDescent="0.3">
      <c r="A8140" s="1" t="str">
        <f>"08000235800"</f>
        <v>08000235800</v>
      </c>
      <c r="B8140" s="1" t="str">
        <f>"MCCONNELL GLENVER"</f>
        <v>MCCONNELL GLENVER</v>
      </c>
      <c r="C8140" s="1" t="str">
        <f>"ILLINOIS AVE HANBY HTS 96 "</f>
        <v xml:space="preserve">ILLINOIS AVE HANBY HTS 96 </v>
      </c>
      <c r="D8140" s="1">
        <v>237.45</v>
      </c>
    </row>
    <row r="8141" spans="1:4" x14ac:dyDescent="0.3">
      <c r="A8141" s="1" t="str">
        <f>"08000771500"</f>
        <v>08000771500</v>
      </c>
      <c r="B8141" s="1" t="str">
        <f>"MCCONNELL GLENVER, MCCONNELL KRISTIN C"</f>
        <v>MCCONNELL GLENVER, MCCONNELL KRISTIN C</v>
      </c>
      <c r="C8141" s="1" t="str">
        <f>"857 THIRLWALL CT CANYON CREEK SEC 2 LOT 20"</f>
        <v>857 THIRLWALL CT CANYON CREEK SEC 2 LOT 20</v>
      </c>
      <c r="D8141" s="1">
        <v>336.87</v>
      </c>
    </row>
    <row r="8142" spans="1:4" x14ac:dyDescent="0.3">
      <c r="A8142" s="1" t="str">
        <f>"01018842100"</f>
        <v>01018842100</v>
      </c>
      <c r="B8142" s="1" t="str">
        <f>"MCCONNELL MICHAEL J"</f>
        <v>MCCONNELL MICHAEL J</v>
      </c>
      <c r="C8142" s="1" t="str">
        <f>"MERRIMAR CIR N HEARTHSTONE CONDO UNIT 1078-F BLDG 9"</f>
        <v>MERRIMAR CIR N HEARTHSTONE CONDO UNIT 1078-F BLDG 9</v>
      </c>
      <c r="D8142" s="1">
        <v>1004.62</v>
      </c>
    </row>
    <row r="8143" spans="1:4" x14ac:dyDescent="0.3">
      <c r="A8143" s="1" t="str">
        <f>"01027437800"</f>
        <v>01027437800</v>
      </c>
      <c r="B8143" s="1" t="str">
        <f>"MCCONNELL RYAN D"</f>
        <v>MCCONNELL RYAN D</v>
      </c>
      <c r="C8143" s="1" t="str">
        <f>"THE ITALIAN VILLAGE 4TH   &amp; SUMMIT CONDOMINIUM      ASSOCIATION UNIT 1137    "</f>
        <v xml:space="preserve">THE ITALIAN VILLAGE 4TH   &amp; SUMMIT CONDOMINIUM      ASSOCIATION UNIT 1137    </v>
      </c>
      <c r="D8143" s="1">
        <v>4892.84</v>
      </c>
    </row>
    <row r="8144" spans="1:4" x14ac:dyDescent="0.3">
      <c r="A8144" s="1" t="str">
        <f>"01008004500"</f>
        <v>01008004500</v>
      </c>
      <c r="B8144" s="1" t="str">
        <f>"MCCORD SHAWN MICHAEL"</f>
        <v>MCCORD SHAWN MICHAEL</v>
      </c>
      <c r="C8144" s="1" t="str">
        <f>"NORWOOD ST KENMORE PARK LOT 9 BLK 13"</f>
        <v>NORWOOD ST KENMORE PARK LOT 9 BLK 13</v>
      </c>
      <c r="D8144" s="1">
        <v>2853.94</v>
      </c>
    </row>
    <row r="8145" spans="1:4" x14ac:dyDescent="0.3">
      <c r="A8145" s="1" t="str">
        <f>"01014754100"</f>
        <v>01014754100</v>
      </c>
      <c r="B8145" s="1" t="str">
        <f>"MCCORKLE CAROL J"</f>
        <v>MCCORKLE CAROL J</v>
      </c>
      <c r="C8145" s="1" t="str">
        <f>"TUPSFIELD RD GRANVILLE MANOR SEC1 80"</f>
        <v>TUPSFIELD RD GRANVILLE MANOR SEC1 80</v>
      </c>
      <c r="D8145" s="1">
        <v>1693.6</v>
      </c>
    </row>
    <row r="8146" spans="1:4" x14ac:dyDescent="0.3">
      <c r="A8146" s="1" t="str">
        <f>"01027906600"</f>
        <v>01027906600</v>
      </c>
      <c r="B8146" s="1" t="str">
        <f>"MCCORMICK HERBERT, MCCORMICK ELIZABETH"</f>
        <v>MCCORMICK HERBERT, MCCORMICK ELIZABETH</v>
      </c>
      <c r="C8146" s="1" t="str">
        <f>"BURNHAM SQUARE            CONDOMINIUM               UNIT 251-502             "</f>
        <v xml:space="preserve">BURNHAM SQUARE            CONDOMINIUM               UNIT 251-502             </v>
      </c>
      <c r="D8146" s="1">
        <v>3895.6</v>
      </c>
    </row>
    <row r="8147" spans="1:4" x14ac:dyDescent="0.3">
      <c r="A8147" s="1" t="str">
        <f>"27300081800"</f>
        <v>27300081800</v>
      </c>
      <c r="B8147" s="1" t="str">
        <f>"MCCORMICK JACQUITA MARIE"</f>
        <v>MCCORMICK JACQUITA MARIE</v>
      </c>
      <c r="C8147" s="1" t="str">
        <f>"171 STONEFENCE LN WATERFORD VLG PHASE1 LOT 21"</f>
        <v>171 STONEFENCE LN WATERFORD VLG PHASE1 LOT 21</v>
      </c>
      <c r="D8147" s="1">
        <v>416.1</v>
      </c>
    </row>
    <row r="8148" spans="1:4" x14ac:dyDescent="0.3">
      <c r="A8148" s="1" t="str">
        <f>"01011855600"</f>
        <v>01011855600</v>
      </c>
      <c r="B8148" s="1" t="str">
        <f>"MCCORMICK LINDA H, HILKOWSKI CRAIG J"</f>
        <v>MCCORMICK LINDA H, HILKOWSKI CRAIG J</v>
      </c>
      <c r="C8148" s="1" t="str">
        <f>"4143 LIVINGSTON AVE BERTHA BATES LVNGSTN 105X175 FT NE LOT 26"</f>
        <v>4143 LIVINGSTON AVE BERTHA BATES LVNGSTN 105X175 FT NE LOT 26</v>
      </c>
      <c r="D8148" s="1">
        <v>1890.19</v>
      </c>
    </row>
    <row r="8149" spans="1:4" x14ac:dyDescent="0.3">
      <c r="A8149" s="1" t="str">
        <f>"01001502000"</f>
        <v>01001502000</v>
      </c>
      <c r="B8149" s="1" t="str">
        <f>"MCCORRISTON JOY, JOHNSTON KEVIN"</f>
        <v>MCCORRISTON JOY, JOHNSTON KEVIN</v>
      </c>
      <c r="C8149" s="1" t="str">
        <f>"467 E NORTH BROADWAY 55 FT MID PT NORTH BROADWAY LOT 46"</f>
        <v>467 E NORTH BROADWAY 55 FT MID PT NORTH BROADWAY LOT 46</v>
      </c>
      <c r="D8149" s="1">
        <v>336.43</v>
      </c>
    </row>
    <row r="8150" spans="1:4" x14ac:dyDescent="0.3">
      <c r="A8150" s="1" t="str">
        <f>"18000334900"</f>
        <v>18000334900</v>
      </c>
      <c r="B8150" s="1" t="str">
        <f>"MCCOY JAMES"</f>
        <v>MCCOY JAMES</v>
      </c>
      <c r="C8150" s="1" t="str">
        <f>"WYMORE PL BLACKLICK ESTATES 3 705 "</f>
        <v xml:space="preserve">WYMORE PL BLACKLICK ESTATES 3 705 </v>
      </c>
      <c r="D8150" s="1">
        <v>165.77</v>
      </c>
    </row>
    <row r="8151" spans="1:4" x14ac:dyDescent="0.3">
      <c r="A8151" s="1" t="str">
        <f>"18000289200"</f>
        <v>18000289200</v>
      </c>
      <c r="B8151" s="1" t="str">
        <f>"MCCOY JAMES"</f>
        <v>MCCOY JAMES</v>
      </c>
      <c r="C8151" s="1" t="str">
        <f>"NOE-BIXBY RD BLACKLICK ESTATES 4 82"</f>
        <v>NOE-BIXBY RD BLACKLICK ESTATES 4 82</v>
      </c>
      <c r="D8151" s="1">
        <v>132.94</v>
      </c>
    </row>
    <row r="8152" spans="1:4" x14ac:dyDescent="0.3">
      <c r="A8152" s="1" t="str">
        <f>"01011526000"</f>
        <v>01011526000</v>
      </c>
      <c r="B8152" s="1" t="str">
        <f>"MCCOY JAMES E"</f>
        <v>MCCOY JAMES E</v>
      </c>
      <c r="C8152" s="1" t="str">
        <f>"EVERGREEN RD M JEANNETTE MCDOWELL GREEN DL ACR E1/2L13"</f>
        <v>EVERGREEN RD M JEANNETTE MCDOWELL GREEN DL ACR E1/2L13</v>
      </c>
      <c r="D8152" s="1">
        <v>132.06</v>
      </c>
    </row>
    <row r="8153" spans="1:4" x14ac:dyDescent="0.3">
      <c r="A8153" s="1" t="str">
        <f>"01007792300"</f>
        <v>01007792300</v>
      </c>
      <c r="B8153" s="1" t="str">
        <f>"MCCOY JAMES L"</f>
        <v>MCCOY JAMES L</v>
      </c>
      <c r="C8153" s="1" t="str">
        <f>"BANCROFT ST MULBUR PARK LOT 237"</f>
        <v>BANCROFT ST MULBUR PARK LOT 237</v>
      </c>
      <c r="D8153" s="1">
        <v>896.07</v>
      </c>
    </row>
    <row r="8154" spans="1:4" x14ac:dyDescent="0.3">
      <c r="A8154" s="1" t="str">
        <f>"01011511900"</f>
        <v>01011511900</v>
      </c>
      <c r="B8154" s="1" t="str">
        <f>"MCCOY JAMES M"</f>
        <v>MCCOY JAMES M</v>
      </c>
      <c r="C8154" s="1" t="str">
        <f>"EVERGREEN RD M J MCDOWELLS LOT 12"</f>
        <v>EVERGREEN RD M J MCDOWELLS LOT 12</v>
      </c>
      <c r="D8154" s="1">
        <v>107.25</v>
      </c>
    </row>
    <row r="8155" spans="1:4" x14ac:dyDescent="0.3">
      <c r="A8155" s="1" t="str">
        <f>"08001073500"</f>
        <v>08001073500</v>
      </c>
      <c r="B8155" s="1" t="str">
        <f>"MCCOY LANCE M, MCCOY RITA C"</f>
        <v>MCCOY LANCE M, MCCOY RITA C</v>
      </c>
      <c r="C8155" s="1" t="str">
        <f>"SPRING RUN CONDOMINIUM 5TH AMD BLDG 6 UNIT 6-1307"</f>
        <v>SPRING RUN CONDOMINIUM 5TH AMD BLDG 6 UNIT 6-1307</v>
      </c>
      <c r="D8155" s="1">
        <v>200.73</v>
      </c>
    </row>
    <row r="8156" spans="1:4" x14ac:dyDescent="0.3">
      <c r="A8156" s="1" t="str">
        <f>"15000177900"</f>
        <v>15000177900</v>
      </c>
      <c r="B8156" s="1" t="str">
        <f>"MCCOY MARK"</f>
        <v>MCCOY MARK</v>
      </c>
      <c r="C8156" s="1" t="str">
        <f>"5040 SUTHERLAND DR HAMILTON MEADOWS 157 "</f>
        <v xml:space="preserve">5040 SUTHERLAND DR HAMILTON MEADOWS 157 </v>
      </c>
      <c r="D8156" s="1">
        <v>2581.5700000000002</v>
      </c>
    </row>
    <row r="8157" spans="1:4" x14ac:dyDescent="0.3">
      <c r="A8157" s="1" t="str">
        <f>"01007853700"</f>
        <v>01007853700</v>
      </c>
      <c r="B8157" s="1" t="str">
        <f>"MCCOY ROBERT P"</f>
        <v>MCCOY ROBERT P</v>
      </c>
      <c r="C8157" s="1" t="str">
        <f>"91 ALGONQUIN AVE WESTGATE PARK LOT 23"</f>
        <v>91 ALGONQUIN AVE WESTGATE PARK LOT 23</v>
      </c>
      <c r="D8157" s="1">
        <v>1126.9000000000001</v>
      </c>
    </row>
    <row r="8158" spans="1:4" x14ac:dyDescent="0.3">
      <c r="A8158" s="1" t="str">
        <f>"01009836100"</f>
        <v>01009836100</v>
      </c>
      <c r="B8158" s="1" t="str">
        <f>"MCCOY ROSE"</f>
        <v>MCCOY ROSE</v>
      </c>
      <c r="C8158" s="1" t="str">
        <f>"MEDINA AVE OAK PARK 10 LOT 103"</f>
        <v>MEDINA AVE OAK PARK 10 LOT 103</v>
      </c>
      <c r="D8158" s="1">
        <v>2733.5</v>
      </c>
    </row>
    <row r="8159" spans="1:4" x14ac:dyDescent="0.3">
      <c r="A8159" s="1" t="str">
        <f>"15300035600"</f>
        <v>15300035600</v>
      </c>
      <c r="B8159" s="1" t="str">
        <f>"MCCOY SHARON D, THOMAS CHARLES"</f>
        <v>MCCOY SHARON D, THOMAS CHARLES</v>
      </c>
      <c r="C8159" s="1" t="str">
        <f>"MAUREEN BLVD N ELKS ACRES SEC 2 LOT 86"</f>
        <v>MAUREEN BLVD N ELKS ACRES SEC 2 LOT 86</v>
      </c>
      <c r="D8159" s="1">
        <v>284.89</v>
      </c>
    </row>
    <row r="8160" spans="1:4" x14ac:dyDescent="0.3">
      <c r="A8160" s="1" t="str">
        <f>"57010258700"</f>
        <v>57010258700</v>
      </c>
      <c r="B8160" s="1" t="str">
        <f>"MCCOY TAMMY L AFDT"</f>
        <v>MCCOY TAMMY L AFDT</v>
      </c>
      <c r="C8160" s="1" t="str">
        <f>"GALLOWAY RD KADERLYS WSTVW EST LT 17 EX 12.52'NL WS"</f>
        <v>GALLOWAY RD KADERLYS WSTVW EST LT 17 EX 12.52'NL WS</v>
      </c>
      <c r="D8160" s="1">
        <v>4732.0600000000004</v>
      </c>
    </row>
    <row r="8161" spans="1:4" x14ac:dyDescent="0.3">
      <c r="A8161" s="1" t="str">
        <f>"01000955300"</f>
        <v>01000955300</v>
      </c>
      <c r="B8161" s="1" t="str">
        <f>"MCCOY THOMAS SCOTT, MCCOY CRAIG A"</f>
        <v>MCCOY THOMAS SCOTT, MCCOY CRAIG A</v>
      </c>
      <c r="C8161" s="1" t="str">
        <f>"278 S SKIDMORE ST POPE&amp;ELLERMAN LOT 17"</f>
        <v>278 S SKIDMORE ST POPE&amp;ELLERMAN LOT 17</v>
      </c>
      <c r="D8161" s="1">
        <v>71.83</v>
      </c>
    </row>
    <row r="8162" spans="1:4" x14ac:dyDescent="0.3">
      <c r="A8162" s="1" t="str">
        <f>"01004113600"</f>
        <v>01004113600</v>
      </c>
      <c r="B8162" s="1" t="str">
        <f>"MCCRACKEN JUDITH A"</f>
        <v>MCCRACKEN JUDITH A</v>
      </c>
      <c r="C8162" s="1" t="str">
        <f>"333 E BECK ST 65FT NE BORN&amp;JENNERS LOT 4"</f>
        <v>333 E BECK ST 65FT NE BORN&amp;JENNERS LOT 4</v>
      </c>
      <c r="D8162" s="1">
        <v>4847.96</v>
      </c>
    </row>
    <row r="8163" spans="1:4" x14ac:dyDescent="0.3">
      <c r="A8163" s="1" t="str">
        <f>"01018913400"</f>
        <v>01018913400</v>
      </c>
      <c r="B8163" s="1" t="str">
        <f>"MCCRAY SCOTT R, MCCRAY MARJORIE B"</f>
        <v>MCCRAY SCOTT R, MCCRAY MARJORIE B</v>
      </c>
      <c r="C8163" s="1" t="str">
        <f>"COLHASSET LA VILLAGE GREENE CONDO BLDG 8 UNIT 1754"</f>
        <v>COLHASSET LA VILLAGE GREENE CONDO BLDG 8 UNIT 1754</v>
      </c>
      <c r="D8163" s="1">
        <v>1714.98</v>
      </c>
    </row>
    <row r="8164" spans="1:4" x14ac:dyDescent="0.3">
      <c r="A8164" s="1" t="str">
        <f>"60021360700"</f>
        <v>60021360700</v>
      </c>
      <c r="B8164" s="1" t="str">
        <f>"MCCREARY DANA T"</f>
        <v>MCCREARY DANA T</v>
      </c>
      <c r="C8164" s="1" t="str">
        <f>"DEER KNOLL DRIVE CREEK RIDGE SEC 2 PT LOT 73"</f>
        <v>DEER KNOLL DRIVE CREEK RIDGE SEC 2 PT LOT 73</v>
      </c>
      <c r="D8164" s="1">
        <v>1252.68</v>
      </c>
    </row>
    <row r="8165" spans="1:4" x14ac:dyDescent="0.3">
      <c r="A8165" s="1" t="str">
        <f>"01024733600"</f>
        <v>01024733600</v>
      </c>
      <c r="B8165" s="1" t="str">
        <f>"MCCREARY JAMES A, MCCREARY CARLA J"</f>
        <v>MCCREARY JAMES A, MCCREARY CARLA J</v>
      </c>
      <c r="C8165" s="1" t="str">
        <f>"JETSTREAM DRIVE WALTHAM PLACE SECTION 4 LOT 287"</f>
        <v>JETSTREAM DRIVE WALTHAM PLACE SECTION 4 LOT 287</v>
      </c>
      <c r="D8165" s="1">
        <v>225.41</v>
      </c>
    </row>
    <row r="8166" spans="1:4" x14ac:dyDescent="0.3">
      <c r="A8166" s="1" t="str">
        <f>"01001522000"</f>
        <v>01001522000</v>
      </c>
      <c r="B8166" s="1" t="str">
        <f>"MCCRIMMON CHARLES"</f>
        <v>MCCRIMMON CHARLES</v>
      </c>
      <c r="C8166" s="1" t="str">
        <f>"463 E TOWN ST             KIMBALL                   SUB 3-4                  "</f>
        <v xml:space="preserve">463 E TOWN ST             KIMBALL                   SUB 3-4                  </v>
      </c>
      <c r="D8166" s="1">
        <v>923.68</v>
      </c>
    </row>
    <row r="8167" spans="1:4" x14ac:dyDescent="0.3">
      <c r="A8167" s="1" t="str">
        <f>"02000402400"</f>
        <v>02000402400</v>
      </c>
      <c r="B8167" s="1" t="str">
        <f>"MCCUE MICHAEL D"</f>
        <v>MCCUE MICHAEL D</v>
      </c>
      <c r="C8167" s="1" t="str">
        <f>"466 N DREXEL AVE RUHLS AMD LOTR 14 150 FT W E"</f>
        <v>466 N DREXEL AVE RUHLS AMD LOTR 14 150 FT W E</v>
      </c>
      <c r="D8167" s="1">
        <v>4686.8100000000004</v>
      </c>
    </row>
    <row r="8168" spans="1:4" x14ac:dyDescent="0.3">
      <c r="A8168" s="1" t="str">
        <f>"02000345500"</f>
        <v>02000345500</v>
      </c>
      <c r="B8168" s="1" t="str">
        <f>"MCCUE MICHAEL D, MCCUE DEBORAH J"</f>
        <v>MCCUE MICHAEL D, MCCUE DEBORAH J</v>
      </c>
      <c r="C8168" s="1" t="str">
        <f>"2602 STANBERY DRIVE LOT 39 BEXLEY WOODS"</f>
        <v>2602 STANBERY DRIVE LOT 39 BEXLEY WOODS</v>
      </c>
      <c r="D8168" s="1">
        <v>2929.76</v>
      </c>
    </row>
    <row r="8169" spans="1:4" x14ac:dyDescent="0.3">
      <c r="A8169" s="1" t="str">
        <f>"02000463400"</f>
        <v>02000463400</v>
      </c>
      <c r="B8169" s="1" t="str">
        <f>"MCCULLOUGH CARRIE"</f>
        <v>MCCULLOUGH CARRIE</v>
      </c>
      <c r="C8169" s="1" t="str">
        <f>"00000 LYONGATE RD LOT 1 "</f>
        <v xml:space="preserve">00000 LYONGATE RD LOT 1 </v>
      </c>
      <c r="D8169" s="1">
        <v>10669.04</v>
      </c>
    </row>
    <row r="8170" spans="1:4" x14ac:dyDescent="0.3">
      <c r="A8170" s="1" t="str">
        <f>"61019884500"</f>
        <v>61019884500</v>
      </c>
      <c r="B8170" s="1" t="str">
        <f>"MCCULLOUGHS TREE SERVICE INC"</f>
        <v>MCCULLOUGHS TREE SERVICE INC</v>
      </c>
      <c r="C8170" s="1" t="str">
        <f>"WORTHINGTN&amp;DUBLIN PK R19 T2 1/4T4 1.421 ACRES"</f>
        <v>WORTHINGTN&amp;DUBLIN PK R19 T2 1/4T4 1.421 ACRES</v>
      </c>
      <c r="D8170" s="1">
        <v>887.68</v>
      </c>
    </row>
    <row r="8171" spans="1:4" x14ac:dyDescent="0.3">
      <c r="A8171" s="1" t="str">
        <f>"01030117600"</f>
        <v>01030117600</v>
      </c>
      <c r="B8171" s="1" t="str">
        <f>"MCCURDY BRADY, MCCURDY CHARLES"</f>
        <v>MCCURDY BRADY, MCCURDY CHARLES</v>
      </c>
      <c r="C8171" s="1" t="str">
        <f>"2ND AND PERRY CONDOMINIUM UNIT 1078 "</f>
        <v xml:space="preserve">2ND AND PERRY CONDOMINIUM UNIT 1078 </v>
      </c>
      <c r="D8171" s="1">
        <v>8516.99</v>
      </c>
    </row>
    <row r="8172" spans="1:4" x14ac:dyDescent="0.3">
      <c r="A8172" s="1" t="str">
        <f>"01003315800"</f>
        <v>01003315800</v>
      </c>
      <c r="B8172" s="1" t="str">
        <f>"MCCURDY DONALD K"</f>
        <v>MCCURDY DONALD K</v>
      </c>
      <c r="C8172" s="1" t="str">
        <f>"848 STARR AVE BIDLEMAN LOT 256"</f>
        <v>848 STARR AVE BIDLEMAN LOT 256</v>
      </c>
      <c r="D8172" s="1">
        <v>36.24</v>
      </c>
    </row>
    <row r="8173" spans="1:4" x14ac:dyDescent="0.3">
      <c r="A8173" s="1" t="str">
        <f>"01026833900"</f>
        <v>01026833900</v>
      </c>
      <c r="B8173" s="1" t="str">
        <f>"MCCUTCHEON CROSSING ASSOCIATES INC"</f>
        <v>MCCUTCHEON CROSSING ASSOCIATES INC</v>
      </c>
      <c r="C8173" s="1" t="s">
        <v>31</v>
      </c>
      <c r="D8173" s="1">
        <v>14.85</v>
      </c>
    </row>
    <row r="8174" spans="1:4" x14ac:dyDescent="0.3">
      <c r="A8174" s="1" t="str">
        <f>"14000077300"</f>
        <v>14000077300</v>
      </c>
      <c r="B8174" s="1" t="str">
        <f>"MCDADE STANLEY A"</f>
        <v>MCDADE STANLEY A</v>
      </c>
      <c r="C8174" s="1" t="str">
        <f>"1037 SEARLES AVE GIBSON PARK PLACE LOT 55"</f>
        <v>1037 SEARLES AVE GIBSON PARK PLACE LOT 55</v>
      </c>
      <c r="D8174" s="1">
        <v>899.54</v>
      </c>
    </row>
    <row r="8175" spans="1:4" x14ac:dyDescent="0.3">
      <c r="A8175" s="1" t="str">
        <f>"23000124900"</f>
        <v>23000124900</v>
      </c>
      <c r="B8175" s="1" t="str">
        <f>"MCDANIEL &amp; WAITS PROPERTIES LLC"</f>
        <v>MCDANIEL &amp; WAITS PROPERTIES LLC</v>
      </c>
      <c r="C8175" s="1" t="str">
        <f>"3742 VINE ST J L MOORE 86 "</f>
        <v xml:space="preserve">3742 VINE ST J L MOORE 86 </v>
      </c>
      <c r="D8175" s="1">
        <v>3162.81</v>
      </c>
    </row>
    <row r="8176" spans="1:4" x14ac:dyDescent="0.3">
      <c r="A8176" s="1" t="str">
        <f>"04000520400"</f>
        <v>04000520400</v>
      </c>
      <c r="B8176" s="1" t="str">
        <f>"MCDANIEL DIANNAH L TR"</f>
        <v>MCDANIEL DIANNAH L TR</v>
      </c>
      <c r="C8176" s="1" t="str">
        <f>"4030 BASSWOOD AVE WEST GROVE SEC 1 LOT 156"</f>
        <v>4030 BASSWOOD AVE WEST GROVE SEC 1 LOT 156</v>
      </c>
      <c r="D8176" s="1">
        <v>253.91</v>
      </c>
    </row>
    <row r="8177" spans="1:4" x14ac:dyDescent="0.3">
      <c r="A8177" s="1" t="str">
        <f>"17000059200"</f>
        <v>17000059200</v>
      </c>
      <c r="B8177" s="1" t="str">
        <f>"MCDANIEL JOHN J"</f>
        <v>MCDANIEL JOHN J</v>
      </c>
      <c r="C8177" s="1" t="str">
        <f>"7333 HAVENS RD R16 T1 1/4T1 LOT 22 10.989 ACRES"</f>
        <v>7333 HAVENS RD R16 T1 1/4T1 LOT 22 10.989 ACRES</v>
      </c>
      <c r="D8177" s="1">
        <v>4798.28</v>
      </c>
    </row>
    <row r="8178" spans="1:4" x14ac:dyDescent="0.3">
      <c r="A8178" s="1" t="str">
        <f>"16100026400"</f>
        <v>16100026400</v>
      </c>
      <c r="B8178" s="1" t="str">
        <f>"MCDANIEL MAGGIE FEE 1/2  &amp; LE 1/2"</f>
        <v>MCDANIEL MAGGIE FEE 1/2  &amp; LE 1/2</v>
      </c>
      <c r="C8178" s="1" t="str">
        <f>"CENTRAL AVE URBANCREST 57 BLK 13 "</f>
        <v xml:space="preserve">CENTRAL AVE URBANCREST 57 BLK 13 </v>
      </c>
      <c r="D8178" s="1">
        <v>31.17</v>
      </c>
    </row>
    <row r="8179" spans="1:4" x14ac:dyDescent="0.3">
      <c r="A8179" s="1" t="str">
        <f>"08000194000"</f>
        <v>08000194000</v>
      </c>
      <c r="B8179" s="1" t="str">
        <f>"MCDANIEL MARK A"</f>
        <v>MCDANIEL MARK A</v>
      </c>
      <c r="C8179" s="1" t="str">
        <f>"PARK ST SHIRMEYERS AMD 24"</f>
        <v>PARK ST SHIRMEYERS AMD 24</v>
      </c>
      <c r="D8179" s="1">
        <v>216.22</v>
      </c>
    </row>
    <row r="8180" spans="1:4" x14ac:dyDescent="0.3">
      <c r="A8180" s="1" t="str">
        <f>"01005950400"</f>
        <v>01005950400</v>
      </c>
      <c r="B8180" s="1" t="str">
        <f>"MCDANIEL SHERRI"</f>
        <v>MCDANIEL SHERRI</v>
      </c>
      <c r="C8180" s="1" t="str">
        <f>"1456 MINNESOTA LINDEN LOT 562-3"</f>
        <v>1456 MINNESOTA LINDEN LOT 562-3</v>
      </c>
      <c r="D8180" s="1">
        <v>2424.09</v>
      </c>
    </row>
    <row r="8181" spans="1:4" x14ac:dyDescent="0.3">
      <c r="A8181" s="1" t="str">
        <f>"24000294600"</f>
        <v>24000294600</v>
      </c>
      <c r="B8181" s="1" t="str">
        <f>"MCDANNALD GARY E, MCDANNALD BEATRICE K"</f>
        <v>MCDANNALD GARY E, MCDANNALD BEATRICE K</v>
      </c>
      <c r="C8181" s="1" t="str">
        <f>"GREENER AVE GARDEN HEIGHTS 98 "</f>
        <v xml:space="preserve">GREENER AVE GARDEN HEIGHTS 98 </v>
      </c>
      <c r="D8181" s="1">
        <v>294.62</v>
      </c>
    </row>
    <row r="8182" spans="1:4" x14ac:dyDescent="0.3">
      <c r="A8182" s="1" t="str">
        <f>"56018436800"</f>
        <v>56018436800</v>
      </c>
      <c r="B8182" s="1" t="str">
        <f>"MCDERMOTT LORI A, JOHNSON PATRICK L"</f>
        <v>MCDERMOTT LORI A, JOHNSON PATRICK L</v>
      </c>
      <c r="C8182" s="1" t="str">
        <f>"KILKENNY DR THE GLEN NO 4 LOT 299"</f>
        <v>KILKENNY DR THE GLEN NO 4 LOT 299</v>
      </c>
      <c r="D8182" s="1">
        <v>298.69</v>
      </c>
    </row>
    <row r="8183" spans="1:4" x14ac:dyDescent="0.3">
      <c r="A8183" s="1" t="str">
        <f>"05000260400"</f>
        <v>05000260400</v>
      </c>
      <c r="B8183" s="1" t="str">
        <f>"MCDONAGH KEVIN"</f>
        <v>MCDONAGH KEVIN</v>
      </c>
      <c r="C8183" s="1" t="str">
        <f>"4477 DARLEY COURT BEACON 2ND LOT 175"</f>
        <v>4477 DARLEY COURT BEACON 2ND LOT 175</v>
      </c>
      <c r="D8183" s="1">
        <v>2635.99</v>
      </c>
    </row>
    <row r="8184" spans="1:4" x14ac:dyDescent="0.3">
      <c r="A8184" s="1" t="str">
        <f>"01000876400"</f>
        <v>01000876400</v>
      </c>
      <c r="B8184" s="1" t="str">
        <f>"MCDONALD DOUGLAS SR"</f>
        <v>MCDONALD DOUGLAS SR</v>
      </c>
      <c r="C8184" s="1" t="str">
        <f>"2258 DARTMOUTH AVE HAYDENS PARK PLACE LOT 66"</f>
        <v>2258 DARTMOUTH AVE HAYDENS PARK PLACE LOT 66</v>
      </c>
      <c r="D8184" s="1">
        <v>393.98</v>
      </c>
    </row>
    <row r="8185" spans="1:4" x14ac:dyDescent="0.3">
      <c r="A8185" s="1" t="str">
        <f>"02000327500"</f>
        <v>02000327500</v>
      </c>
      <c r="B8185" s="1" t="str">
        <f>"MCDONALD EDDLEMAN LISA, EDDLEMAN WILLIAM CHRISTIAN"</f>
        <v>MCDONALD EDDLEMAN LISA, EDDLEMAN WILLIAM CHRISTIAN</v>
      </c>
      <c r="C8185" s="1" t="str">
        <f>"120 N MERKLE RD J L DAVIS 1ST LOT 39"</f>
        <v>120 N MERKLE RD J L DAVIS 1ST LOT 39</v>
      </c>
      <c r="D8185" s="1">
        <v>4606.7700000000004</v>
      </c>
    </row>
    <row r="8186" spans="1:4" x14ac:dyDescent="0.3">
      <c r="A8186" s="1" t="str">
        <f>"06000843400"</f>
        <v>06000843400</v>
      </c>
      <c r="B8186" s="1" t="str">
        <f>"MCDONALD IRMGARD E"</f>
        <v>MCDONALD IRMGARD E</v>
      </c>
      <c r="C8186" s="1" t="str">
        <f>"FARMINGTON MEADOWS CONDOMINIUM 5TH AMD BLDG 18 UNIT 7869"</f>
        <v>FARMINGTON MEADOWS CONDOMINIUM 5TH AMD BLDG 18 UNIT 7869</v>
      </c>
      <c r="D8186" s="1">
        <v>144.63</v>
      </c>
    </row>
    <row r="8187" spans="1:4" x14ac:dyDescent="0.3">
      <c r="A8187" s="1" t="str">
        <f>"07001060000"</f>
        <v>07001060000</v>
      </c>
      <c r="B8187" s="1" t="str">
        <f>"MCDONALD JANICE S TTEE"</f>
        <v>MCDONALD JANICE S TTEE</v>
      </c>
      <c r="C8187" s="1" t="str">
        <f>"1925 SEAFORD CT HASTINGS PLACE LOT 42"</f>
        <v>1925 SEAFORD CT HASTINGS PLACE LOT 42</v>
      </c>
      <c r="D8187" s="1">
        <v>696.49</v>
      </c>
    </row>
    <row r="8188" spans="1:4" x14ac:dyDescent="0.3">
      <c r="A8188" s="1" t="str">
        <f>"27300111700"</f>
        <v>27300111700</v>
      </c>
      <c r="B8188" s="1" t="str">
        <f>"MCDONALD SUSAN E"</f>
        <v>MCDONALD SUSAN E</v>
      </c>
      <c r="C8188" s="1" t="str">
        <f>"7091 OLD PROSE CT HEMINGWAY VILLAGE 1 LOT 44"</f>
        <v>7091 OLD PROSE CT HEMINGWAY VILLAGE 1 LOT 44</v>
      </c>
      <c r="D8188" s="1">
        <v>475.89</v>
      </c>
    </row>
    <row r="8189" spans="1:4" x14ac:dyDescent="0.3">
      <c r="A8189" s="1" t="str">
        <f>"01008132300"</f>
        <v>01008132300</v>
      </c>
      <c r="B8189" s="1" t="str">
        <f>"MCDONALD THOMAS W"</f>
        <v>MCDONALD THOMAS W</v>
      </c>
      <c r="C8189" s="1" t="str">
        <f>"DRESDEN ST KENMORE LOT 161"</f>
        <v>DRESDEN ST KENMORE LOT 161</v>
      </c>
      <c r="D8189" s="1">
        <v>916.12</v>
      </c>
    </row>
    <row r="8190" spans="1:4" x14ac:dyDescent="0.3">
      <c r="A8190" s="1" t="str">
        <f>"01012551400"</f>
        <v>01012551400</v>
      </c>
      <c r="B8190" s="1" t="str">
        <f>"MCDONNELL MARK ALAN TTEE"</f>
        <v>MCDONNELL MARK ALAN TTEE</v>
      </c>
      <c r="C8190" s="1" t="str">
        <f>"FORESTVIEW DR LAUREL CANYON LOT 29"</f>
        <v>FORESTVIEW DR LAUREL CANYON LOT 29</v>
      </c>
      <c r="D8190" s="1">
        <v>8388.07</v>
      </c>
    </row>
    <row r="8191" spans="1:4" x14ac:dyDescent="0.3">
      <c r="A8191" s="1" t="str">
        <f>"01000627900"</f>
        <v>01000627900</v>
      </c>
      <c r="B8191" s="1" t="str">
        <f>"MCDOUGALD BRADLEY S"</f>
        <v>MCDOUGALD BRADLEY S</v>
      </c>
      <c r="C8191" s="1" t="str">
        <f>"863 3RD AVE BIDLEMAN LOT 237"</f>
        <v>863 3RD AVE BIDLEMAN LOT 237</v>
      </c>
      <c r="D8191" s="1">
        <v>2918.08</v>
      </c>
    </row>
    <row r="8192" spans="1:4" x14ac:dyDescent="0.3">
      <c r="A8192" s="1" t="str">
        <f>"01007388200"</f>
        <v>01007388200</v>
      </c>
      <c r="B8192" s="1" t="str">
        <f>"MCDOUGALD WALLACE III"</f>
        <v>MCDOUGALD WALLACE III</v>
      </c>
      <c r="C8192" s="1" t="str">
        <f>"HOMECROFT DRIVE HOMECROFT LOT 143"</f>
        <v>HOMECROFT DRIVE HOMECROFT LOT 143</v>
      </c>
      <c r="D8192" s="1">
        <v>1833.72</v>
      </c>
    </row>
    <row r="8193" spans="1:4" x14ac:dyDescent="0.3">
      <c r="A8193" s="1" t="str">
        <f>"51524193800"</f>
        <v>51524193800</v>
      </c>
      <c r="B8193" s="1" t="str">
        <f>"MCDOW HAROLD, MCDOW KAREN E"</f>
        <v>MCDOW HAROLD, MCDOW KAREN E</v>
      </c>
      <c r="C8193" s="1" t="str">
        <f>"MARCUM ROAD WOODS AT JEFFERSON SECTION 5 LOT 316"</f>
        <v>MARCUM ROAD WOODS AT JEFFERSON SECTION 5 LOT 316</v>
      </c>
      <c r="D8193" s="1">
        <v>2985.87</v>
      </c>
    </row>
    <row r="8194" spans="1:4" x14ac:dyDescent="0.3">
      <c r="A8194" s="1" t="str">
        <f>"14000014100"</f>
        <v>14000014100</v>
      </c>
      <c r="B8194" s="1" t="str">
        <f>"MCDOWELL PAUL TTEE"</f>
        <v>MCDOWELL PAUL TTEE</v>
      </c>
      <c r="C8194" s="1" t="str">
        <f>"2853 CLIME RD PIKE ACRES 0.761 ACRES"</f>
        <v>2853 CLIME RD PIKE ACRES 0.761 ACRES</v>
      </c>
      <c r="D8194" s="1">
        <v>149.72999999999999</v>
      </c>
    </row>
    <row r="8195" spans="1:4" x14ac:dyDescent="0.3">
      <c r="A8195" s="1" t="str">
        <f>"01014030500"</f>
        <v>01014030500</v>
      </c>
      <c r="B8195" s="1" t="str">
        <f>"MCDOWELL RAY A, MCDOWELL BARBARA R"</f>
        <v>MCDOWELL RAY A, MCDOWELL BARBARA R</v>
      </c>
      <c r="C8195" s="1" t="str">
        <f>"1082 SEDGWICK CT INDIAN HILLS 4 LOT 219"</f>
        <v>1082 SEDGWICK CT INDIAN HILLS 4 LOT 219</v>
      </c>
      <c r="D8195" s="1">
        <v>6671.68</v>
      </c>
    </row>
    <row r="8196" spans="1:4" x14ac:dyDescent="0.3">
      <c r="A8196" s="1" t="str">
        <f>"01001932800"</f>
        <v>01001932800</v>
      </c>
      <c r="B8196" s="1" t="str">
        <f>"MCELROY DEMETERIOUS A, MCELROY TERRANCE D"</f>
        <v>MCELROY DEMETERIOUS A, MCELROY TERRANCE D</v>
      </c>
      <c r="C8196" s="1" t="str">
        <f>"436 S WARREN AVE WICKLOW LOT 348"</f>
        <v>436 S WARREN AVE WICKLOW LOT 348</v>
      </c>
      <c r="D8196" s="1">
        <v>1761.1</v>
      </c>
    </row>
    <row r="8197" spans="1:4" x14ac:dyDescent="0.3">
      <c r="A8197" s="1" t="str">
        <f>"01013736400"</f>
        <v>01013736400</v>
      </c>
      <c r="B8197" s="1" t="str">
        <f>"MCELROY JIMMIE, MCELROY GWENDOLYN H"</f>
        <v>MCELROY JIMMIE, MCELROY GWENDOLYN H</v>
      </c>
      <c r="C8197" s="1" t="str">
        <f>"ROBERTS PLACE INNIS GARDENS 4 LOT 2L"</f>
        <v>ROBERTS PLACE INNIS GARDENS 4 LOT 2L</v>
      </c>
      <c r="D8197" s="1">
        <v>1081.53</v>
      </c>
    </row>
    <row r="8198" spans="1:4" x14ac:dyDescent="0.3">
      <c r="A8198" s="1" t="str">
        <f>"01016899100"</f>
        <v>01016899100</v>
      </c>
      <c r="B8198" s="1" t="str">
        <f>"MCENDREE SCOTT A, MCENDREE LEAHA K"</f>
        <v>MCENDREE SCOTT A, MCENDREE LEAHA K</v>
      </c>
      <c r="C8198" s="1" t="str">
        <f>"KRISTIN CT NORTHEAST ESTATES LOT 20"</f>
        <v>KRISTIN CT NORTHEAST ESTATES LOT 20</v>
      </c>
      <c r="D8198" s="1">
        <v>197.11</v>
      </c>
    </row>
    <row r="8199" spans="1:4" x14ac:dyDescent="0.3">
      <c r="A8199" s="1" t="str">
        <f>"01016897300"</f>
        <v>01016897300</v>
      </c>
      <c r="B8199" s="1" t="str">
        <f>"MCENDREE SCOTT, MCENDREE LEAHA K"</f>
        <v>MCENDREE SCOTT, MCENDREE LEAHA K</v>
      </c>
      <c r="C8199" s="1" t="str">
        <f>"KRISTIN CT NORTHEAST ESTATES LOT 2"</f>
        <v>KRISTIN CT NORTHEAST ESTATES LOT 2</v>
      </c>
      <c r="D8199" s="1">
        <v>183.05</v>
      </c>
    </row>
    <row r="8200" spans="1:4" x14ac:dyDescent="0.3">
      <c r="A8200" s="1" t="str">
        <f>"27300651000"</f>
        <v>27300651000</v>
      </c>
      <c r="B8200" s="1" t="str">
        <f>"MCFADDEN GREG J, MCFADDEN PAMELA M"</f>
        <v>MCFADDEN GREG J, MCFADDEN PAMELA M</v>
      </c>
      <c r="C8200" s="1" t="str">
        <f>"0000 CLEARFIELD LN BRIGHTON PARK LOT 69"</f>
        <v>0000 CLEARFIELD LN BRIGHTON PARK LOT 69</v>
      </c>
      <c r="D8200" s="1">
        <v>438.15</v>
      </c>
    </row>
    <row r="8201" spans="1:4" x14ac:dyDescent="0.3">
      <c r="A8201" s="1" t="str">
        <f>"01010416200"</f>
        <v>01010416200</v>
      </c>
      <c r="B8201" s="1" t="str">
        <f>"MCFADDEN JUANITA"</f>
        <v>MCFADDEN JUANITA</v>
      </c>
      <c r="C8201" s="1" t="str">
        <f>"JENNINGS AVE LOCKBOURNE AVE LOT 65-66-67"</f>
        <v>JENNINGS AVE LOCKBOURNE AVE LOT 65-66-67</v>
      </c>
      <c r="D8201" s="1">
        <v>404.31</v>
      </c>
    </row>
    <row r="8202" spans="1:4" x14ac:dyDescent="0.3">
      <c r="A8202" s="1" t="str">
        <f>"14000572800"</f>
        <v>14000572800</v>
      </c>
      <c r="B8202" s="1" t="str">
        <f>"MCFARLAND JENNIFER L"</f>
        <v>MCFARLAND JENNIFER L</v>
      </c>
      <c r="C8202" s="1" t="str">
        <f>"1749 S EASTBROOK DR WESTBROOK LOT 128 "</f>
        <v xml:space="preserve">1749 S EASTBROOK DR WESTBROOK LOT 128 </v>
      </c>
      <c r="D8202" s="1">
        <v>667.37</v>
      </c>
    </row>
    <row r="8203" spans="1:4" x14ac:dyDescent="0.3">
      <c r="A8203" s="1" t="str">
        <f>"18500016800"</f>
        <v>18500016800</v>
      </c>
      <c r="B8203" s="1" t="str">
        <f>"MCGANN STEVEN C, MCGANN LISA M"</f>
        <v>MCGANN STEVEN C, MCGANN LISA M</v>
      </c>
      <c r="C8203" s="1" t="str">
        <f>"MAIN ST RAREYS 6  "</f>
        <v xml:space="preserve">MAIN ST RAREYS 6  </v>
      </c>
      <c r="D8203" s="1">
        <v>4437.76</v>
      </c>
    </row>
    <row r="8204" spans="1:4" x14ac:dyDescent="0.3">
      <c r="A8204" s="1" t="str">
        <f>"04000485800"</f>
        <v>04000485800</v>
      </c>
      <c r="B8204" s="1" t="str">
        <f>"MCGATH HAZEL L"</f>
        <v>MCGATH HAZEL L</v>
      </c>
      <c r="C8204" s="1" t="str">
        <f>"3845 QUEEN ANNE PL CONDOMINIUM UNIT B31 AUBURN VILLAGE"</f>
        <v>3845 QUEEN ANNE PL CONDOMINIUM UNIT B31 AUBURN VILLAGE</v>
      </c>
      <c r="D8204" s="1">
        <v>2479.9499999999998</v>
      </c>
    </row>
    <row r="8205" spans="1:4" x14ac:dyDescent="0.3">
      <c r="A8205" s="1" t="str">
        <f>"01007574400"</f>
        <v>01007574400</v>
      </c>
      <c r="B8205" s="1" t="str">
        <f>"MCGEE FRANK H, MCGEE CHRISTINE C"</f>
        <v>MCGEE FRANK H, MCGEE CHRISTINE C</v>
      </c>
      <c r="C8205" s="1" t="str">
        <f>"WEBER RD SUNNYSIDE LOT 465"</f>
        <v>WEBER RD SUNNYSIDE LOT 465</v>
      </c>
      <c r="D8205" s="1">
        <v>2843.93</v>
      </c>
    </row>
    <row r="8206" spans="1:4" x14ac:dyDescent="0.3">
      <c r="A8206" s="1" t="str">
        <f>"01010299200"</f>
        <v>01010299200</v>
      </c>
      <c r="B8206" s="1" t="str">
        <f>"MCGEE JUDY C"</f>
        <v>MCGEE JUDY C</v>
      </c>
      <c r="C8206" s="1" t="str">
        <f>"TONI ST WOODLAND TERR LOT 38"</f>
        <v>TONI ST WOODLAND TERR LOT 38</v>
      </c>
      <c r="D8206" s="1">
        <v>76.88</v>
      </c>
    </row>
    <row r="8207" spans="1:4" x14ac:dyDescent="0.3">
      <c r="A8207" s="1" t="str">
        <f>"53011185600"</f>
        <v>53011185600</v>
      </c>
      <c r="B8207" s="1" t="str">
        <f>"MCGEE SADIE R"</f>
        <v>MCGEE SADIE R</v>
      </c>
      <c r="C8207" s="1" t="str">
        <f>"2272 WILLIAMS RD R22 T4 S12 0.3595 ACRE"</f>
        <v>2272 WILLIAMS RD R22 T4 S12 0.3595 ACRE</v>
      </c>
      <c r="D8207" s="1">
        <v>2701.55</v>
      </c>
    </row>
    <row r="8208" spans="1:4" x14ac:dyDescent="0.3">
      <c r="A8208" s="1" t="str">
        <f>"10000018000"</f>
        <v>10000018000</v>
      </c>
      <c r="B8208" s="1" t="str">
        <f>"MCGILL WILLIAM B, MCGILL MICHAELYNN K"</f>
        <v>MCGILL WILLIAM B, MCGILL MICHAELYNN K</v>
      </c>
      <c r="C8208" s="1" t="str">
        <f>"112 CLEARVIEW AVE CLEARVEIW LOT 16 &amp; 5'WS LOT 15"</f>
        <v>112 CLEARVIEW AVE CLEARVEIW LOT 16 &amp; 5'WS LOT 15</v>
      </c>
      <c r="D8208" s="1">
        <v>1363.46</v>
      </c>
    </row>
    <row r="8209" spans="1:4" x14ac:dyDescent="0.3">
      <c r="A8209" s="1" t="str">
        <f>"04000265500"</f>
        <v>04000265500</v>
      </c>
      <c r="B8209" s="1" t="str">
        <f>"MCGINNIS BILLIE L"</f>
        <v>MCGINNIS BILLIE L</v>
      </c>
      <c r="C8209" s="1" t="str">
        <f>"2868 DENNIS AVENUE JACKSON HOMES SEC 2 LOT 75"</f>
        <v>2868 DENNIS AVENUE JACKSON HOMES SEC 2 LOT 75</v>
      </c>
      <c r="D8209" s="1">
        <v>162.01</v>
      </c>
    </row>
    <row r="8210" spans="1:4" x14ac:dyDescent="0.3">
      <c r="A8210" s="1" t="str">
        <f>"01027993100"</f>
        <v>01027993100</v>
      </c>
      <c r="B8210" s="1" t="str">
        <f>"MCGINNIS KATI"</f>
        <v>MCGINNIS KATI</v>
      </c>
      <c r="C8210" s="1" t="str">
        <f>"THE SUNSET VILLAGE CONDOMINIUM UNIT 3029"</f>
        <v>THE SUNSET VILLAGE CONDOMINIUM UNIT 3029</v>
      </c>
      <c r="D8210" s="1">
        <v>129.68</v>
      </c>
    </row>
    <row r="8211" spans="1:4" x14ac:dyDescent="0.3">
      <c r="A8211" s="1" t="str">
        <f>"01007500300"</f>
        <v>01007500300</v>
      </c>
      <c r="B8211" s="1" t="str">
        <f>"MCGINNIS KEVIN D"</f>
        <v>MCGINNIS KEVIN D</v>
      </c>
      <c r="C8211" s="1" t="str">
        <f>"MCGUFFY RD GRASMERE GARDENS LOT 240"</f>
        <v>MCGUFFY RD GRASMERE GARDENS LOT 240</v>
      </c>
      <c r="D8211" s="1">
        <v>1923.87</v>
      </c>
    </row>
    <row r="8212" spans="1:4" x14ac:dyDescent="0.3">
      <c r="A8212" s="1" t="str">
        <f>"01007500200"</f>
        <v>01007500200</v>
      </c>
      <c r="B8212" s="1" t="str">
        <f>"MCGINNIS KEVIN D"</f>
        <v>MCGINNIS KEVIN D</v>
      </c>
      <c r="C8212" s="1" t="str">
        <f>"MC GUFFEY RD GRASMERE GARDENS LOT 239"</f>
        <v>MC GUFFEY RD GRASMERE GARDENS LOT 239</v>
      </c>
      <c r="D8212" s="1">
        <v>291.39999999999998</v>
      </c>
    </row>
    <row r="8213" spans="1:4" x14ac:dyDescent="0.3">
      <c r="A8213" s="1" t="str">
        <f>"01013073000"</f>
        <v>01013073000</v>
      </c>
      <c r="B8213" s="1" t="str">
        <f>"MCGIRTY THOMAS R, MCGIRTY KAREN M"</f>
        <v>MCGIRTY THOMAS R, MCGIRTY KAREN M</v>
      </c>
      <c r="C8213" s="1" t="str">
        <f>"1009 KENDALE RD N KENDALE SEC 1 LOT 28"</f>
        <v>1009 KENDALE RD N KENDALE SEC 1 LOT 28</v>
      </c>
      <c r="D8213" s="1">
        <v>286.39</v>
      </c>
    </row>
    <row r="8214" spans="1:4" x14ac:dyDescent="0.3">
      <c r="A8214" s="1" t="str">
        <f>"01013259100"</f>
        <v>01013259100</v>
      </c>
      <c r="B8214" s="1" t="str">
        <f>"MCGLONE PAMELA D TR"</f>
        <v>MCGLONE PAMELA D TR</v>
      </c>
      <c r="C8214" s="1" t="str">
        <f>"FAHLANDER DR N WOODWARD PK LOT 189"</f>
        <v>FAHLANDER DR N WOODWARD PK LOT 189</v>
      </c>
      <c r="D8214" s="1">
        <v>4351.58</v>
      </c>
    </row>
    <row r="8215" spans="1:4" x14ac:dyDescent="0.3">
      <c r="A8215" s="1" t="str">
        <f>"01014889100"</f>
        <v>01014889100</v>
      </c>
      <c r="B8215" s="1" t="str">
        <f>"MCGLONE PATRICIA L"</f>
        <v>MCGLONE PATRICIA L</v>
      </c>
      <c r="C8215" s="1" t="str">
        <f>"4767 WIDNER COURT KNOLLS WEST SEC 4 LOT 175"</f>
        <v>4767 WIDNER COURT KNOLLS WEST SEC 4 LOT 175</v>
      </c>
      <c r="D8215" s="1">
        <v>252.44</v>
      </c>
    </row>
    <row r="8216" spans="1:4" x14ac:dyDescent="0.3">
      <c r="A8216" s="1" t="str">
        <f>"57016019300"</f>
        <v>57016019300</v>
      </c>
      <c r="B8216" s="1" t="str">
        <f>"MCGONIGLE KEITH, MCGONIGLE JACE"</f>
        <v>MCGONIGLE KEITH, MCGONIGLE JACE</v>
      </c>
      <c r="C8216" s="1" t="str">
        <f>"STONINGTON AVE STONERIDGE 1 LOT 125"</f>
        <v>STONINGTON AVE STONERIDGE 1 LOT 125</v>
      </c>
      <c r="D8216" s="1">
        <v>113.92</v>
      </c>
    </row>
    <row r="8217" spans="1:4" x14ac:dyDescent="0.3">
      <c r="A8217" s="1" t="str">
        <f>"24000470300"</f>
        <v>24000470300</v>
      </c>
      <c r="B8217" s="1" t="str">
        <f>"MCGRANER PAMELA S"</f>
        <v>MCGRANER PAMELA S</v>
      </c>
      <c r="C8217" s="1" t="str">
        <f>"LOMBARD RD LINCOLN VILLAGE SO 540"</f>
        <v>LOMBARD RD LINCOLN VILLAGE SO 540</v>
      </c>
      <c r="D8217" s="1">
        <v>1595.25</v>
      </c>
    </row>
    <row r="8218" spans="1:4" x14ac:dyDescent="0.3">
      <c r="A8218" s="1" t="str">
        <f>"01002842700"</f>
        <v>01002842700</v>
      </c>
      <c r="B8218" s="1" t="str">
        <f>"MCGRAPTH ANTHONY P, GLENN-MCGRAPTH DAWN DEFAYE"</f>
        <v>MCGRAPTH ANTHONY P, GLENN-MCGRAPTH DAWN DEFAYE</v>
      </c>
      <c r="C8218" s="1" t="str">
        <f>"521 STEWART AVE           DAVIES                    LOT 8                    "</f>
        <v xml:space="preserve">521 STEWART AVE           DAVIES                    LOT 8                    </v>
      </c>
      <c r="D8218" s="1">
        <v>149.24</v>
      </c>
    </row>
    <row r="8219" spans="1:4" x14ac:dyDescent="0.3">
      <c r="A8219" s="1" t="str">
        <f>"59023104000"</f>
        <v>59023104000</v>
      </c>
      <c r="B8219" s="1" t="str">
        <f>"MCGRATH BETTY"</f>
        <v>MCGRATH BETTY</v>
      </c>
      <c r="C8219" s="1" t="str">
        <f>"TIMBERS EDGE CONDOMINIUM 1ST AMD BLDG 11 UNIT 2506"</f>
        <v>TIMBERS EDGE CONDOMINIUM 1ST AMD BLDG 11 UNIT 2506</v>
      </c>
      <c r="D8219" s="1">
        <v>2307.31</v>
      </c>
    </row>
    <row r="8220" spans="1:4" x14ac:dyDescent="0.3">
      <c r="A8220" s="1" t="str">
        <f>"57016310100"</f>
        <v>57016310100</v>
      </c>
      <c r="B8220" s="1" t="str">
        <f>"MCGRAW AMY"</f>
        <v>MCGRAW AMY</v>
      </c>
      <c r="C8220" s="1" t="str">
        <f>"GLENMATE COURT GLENCREEK SUBDIVISON LOT 63"</f>
        <v>GLENMATE COURT GLENCREEK SUBDIVISON LOT 63</v>
      </c>
      <c r="D8220" s="1">
        <v>2969.72</v>
      </c>
    </row>
    <row r="8221" spans="1:4" x14ac:dyDescent="0.3">
      <c r="A8221" s="1" t="str">
        <f>"24100029300"</f>
        <v>24100029300</v>
      </c>
      <c r="B8221" s="1" t="str">
        <f>"MCGRAW BILLY R, MCGRAW SUZANNE"</f>
        <v>MCGRAW BILLY R, MCGRAW SUZANNE</v>
      </c>
      <c r="C8221" s="1" t="str">
        <f>"LAKEFIELD DRIVE LAKE DARBY ESTATES 2 LOT 359"</f>
        <v>LAKEFIELD DRIVE LAKE DARBY ESTATES 2 LOT 359</v>
      </c>
      <c r="D8221" s="1">
        <v>3154.13</v>
      </c>
    </row>
    <row r="8222" spans="1:4" x14ac:dyDescent="0.3">
      <c r="A8222" s="1" t="str">
        <f>"01016118400"</f>
        <v>01016118400</v>
      </c>
      <c r="B8222" s="1" t="str">
        <f>"MCGUIRE JOHN, MCGUIRE LISA"</f>
        <v>MCGUIRE JOHN, MCGUIRE LISA</v>
      </c>
      <c r="C8222" s="1" t="str">
        <f>"WOODBROOK LANE WOODBROOK VILLAGE CONDO UNIT 218"</f>
        <v>WOODBROOK LANE WOODBROOK VILLAGE CONDO UNIT 218</v>
      </c>
      <c r="D8222" s="1">
        <v>767.51</v>
      </c>
    </row>
    <row r="8223" spans="1:4" x14ac:dyDescent="0.3">
      <c r="A8223" s="1" t="str">
        <f>"01011296200"</f>
        <v>01011296200</v>
      </c>
      <c r="B8223" s="1" t="str">
        <f>"MCGUIRE LISA"</f>
        <v>MCGUIRE LISA</v>
      </c>
      <c r="C8223" s="1" t="str">
        <f>"2416 S HIGH ST SOUTH HIGH ST LOT 4"</f>
        <v>2416 S HIGH ST SOUTH HIGH ST LOT 4</v>
      </c>
      <c r="D8223" s="1">
        <v>1388.59</v>
      </c>
    </row>
    <row r="8224" spans="1:4" x14ac:dyDescent="0.3">
      <c r="A8224" s="1" t="str">
        <f>"53016895500"</f>
        <v>53016895500</v>
      </c>
      <c r="B8224" s="1" t="str">
        <f>"MCGUIRE RANDY E"</f>
        <v>MCGUIRE RANDY E</v>
      </c>
      <c r="C8224" s="1" t="str">
        <f>"BARLEY CIRCLE MADISON MILLS LOT 34"</f>
        <v>BARLEY CIRCLE MADISON MILLS LOT 34</v>
      </c>
      <c r="D8224" s="1">
        <v>1605.17</v>
      </c>
    </row>
    <row r="8225" spans="1:4" x14ac:dyDescent="0.3">
      <c r="A8225" s="1" t="str">
        <f>"01013114000"</f>
        <v>01013114000</v>
      </c>
      <c r="B8225" s="1" t="str">
        <f>"MCGUIRE RONALD J TR, MCGUIRE JUDITH B TR"</f>
        <v>MCGUIRE RONALD J TR, MCGUIRE JUDITH B TR</v>
      </c>
      <c r="C8225" s="1" t="str">
        <f>"RUDY RD THE KNOLLS SEC 2 LOT 58"</f>
        <v>RUDY RD THE KNOLLS SEC 2 LOT 58</v>
      </c>
      <c r="D8225" s="1">
        <v>3043.52</v>
      </c>
    </row>
    <row r="8226" spans="1:4" x14ac:dyDescent="0.3">
      <c r="A8226" s="1" t="str">
        <f>"01009120100"</f>
        <v>01009120100</v>
      </c>
      <c r="B8226" s="1" t="str">
        <f>"MCGUIRE WILLIAM E"</f>
        <v>MCGUIRE WILLIAM E</v>
      </c>
      <c r="C8226" s="1" t="str">
        <f>"S EVERETT AVE CRESCENT HTS LOT 113-114"</f>
        <v>S EVERETT AVE CRESCENT HTS LOT 113-114</v>
      </c>
      <c r="D8226" s="1">
        <v>49.93</v>
      </c>
    </row>
    <row r="8227" spans="1:4" x14ac:dyDescent="0.3">
      <c r="A8227" s="1" t="str">
        <f>"57019386400"</f>
        <v>57019386400</v>
      </c>
      <c r="B8227" s="1" t="str">
        <f>"MCHENRY CAMERON"</f>
        <v>MCHENRY CAMERON</v>
      </c>
      <c r="C8227" s="1" t="str">
        <f>"BROWN RD ENTRY 4641 1.783 ACRE"</f>
        <v>BROWN RD ENTRY 4641 1.783 ACRE</v>
      </c>
      <c r="D8227" s="1">
        <v>5528.96</v>
      </c>
    </row>
    <row r="8228" spans="1:4" x14ac:dyDescent="0.3">
      <c r="A8228" s="1" t="str">
        <f>"01003738100"</f>
        <v>01003738100</v>
      </c>
      <c r="B8228" s="1" t="str">
        <f>"MCHUGH EUGENE J, HOFF BECKY A"</f>
        <v>MCHUGH EUGENE J, HOFF BECKY A</v>
      </c>
      <c r="C8228" s="1" t="str">
        <f>"795 PARK STREET           HUTCHESON                 PT LOTS 22-23            "</f>
        <v xml:space="preserve">795 PARK STREET           HUTCHESON                 PT LOTS 22-23            </v>
      </c>
      <c r="D8228" s="1">
        <v>453</v>
      </c>
    </row>
    <row r="8229" spans="1:4" x14ac:dyDescent="0.3">
      <c r="A8229" s="1" t="str">
        <f>"03000223100"</f>
        <v>03000223100</v>
      </c>
      <c r="B8229" s="1" t="str">
        <f>"MCHUGH EUGENE J, MCHUGH BECKY A"</f>
        <v>MCHUGH EUGENE J, MCHUGH BECKY A</v>
      </c>
      <c r="C8229" s="1" t="str">
        <f>"1112 ELMWOOD AVE 50 FT N S URLINS TERRACE L22"</f>
        <v>1112 ELMWOOD AVE 50 FT N S URLINS TERRACE L22</v>
      </c>
      <c r="D8229" s="1">
        <v>616.21</v>
      </c>
    </row>
    <row r="8230" spans="1:4" x14ac:dyDescent="0.3">
      <c r="A8230" s="1" t="str">
        <f>"18000499500"</f>
        <v>18000499500</v>
      </c>
      <c r="B8230" s="1" t="str">
        <f>"MCILRATH H DAVID TR, MESSICK CHRISTINE J TR"</f>
        <v>MCILRATH H DAVID TR, MESSICK CHRISTINE J TR</v>
      </c>
      <c r="C8230" s="1" t="str">
        <f>"7277 LITHOPOLIS RD R21 T11 S35-36 13.764 ACS  0.627 AC R/W)"</f>
        <v>7277 LITHOPOLIS RD R21 T11 S35-36 13.764 ACS  0.627 AC R/W)</v>
      </c>
      <c r="D8230" s="1">
        <v>55724.46</v>
      </c>
    </row>
    <row r="8231" spans="1:4" x14ac:dyDescent="0.3">
      <c r="A8231" s="1" t="str">
        <f>"18000538000"</f>
        <v>18000538000</v>
      </c>
      <c r="B8231" s="1" t="str">
        <f>"MCILRATH H DAVID TR, MESSICK CHRSITINE J TR"</f>
        <v>MCILRATH H DAVID TR, MESSICK CHRSITINE J TR</v>
      </c>
      <c r="C8231" s="1" t="str">
        <f>"LITHOPOLIS ROAD R21 T11 S36-35 3.000 ACRES"</f>
        <v>LITHOPOLIS ROAD R21 T11 S36-35 3.000 ACRES</v>
      </c>
      <c r="D8231" s="1">
        <v>9456.15</v>
      </c>
    </row>
    <row r="8232" spans="1:4" x14ac:dyDescent="0.3">
      <c r="A8232" s="1" t="str">
        <f>"01004400100"</f>
        <v>01004400100</v>
      </c>
      <c r="B8232" s="1" t="str">
        <f>"MCINTOSH IAN"</f>
        <v>MCINTOSH IAN</v>
      </c>
      <c r="C8232" s="1" t="str">
        <f>"206 N WARREN AVE HILL CREST LOT 152"</f>
        <v>206 N WARREN AVE HILL CREST LOT 152</v>
      </c>
      <c r="D8232" s="1">
        <v>2461.0100000000002</v>
      </c>
    </row>
    <row r="8233" spans="1:4" x14ac:dyDescent="0.3">
      <c r="A8233" s="1" t="str">
        <f>"23000083500"</f>
        <v>23000083500</v>
      </c>
      <c r="B8233" s="1" t="str">
        <f>"MCINTOSH JOHNNY R, MCINTOSH ANITA IRENE, CHESTNUT SCOTT BRANDON, CHESTNUT CAROLYNE FAYE"</f>
        <v>MCINTOSH JOHNNY R, MCINTOSH ANITA IRENE, CHESTNUT SCOTT BRANDON, CHESTNUT CAROLYNE FAYE</v>
      </c>
      <c r="C8233" s="1" t="str">
        <f>"LONDON-GROVEPORT RD 2.310 ACRES ENTRY978 "</f>
        <v xml:space="preserve">LONDON-GROVEPORT RD 2.310 ACRES ENTRY978 </v>
      </c>
      <c r="D8233" s="1">
        <v>751.13</v>
      </c>
    </row>
    <row r="8234" spans="1:4" x14ac:dyDescent="0.3">
      <c r="A8234" s="1" t="str">
        <f>"09000403300"</f>
        <v>09000403300</v>
      </c>
      <c r="B8234" s="1" t="str">
        <f>"MCINTYRE DAVID L"</f>
        <v>MCINTYRE DAVID L</v>
      </c>
      <c r="C8234" s="1" t="str">
        <f>"737 PIERCE AVE GLENCOE LOT 237 "</f>
        <v xml:space="preserve">737 PIERCE AVE GLENCOE LOT 237 </v>
      </c>
      <c r="D8234" s="1">
        <v>76.41</v>
      </c>
    </row>
    <row r="8235" spans="1:4" x14ac:dyDescent="0.3">
      <c r="A8235" s="1" t="str">
        <f>"01001409700"</f>
        <v>01001409700</v>
      </c>
      <c r="B8235" s="1" t="str">
        <f>"MCKAY RICHARD P, MCKAY JANE E"</f>
        <v>MCKAY RICHARD P, MCKAY JANE E</v>
      </c>
      <c r="C8235" s="1" t="str">
        <f>"1226 BRUCK ST KOONTZ &amp; DUSENBERRY PARCELS L 12-13-14"</f>
        <v>1226 BRUCK ST KOONTZ &amp; DUSENBERRY PARCELS L 12-13-14</v>
      </c>
      <c r="D8235" s="1">
        <v>180.41</v>
      </c>
    </row>
    <row r="8236" spans="1:4" x14ac:dyDescent="0.3">
      <c r="A8236" s="1" t="str">
        <f>"02500084700"</f>
        <v>02500084700</v>
      </c>
      <c r="B8236" s="1" t="str">
        <f>"MCKEAG ANNE RYTA TR, HOWLAND COLLEEN TR, MCKEAG RORY TR"</f>
        <v>MCKEAG ANNE RYTA TR, HOWLAND COLLEEN TR, MCKEAG RORY TR</v>
      </c>
      <c r="C8236" s="1" t="str">
        <f>"327 JOHNSTOWN RD R17 T1 1/4TWP4 "</f>
        <v xml:space="preserve">327 JOHNSTOWN RD R17 T1 1/4TWP4 </v>
      </c>
      <c r="D8236" s="1">
        <v>4232.59</v>
      </c>
    </row>
    <row r="8237" spans="1:4" x14ac:dyDescent="0.3">
      <c r="A8237" s="1" t="str">
        <f>"01004268600"</f>
        <v>01004268600</v>
      </c>
      <c r="B8237" s="1" t="str">
        <f>"MCKEE ANTHONY"</f>
        <v>MCKEE ANTHONY</v>
      </c>
      <c r="C8237" s="1" t="str">
        <f>"1533-35 RICH STREET L W ROSE PARCELS 60' WE LOT 23"</f>
        <v>1533-35 RICH STREET L W ROSE PARCELS 60' WE LOT 23</v>
      </c>
      <c r="D8237" s="1">
        <v>1898.98</v>
      </c>
    </row>
    <row r="8238" spans="1:4" x14ac:dyDescent="0.3">
      <c r="A8238" s="1" t="str">
        <f>"01001400500"</f>
        <v>01001400500</v>
      </c>
      <c r="B8238" s="1" t="str">
        <f>"MCKEE ANTHONY A"</f>
        <v>MCKEE ANTHONY A</v>
      </c>
      <c r="C8238" s="1" t="str">
        <f>"1616 E LIVINGSTON AV SEYMORE LOT 46"</f>
        <v>1616 E LIVINGSTON AV SEYMORE LOT 46</v>
      </c>
      <c r="D8238" s="1">
        <v>2317.84</v>
      </c>
    </row>
    <row r="8239" spans="1:4" x14ac:dyDescent="0.3">
      <c r="A8239" s="1" t="str">
        <f>"01021845600"</f>
        <v>01021845600</v>
      </c>
      <c r="B8239" s="1" t="str">
        <f>"MCKEE EDWARD E TTEE, MCKEE KENNETH A"</f>
        <v>MCKEE EDWARD E TTEE, MCKEE KENNETH A</v>
      </c>
      <c r="C8239" s="1" t="str">
        <f>"SHARON WOODS SENIOR VILLAGE CONDOMINIUM UNIT 218"</f>
        <v>SHARON WOODS SENIOR VILLAGE CONDOMINIUM UNIT 218</v>
      </c>
      <c r="D8239" s="1">
        <v>790.22</v>
      </c>
    </row>
    <row r="8240" spans="1:4" x14ac:dyDescent="0.3">
      <c r="A8240" s="1" t="str">
        <f>"17000156400"</f>
        <v>17000156400</v>
      </c>
      <c r="B8240" s="1" t="str">
        <f>"MCKENNEY DAVID E, MCKENNEY JANE K"</f>
        <v>MCKENNEY DAVID E, MCKENNEY JANE K</v>
      </c>
      <c r="C8240" s="1" t="str">
        <f>"6294 HAVENS CORNER R16 T1 1/4 T2 LOT 14 1.536 AC"</f>
        <v>6294 HAVENS CORNER R16 T1 1/4 T2 LOT 14 1.536 AC</v>
      </c>
      <c r="D8240" s="1">
        <v>3656.39</v>
      </c>
    </row>
    <row r="8241" spans="1:4" x14ac:dyDescent="0.3">
      <c r="A8241" s="1" t="str">
        <f>"01015284800"</f>
        <v>01015284800</v>
      </c>
      <c r="B8241" s="1" t="str">
        <f>"MCKENZIE BRUCE TODD"</f>
        <v>MCKENZIE BRUCE TODD</v>
      </c>
      <c r="C8241" s="1" t="str">
        <f>"SUMAC DR FOREST PARK E SEC 9 LOT 1354"</f>
        <v>SUMAC DR FOREST PARK E SEC 9 LOT 1354</v>
      </c>
      <c r="D8241" s="1">
        <v>878.84</v>
      </c>
    </row>
    <row r="8242" spans="1:4" x14ac:dyDescent="0.3">
      <c r="A8242" s="1" t="str">
        <f>"01003467500"</f>
        <v>01003467500</v>
      </c>
      <c r="B8242" s="1" t="str">
        <f>"MCKENZIE RAYMOND JR, HOMIER MATTHEW"</f>
        <v>MCKENZIE RAYMOND JR, HOMIER MATTHEW</v>
      </c>
      <c r="C8242" s="1" t="str">
        <f>"479-481 OAKWOOD AVE KINNEARS OAKWOOD LOT 7 &amp; PT LOT 8"</f>
        <v>479-481 OAKWOOD AVE KINNEARS OAKWOOD LOT 7 &amp; PT LOT 8</v>
      </c>
      <c r="D8242" s="1">
        <v>2271.5</v>
      </c>
    </row>
    <row r="8243" spans="1:4" x14ac:dyDescent="0.3">
      <c r="A8243" s="1" t="str">
        <f>"01010729600"</f>
        <v>01010729600</v>
      </c>
      <c r="B8243" s="1" t="str">
        <f>"MCKENZIE STANLEY K SR, MCKENZIE BRENDA"</f>
        <v>MCKENZIE STANLEY K SR, MCKENZIE BRENDA</v>
      </c>
      <c r="C8243" s="1" t="str">
        <f>"ROSWELL DR LIV-MOOR HOMES INC LOT 43"</f>
        <v>ROSWELL DR LIV-MOOR HOMES INC LOT 43</v>
      </c>
      <c r="D8243" s="1">
        <v>2094.98</v>
      </c>
    </row>
    <row r="8244" spans="1:4" x14ac:dyDescent="0.3">
      <c r="A8244" s="1" t="str">
        <f>"01004723500"</f>
        <v>01004723500</v>
      </c>
      <c r="B8244" s="1" t="str">
        <f>"MCKETHAN FREYA J, MCKETHAN II ZACHARY S"</f>
        <v>MCKETHAN FREYA J, MCKETHAN II ZACHARY S</v>
      </c>
      <c r="C8244" s="1" t="str">
        <f>"994 OLMSTEAD AVE THEO WEYANT LOT 91-2"</f>
        <v>994 OLMSTEAD AVE THEO WEYANT LOT 91-2</v>
      </c>
      <c r="D8244" s="1">
        <v>999.4</v>
      </c>
    </row>
    <row r="8245" spans="1:4" x14ac:dyDescent="0.3">
      <c r="A8245" s="1" t="str">
        <f>"60022982000"</f>
        <v>60022982000</v>
      </c>
      <c r="B8245" s="1" t="str">
        <f>"MCKIMMINS KEVIN, MCKIMMINS JESSICA"</f>
        <v>MCKIMMINS KEVIN, MCKIMMINS JESSICA</v>
      </c>
      <c r="C8245" s="1" t="str">
        <f>"4855 GLEN CABIN DR BLENDON GROVE CONDO BLDG 1 UNIT 4855"</f>
        <v>4855 GLEN CABIN DR BLENDON GROVE CONDO BLDG 1 UNIT 4855</v>
      </c>
      <c r="D8245" s="1">
        <v>175.59</v>
      </c>
    </row>
    <row r="8246" spans="1:4" x14ac:dyDescent="0.3">
      <c r="A8246" s="1" t="str">
        <f>"01001405400"</f>
        <v>01001405400</v>
      </c>
      <c r="B8246" s="1" t="str">
        <f>"MCKINLEY MICHAEL"</f>
        <v>MCKINLEY MICHAEL</v>
      </c>
      <c r="C8246" s="1" t="str">
        <f>"725 SEYMOUR AVE SEYMOUR AVE SUB LOT 30"</f>
        <v>725 SEYMOUR AVE SEYMOUR AVE SUB LOT 30</v>
      </c>
      <c r="D8246" s="1">
        <v>234.41</v>
      </c>
    </row>
    <row r="8247" spans="1:4" x14ac:dyDescent="0.3">
      <c r="A8247" s="1" t="str">
        <f>"06000511100"</f>
        <v>06000511100</v>
      </c>
      <c r="B8247" s="1" t="str">
        <f>"MCKINLEY RICHARD P, MCKINLEY PATRICIA A"</f>
        <v>MCKINLEY RICHARD P, MCKINLEY PATRICIA A</v>
      </c>
      <c r="C8247" s="1" t="str">
        <f>"BRIARCLIFF ROAD BRIARCLIFF NO 12 LOT 782"</f>
        <v>BRIARCLIFF ROAD BRIARCLIFF NO 12 LOT 782</v>
      </c>
      <c r="D8247" s="1">
        <v>563.16</v>
      </c>
    </row>
    <row r="8248" spans="1:4" x14ac:dyDescent="0.3">
      <c r="A8248" s="1" t="str">
        <f>"06000511200"</f>
        <v>06000511200</v>
      </c>
      <c r="B8248" s="1" t="str">
        <f>"MCKINLEY RICHARD P, MCKINLEY PATRICIA A"</f>
        <v>MCKINLEY RICHARD P, MCKINLEY PATRICIA A</v>
      </c>
      <c r="C8248" s="1" t="str">
        <f>"BRIARCLIFF ROAD BRIARCLIFF NO 12 LOT 783"</f>
        <v>BRIARCLIFF ROAD BRIARCLIFF NO 12 LOT 783</v>
      </c>
      <c r="D8248" s="1">
        <v>2623.24</v>
      </c>
    </row>
    <row r="8249" spans="1:4" x14ac:dyDescent="0.3">
      <c r="A8249" s="1" t="str">
        <f>"06000383000"</f>
        <v>06000383000</v>
      </c>
      <c r="B8249" s="1" t="str">
        <f>"MCKINLEY RICHARD P, MCKINLEY PATRICIA A"</f>
        <v>MCKINLEY RICHARD P, MCKINLEY PATRICIA A</v>
      </c>
      <c r="C8249" s="1" t="str">
        <f>"WHITE BUTTERFLY LANE BRIARCLIFF NO 12 PT LOT 786"</f>
        <v>WHITE BUTTERFLY LANE BRIARCLIFF NO 12 PT LOT 786</v>
      </c>
      <c r="D8249" s="1">
        <v>35.450000000000003</v>
      </c>
    </row>
    <row r="8250" spans="1:4" x14ac:dyDescent="0.3">
      <c r="A8250" s="1" t="str">
        <f>"01010037200"</f>
        <v>01010037200</v>
      </c>
      <c r="B8250" s="1" t="str">
        <f>"MCKINNEY ANNETTE F"</f>
        <v>MCKINNEY ANNETTE F</v>
      </c>
      <c r="C8250" s="1" t="str">
        <f>"THURSTON DR SHADY LANE PARK LOT 320"</f>
        <v>THURSTON DR SHADY LANE PARK LOT 320</v>
      </c>
      <c r="D8250" s="1">
        <v>3931.42</v>
      </c>
    </row>
    <row r="8251" spans="1:4" x14ac:dyDescent="0.3">
      <c r="A8251" s="1" t="str">
        <f>"01015677600"</f>
        <v>01015677600</v>
      </c>
      <c r="B8251" s="1" t="str">
        <f>"MCKINNEY CLIFFORD"</f>
        <v>MCKINNEY CLIFFORD</v>
      </c>
      <c r="C8251" s="1" t="str">
        <f>"HOLLY RIDGE RD CUMBERLAND RIDGE SEC 2 LOT 236"</f>
        <v>HOLLY RIDGE RD CUMBERLAND RIDGE SEC 2 LOT 236</v>
      </c>
      <c r="D8251" s="1">
        <v>3752.41</v>
      </c>
    </row>
    <row r="8252" spans="1:4" x14ac:dyDescent="0.3">
      <c r="A8252" s="1" t="str">
        <f>"59022970300"</f>
        <v>59022970300</v>
      </c>
      <c r="B8252" s="1" t="str">
        <f>"MCKIRAHAN BILLIEJO MAYER"</f>
        <v>MCKIRAHAN BILLIEJO MAYER</v>
      </c>
      <c r="C8252" s="1" t="str">
        <f>"BETHEL COMMONS CONDOMINIUM 8TH AMD UNIT 48C"</f>
        <v>BETHEL COMMONS CONDOMINIUM 8TH AMD UNIT 48C</v>
      </c>
      <c r="D8252" s="1">
        <v>185.5</v>
      </c>
    </row>
    <row r="8253" spans="1:4" x14ac:dyDescent="0.3">
      <c r="A8253" s="1" t="str">
        <f>"27300837900"</f>
        <v>27300837900</v>
      </c>
      <c r="B8253" s="1" t="str">
        <f>"MCKNIGHT JACQUELINE S"</f>
        <v>MCKNIGHT JACQUELINE S</v>
      </c>
      <c r="C8253" s="1" t="str">
        <f>"RIVERSIDE DR 1.838 ACRES NEW SUR R19 T2 1/4 T2"</f>
        <v>RIVERSIDE DR 1.838 ACRES NEW SUR R19 T2 1/4 T2</v>
      </c>
      <c r="D8253" s="1">
        <v>11437.79</v>
      </c>
    </row>
    <row r="8254" spans="1:4" x14ac:dyDescent="0.3">
      <c r="A8254" s="1" t="str">
        <f>"02500258300"</f>
        <v>02500258300</v>
      </c>
      <c r="B8254" s="1" t="str">
        <f>"MCKNIGHT JOHN E, MCKNIGHT ANNA"</f>
        <v>MCKNIGHT JOHN E, MCKNIGHT ANNA</v>
      </c>
      <c r="C8254" s="1" t="str">
        <f>"631 BONNINGTON WAY ROYAL MANOR 2 754"</f>
        <v>631 BONNINGTON WAY ROYAL MANOR 2 754</v>
      </c>
      <c r="D8254" s="1">
        <v>2098.35</v>
      </c>
    </row>
    <row r="8255" spans="1:4" x14ac:dyDescent="0.3">
      <c r="A8255" s="1" t="str">
        <f>"18000121400"</f>
        <v>18000121400</v>
      </c>
      <c r="B8255" s="1" t="str">
        <f>"MCKNIGHT MELANIE S"</f>
        <v>MCKNIGHT MELANIE S</v>
      </c>
      <c r="C8255" s="1" t="str">
        <f>"HAMILTON RD ASBURY MANOR 4 "</f>
        <v xml:space="preserve">HAMILTON RD ASBURY MANOR 4 </v>
      </c>
      <c r="D8255" s="1">
        <v>2413.3200000000002</v>
      </c>
    </row>
    <row r="8256" spans="1:4" x14ac:dyDescent="0.3">
      <c r="A8256" s="1" t="str">
        <f>"01004365800"</f>
        <v>01004365800</v>
      </c>
      <c r="B8256" s="1" t="str">
        <f>"MCKOY CARLTON L"</f>
        <v>MCKOY CARLTON L</v>
      </c>
      <c r="C8256" s="1" t="str">
        <f>"978 WILSON AVE &amp; REAR AUBURNDALE LOT 227"</f>
        <v>978 WILSON AVE &amp; REAR AUBURNDALE LOT 227</v>
      </c>
      <c r="D8256" s="1">
        <v>3341.27</v>
      </c>
    </row>
    <row r="8257" spans="1:4" x14ac:dyDescent="0.3">
      <c r="A8257" s="1" t="str">
        <f>"01001636500"</f>
        <v>01001636500</v>
      </c>
      <c r="B8257" s="1" t="str">
        <f>"MCKOY DERRYL D"</f>
        <v>MCKOY DERRYL D</v>
      </c>
      <c r="C8257" s="1" t="str">
        <f>"892 WILSON AVE AUBURNDALE LOT 124"</f>
        <v>892 WILSON AVE AUBURNDALE LOT 124</v>
      </c>
      <c r="D8257" s="1">
        <v>4513.3</v>
      </c>
    </row>
    <row r="8258" spans="1:4" x14ac:dyDescent="0.3">
      <c r="A8258" s="1" t="str">
        <f>"01002125600"</f>
        <v>01002125600</v>
      </c>
      <c r="B8258" s="1" t="str">
        <f>"MCKOY DERRYLL"</f>
        <v>MCKOY DERRYLL</v>
      </c>
      <c r="C8258" s="1" t="str">
        <f>"1027 LINWOOD AVE STUDER AMD LOT 229"</f>
        <v>1027 LINWOOD AVE STUDER AMD LOT 229</v>
      </c>
      <c r="D8258" s="1">
        <v>4334.32</v>
      </c>
    </row>
    <row r="8259" spans="1:4" x14ac:dyDescent="0.3">
      <c r="A8259" s="1" t="str">
        <f>"01016676400"</f>
        <v>01016676400</v>
      </c>
      <c r="B8259" s="1" t="str">
        <f>"MCLAUGHLIN TERRI L"</f>
        <v>MCLAUGHLIN TERRI L</v>
      </c>
      <c r="C8259" s="1" t="str">
        <f>"1749 LANCASHIRE RD AMVET HOMESTEAD 2 LOT 24 BLK H"</f>
        <v>1749 LANCASHIRE RD AMVET HOMESTEAD 2 LOT 24 BLK H</v>
      </c>
      <c r="D8259" s="1">
        <v>1935.18</v>
      </c>
    </row>
    <row r="8260" spans="1:4" x14ac:dyDescent="0.3">
      <c r="A8260" s="1" t="str">
        <f>"01000565100"</f>
        <v>01000565100</v>
      </c>
      <c r="B8260" s="1" t="str">
        <f>"MCLEAN PATRICK A"</f>
        <v>MCLEAN PATRICK A</v>
      </c>
      <c r="C8260" s="1" t="str">
        <f>"239 SO BURGESS AVE LANDSCAPE LOT 318"</f>
        <v>239 SO BURGESS AVE LANDSCAPE LOT 318</v>
      </c>
      <c r="D8260" s="1">
        <v>930</v>
      </c>
    </row>
    <row r="8261" spans="1:4" x14ac:dyDescent="0.3">
      <c r="A8261" s="1" t="str">
        <f>"01005822400"</f>
        <v>01005822400</v>
      </c>
      <c r="B8261" s="1" t="str">
        <f>"MCLEAN ROBERT E, MCLEAN JOAN M"</f>
        <v>MCLEAN ROBERT E, MCLEAN JOAN M</v>
      </c>
      <c r="C8261" s="1" t="str">
        <f>"TORRENCE RD OAKLAND PARK LOT 318"</f>
        <v>TORRENCE RD OAKLAND PARK LOT 318</v>
      </c>
      <c r="D8261" s="1">
        <v>7059.73</v>
      </c>
    </row>
    <row r="8262" spans="1:4" x14ac:dyDescent="0.3">
      <c r="A8262" s="1" t="str">
        <f>"01012655900"</f>
        <v>01012655900</v>
      </c>
      <c r="B8262" s="1" t="str">
        <f>"MCLEAN RODERICK O"</f>
        <v>MCLEAN RODERICK O</v>
      </c>
      <c r="C8262" s="1" t="str">
        <f>"1344 SIGBEE AVE AMERICAN R T 1/4TWP LOT 69-70-71 &amp; 72"</f>
        <v>1344 SIGBEE AVE AMERICAN R T 1/4TWP LOT 69-70-71 &amp; 72</v>
      </c>
      <c r="D8262" s="1">
        <v>380.99</v>
      </c>
    </row>
    <row r="8263" spans="1:4" x14ac:dyDescent="0.3">
      <c r="A8263" s="1" t="str">
        <f>"01009983100"</f>
        <v>01009983100</v>
      </c>
      <c r="B8263" s="1" t="str">
        <f>"MCLEOD CHARLENE F SU TR"</f>
        <v>MCLEOD CHARLENE F SU TR</v>
      </c>
      <c r="C8263" s="1" t="str">
        <f>"RIGHTMIRE VLVD UNIVERSITY CITY HOME LOT 43"</f>
        <v>RIGHTMIRE VLVD UNIVERSITY CITY HOME LOT 43</v>
      </c>
      <c r="D8263" s="1">
        <v>2147.4499999999998</v>
      </c>
    </row>
    <row r="8264" spans="1:4" x14ac:dyDescent="0.3">
      <c r="A8264" s="1" t="str">
        <f>"01002052300"</f>
        <v>01002052300</v>
      </c>
      <c r="B8264" s="1" t="str">
        <f>"MCLLVOY LETZELTER AMY R"</f>
        <v>MCLLVOY LETZELTER AMY R</v>
      </c>
      <c r="C8264" s="1" t="str">
        <f>"462 N CHAMPION AVE HAYES LOT 29"</f>
        <v>462 N CHAMPION AVE HAYES LOT 29</v>
      </c>
      <c r="D8264" s="1">
        <v>1132.02</v>
      </c>
    </row>
    <row r="8265" spans="1:4" x14ac:dyDescent="0.3">
      <c r="A8265" s="1" t="str">
        <f>"01012234900"</f>
        <v>01012234900</v>
      </c>
      <c r="B8265" s="1" t="str">
        <f>"MCLOUGHLIN JAMES T, MCLOUGHLIN VICKIE L"</f>
        <v>MCLOUGHLIN JAMES T, MCLOUGHLIN VICKIE L</v>
      </c>
      <c r="C8265" s="1" t="str">
        <f>"GEORGIAN HTS 3 LOT 31 "</f>
        <v xml:space="preserve">GEORGIAN HTS 3 LOT 31 </v>
      </c>
      <c r="D8265" s="1">
        <v>147.94999999999999</v>
      </c>
    </row>
    <row r="8266" spans="1:4" x14ac:dyDescent="0.3">
      <c r="A8266" s="1" t="str">
        <f>"05001043400"</f>
        <v>05001043400</v>
      </c>
      <c r="B8266" s="1" t="str">
        <f>"MCMAHON BRIAN M, MCMAHON MICHELLE M"</f>
        <v>MCMAHON BRIAN M, MCMAHON MICHELLE M</v>
      </c>
      <c r="C8266" s="1" t="str">
        <f>"NADINE PARK DRIVE ESTATES AT HOFFMAN FARMS SECTION 2 PHASE 4 LOT 225"</f>
        <v>NADINE PARK DRIVE ESTATES AT HOFFMAN FARMS SECTION 2 PHASE 4 LOT 225</v>
      </c>
      <c r="D8266" s="1">
        <v>593.01</v>
      </c>
    </row>
    <row r="8267" spans="1:4" x14ac:dyDescent="0.3">
      <c r="A8267" s="1" t="str">
        <f>"01007305900"</f>
        <v>01007305900</v>
      </c>
      <c r="B8267" s="1" t="str">
        <f>"MCMAHON RYAN"</f>
        <v>MCMAHON RYAN</v>
      </c>
      <c r="C8267" s="1" t="str">
        <f>"2491 OSCEOLA AVE ALMADA LOT 194"</f>
        <v>2491 OSCEOLA AVE ALMADA LOT 194</v>
      </c>
      <c r="D8267" s="1">
        <v>2436.71</v>
      </c>
    </row>
    <row r="8268" spans="1:4" x14ac:dyDescent="0.3">
      <c r="A8268" s="1" t="str">
        <f>"01007389000"</f>
        <v>01007389000</v>
      </c>
      <c r="B8268" s="1" t="str">
        <f>"MCMAHON RYAN"</f>
        <v>MCMAHON RYAN</v>
      </c>
      <c r="C8268" s="1" t="str">
        <f>"OSCEOLA AVE ALMADA LOT 191"</f>
        <v>OSCEOLA AVE ALMADA LOT 191</v>
      </c>
      <c r="D8268" s="1">
        <v>2425.39</v>
      </c>
    </row>
    <row r="8269" spans="1:4" x14ac:dyDescent="0.3">
      <c r="A8269" s="1" t="str">
        <f>"01007262600"</f>
        <v>01007262600</v>
      </c>
      <c r="B8269" s="1" t="str">
        <f>"MCMAHON RYAN T"</f>
        <v>MCMAHON RYAN T</v>
      </c>
      <c r="C8269" s="1" t="str">
        <f>"OCEOLA ALMADA LOT 192"</f>
        <v>OCEOLA ALMADA LOT 192</v>
      </c>
      <c r="D8269" s="1">
        <v>479.47</v>
      </c>
    </row>
    <row r="8270" spans="1:4" x14ac:dyDescent="0.3">
      <c r="A8270" s="1" t="str">
        <f>"18500097800"</f>
        <v>18500097800</v>
      </c>
      <c r="B8270" s="1" t="str">
        <f>"MCMANNIS MICHAEL, MCMANNIS TINA"</f>
        <v>MCMANNIS MICHAEL, MCMANNIS TINA</v>
      </c>
      <c r="C8270" s="1" t="str">
        <f>"SHAFFER DR WESTPORT LOT 47 "</f>
        <v xml:space="preserve">SHAFFER DR WESTPORT LOT 47 </v>
      </c>
      <c r="D8270" s="1">
        <v>140.05000000000001</v>
      </c>
    </row>
    <row r="8271" spans="1:4" x14ac:dyDescent="0.3">
      <c r="A8271" s="1" t="str">
        <f>"08000065300"</f>
        <v>08000065300</v>
      </c>
      <c r="B8271" s="1" t="str">
        <f>"MCMANUS PATRICIA K"</f>
        <v>MCMANUS PATRICIA K</v>
      </c>
      <c r="C8271" s="1" t="str">
        <f>"VINE ST OLD ORCHARD NEW 8"</f>
        <v>VINE ST OLD ORCHARD NEW 8</v>
      </c>
      <c r="D8271" s="1">
        <v>334.17</v>
      </c>
    </row>
    <row r="8272" spans="1:4" x14ac:dyDescent="0.3">
      <c r="A8272" s="1" t="str">
        <f>"01016650900"</f>
        <v>01016650900</v>
      </c>
      <c r="B8272" s="1" t="str">
        <f>"MCMILLAN BRIANNA L"</f>
        <v>MCMILLAN BRIANNA L</v>
      </c>
      <c r="C8272" s="1" t="str">
        <f>"CHATEAU DU NORD LTD WOODGLEN CONDOMINIUM BLDG 2 UNIT 2044"</f>
        <v>CHATEAU DU NORD LTD WOODGLEN CONDOMINIUM BLDG 2 UNIT 2044</v>
      </c>
      <c r="D8272" s="1">
        <v>2413.15</v>
      </c>
    </row>
    <row r="8273" spans="1:4" x14ac:dyDescent="0.3">
      <c r="A8273" s="1" t="str">
        <f>"12000088500"</f>
        <v>12000088500</v>
      </c>
      <c r="B8273" s="1" t="str">
        <f>"MCMILLEN ANNE, TOLES ALEXANDRA"</f>
        <v>MCMILLEN ANNE, TOLES ALEXANDRA</v>
      </c>
      <c r="C8273" s="1" t="str">
        <f>"00000 HUBBARD ROAED 7.038AC "</f>
        <v xml:space="preserve">00000 HUBBARD ROAED 7.038AC </v>
      </c>
      <c r="D8273" s="1">
        <v>471.24</v>
      </c>
    </row>
    <row r="8274" spans="1:4" x14ac:dyDescent="0.3">
      <c r="A8274" s="1" t="str">
        <f>"01000349200"</f>
        <v>01000349200</v>
      </c>
      <c r="B8274" s="1" t="str">
        <f>"MCMILLEN ANNE, TOLES ALEXANDRA"</f>
        <v>MCMILLEN ANNE, TOLES ALEXANDRA</v>
      </c>
      <c r="C8274" s="1" t="str">
        <f>"120 REINHARD AVE 25X 100FT JAEGER LOT 143"</f>
        <v>120 REINHARD AVE 25X 100FT JAEGER LOT 143</v>
      </c>
      <c r="D8274" s="1">
        <v>486.19</v>
      </c>
    </row>
    <row r="8275" spans="1:4" x14ac:dyDescent="0.3">
      <c r="A8275" s="1" t="str">
        <f>"01023666700"</f>
        <v>01023666700</v>
      </c>
      <c r="B8275" s="1" t="str">
        <f>"MCMILLEN TOM"</f>
        <v>MCMILLEN TOM</v>
      </c>
      <c r="C8275" s="1" t="str">
        <f>"BLENDON PARK CONDOMINIUM 3RD AMD UNIT 44E"</f>
        <v>BLENDON PARK CONDOMINIUM 3RD AMD UNIT 44E</v>
      </c>
      <c r="D8275" s="1">
        <v>166.14</v>
      </c>
    </row>
    <row r="8276" spans="1:4" x14ac:dyDescent="0.3">
      <c r="A8276" s="1" t="str">
        <f>"01006555400"</f>
        <v>01006555400</v>
      </c>
      <c r="B8276" s="1" t="str">
        <f>"MCMILLIN BENITA J"</f>
        <v>MCMILLIN BENITA J</v>
      </c>
      <c r="C8276" s="1" t="str">
        <f>"STEELE AVE COLUMBIA PARK 13 BLK 7"</f>
        <v>STEELE AVE COLUMBIA PARK 13 BLK 7</v>
      </c>
      <c r="D8276" s="1">
        <v>385.23</v>
      </c>
    </row>
    <row r="8277" spans="1:4" x14ac:dyDescent="0.3">
      <c r="A8277" s="1" t="str">
        <f>"14100049500"</f>
        <v>14100049500</v>
      </c>
      <c r="B8277" s="1" t="str">
        <f>"MCMULLEN JANET L TOD"</f>
        <v>MCMULLEN JANET L TOD</v>
      </c>
      <c r="C8277" s="1" t="str">
        <f>"2329 VALLEYVIEW DR PROSPECT PARK PARTS LOTS 122 &amp; 123"</f>
        <v>2329 VALLEYVIEW DR PROSPECT PARK PARTS LOTS 122 &amp; 123</v>
      </c>
      <c r="D8277" s="1">
        <v>131.07</v>
      </c>
    </row>
    <row r="8278" spans="1:4" x14ac:dyDescent="0.3">
      <c r="A8278" s="1" t="str">
        <f>"22200278600"</f>
        <v>22200278600</v>
      </c>
      <c r="B8278" s="1" t="str">
        <f>"MCMUNN RICHARD W, MCMUNN DEBORAH J"</f>
        <v>MCMUNN RICHARD W, MCMUNN DEBORAH J</v>
      </c>
      <c r="C8278" s="1" t="str">
        <f>"ASHCOMBE NEW ALBANY COUNTRY CLUB SECTION 15E LOT 12E"</f>
        <v>ASHCOMBE NEW ALBANY COUNTRY CLUB SECTION 15E LOT 12E</v>
      </c>
      <c r="D8278" s="1">
        <v>1525.26</v>
      </c>
    </row>
    <row r="8279" spans="1:4" x14ac:dyDescent="0.3">
      <c r="A8279" s="1" t="str">
        <f>"01013895200"</f>
        <v>01013895200</v>
      </c>
      <c r="B8279" s="1" t="str">
        <f>"MCMURRAY WILLIAM S, MCMURRAY JEANNE"</f>
        <v>MCMURRAY WILLIAM S, MCMURRAY JEANNE</v>
      </c>
      <c r="C8279" s="1" t="str">
        <f>"CRANWOOD DR KARL MEADOWS 2 LOT 252"</f>
        <v>CRANWOOD DR KARL MEADOWS 2 LOT 252</v>
      </c>
      <c r="D8279" s="1">
        <v>3980.34</v>
      </c>
    </row>
    <row r="8280" spans="1:4" x14ac:dyDescent="0.3">
      <c r="A8280" s="1" t="str">
        <f>"01012718200"</f>
        <v>01012718200</v>
      </c>
      <c r="B8280" s="1" t="str">
        <f>"MCNEAL JARED A"</f>
        <v>MCNEAL JARED A</v>
      </c>
      <c r="C8280" s="1" t="str">
        <f>"YORK LANE SOUTH YORKSHIRE LOT 32"</f>
        <v>YORK LANE SOUTH YORKSHIRE LOT 32</v>
      </c>
      <c r="D8280" s="1">
        <v>4453.24</v>
      </c>
    </row>
    <row r="8281" spans="1:4" x14ac:dyDescent="0.3">
      <c r="A8281" s="1" t="str">
        <f>"01000232400"</f>
        <v>01000232400</v>
      </c>
      <c r="B8281" s="1" t="str">
        <f>"MCNEAL PATRICK C, MCNEAL PATRICK C II"</f>
        <v>MCNEAL PATRICK C, MCNEAL PATRICK C II</v>
      </c>
      <c r="C8281" s="1" t="str">
        <f>"104 N WAYNE AVE HIGHLAND PK LOT 115"</f>
        <v>104 N WAYNE AVE HIGHLAND PK LOT 115</v>
      </c>
      <c r="D8281" s="1">
        <v>457.72</v>
      </c>
    </row>
    <row r="8282" spans="1:4" x14ac:dyDescent="0.3">
      <c r="A8282" s="1" t="str">
        <f>"13000168700"</f>
        <v>13000168700</v>
      </c>
      <c r="B8282" s="1" t="str">
        <f>"MCNEIL DONALD"</f>
        <v>MCNEIL DONALD</v>
      </c>
      <c r="C8282" s="1" t="str">
        <f>"1839 HESS BLVD UNIVERSITY VIEW LOT 73"</f>
        <v>1839 HESS BLVD UNIVERSITY VIEW LOT 73</v>
      </c>
      <c r="D8282" s="1">
        <v>6465.27</v>
      </c>
    </row>
    <row r="8283" spans="1:4" x14ac:dyDescent="0.3">
      <c r="A8283" s="1" t="str">
        <f>"59020808900"</f>
        <v>59020808900</v>
      </c>
      <c r="B8283" s="1" t="str">
        <f>"MCNEIL GRAHAM, MCNEIL ABIGAIL"</f>
        <v>MCNEIL GRAHAM, MCNEIL ABIGAIL</v>
      </c>
      <c r="C8283" s="1" t="str">
        <f>"SPRUCE PINE DRIVE WHISPERING PINES LOT 51"</f>
        <v>SPRUCE PINE DRIVE WHISPERING PINES LOT 51</v>
      </c>
      <c r="D8283" s="1">
        <v>1099.97</v>
      </c>
    </row>
    <row r="8284" spans="1:4" x14ac:dyDescent="0.3">
      <c r="A8284" s="1" t="str">
        <f>"07000150500"</f>
        <v>07000150500</v>
      </c>
      <c r="B8284" s="1" t="str">
        <f>"MCNEIL TRUDY A TR, MCNEIL DONALD L TR"</f>
        <v>MCNEIL TRUDY A TR, MCNEIL DONALD L TR</v>
      </c>
      <c r="C8284" s="1" t="str">
        <f>"LANE RD 1.11 ACRES R19 T1 S2-1"</f>
        <v>LANE RD 1.11 ACRES R19 T1 S2-1</v>
      </c>
      <c r="D8284" s="1">
        <v>25218.2</v>
      </c>
    </row>
    <row r="8285" spans="1:4" x14ac:dyDescent="0.3">
      <c r="A8285" s="1" t="str">
        <f>"24100054500"</f>
        <v>24100054500</v>
      </c>
      <c r="B8285" s="1" t="str">
        <f>"MCNERLIN VIRGIE"</f>
        <v>MCNERLIN VIRGIE</v>
      </c>
      <c r="C8285" s="1" t="str">
        <f>"CANDY LANE LAKE DARBY ESTATES 2 LOT 611"</f>
        <v>CANDY LANE LAKE DARBY ESTATES 2 LOT 611</v>
      </c>
      <c r="D8285" s="1">
        <v>246.72</v>
      </c>
    </row>
    <row r="8286" spans="1:4" x14ac:dyDescent="0.3">
      <c r="A8286" s="1" t="str">
        <f>"01010989000"</f>
        <v>01010989000</v>
      </c>
      <c r="B8286" s="1" t="str">
        <f>"MCOY ADLYNN L TR"</f>
        <v>MCOY ADLYNN L TR</v>
      </c>
      <c r="C8286" s="1" t="str">
        <f>"W RATHBONE AVE DELAWANDA LOT 49 &amp; W 1/2 48"</f>
        <v>W RATHBONE AVE DELAWANDA LOT 49 &amp; W 1/2 48</v>
      </c>
      <c r="D8286" s="1">
        <v>195.22</v>
      </c>
    </row>
    <row r="8287" spans="1:4" x14ac:dyDescent="0.3">
      <c r="A8287" s="1" t="str">
        <f>"01001158000"</f>
        <v>01001158000</v>
      </c>
      <c r="B8287" s="1" t="str">
        <f>"MCPHILLIPS MICHAEL C, MCPHILLIPS TERESA S"</f>
        <v>MCPHILLIPS MICHAEL C, MCPHILLIPS TERESA S</v>
      </c>
      <c r="C8287" s="1" t="str">
        <f>"816 EBNER ST HW JARGER LOT 26"</f>
        <v>816 EBNER ST HW JARGER LOT 26</v>
      </c>
      <c r="D8287" s="1">
        <v>379.35</v>
      </c>
    </row>
    <row r="8288" spans="1:4" x14ac:dyDescent="0.3">
      <c r="A8288" s="1" t="str">
        <f>"01007716200"</f>
        <v>01007716200</v>
      </c>
      <c r="B8288" s="1" t="str">
        <f>"MCSHEFFERY ROBERT O"</f>
        <v>MCSHEFFERY ROBERT O</v>
      </c>
      <c r="C8288" s="1" t="str">
        <f>"237 W LAKEVIEW AVE OLENTANGY PLAINS LOT 8"</f>
        <v>237 W LAKEVIEW AVE OLENTANGY PLAINS LOT 8</v>
      </c>
      <c r="D8288" s="1">
        <v>207.54</v>
      </c>
    </row>
    <row r="8289" spans="1:4" x14ac:dyDescent="0.3">
      <c r="A8289" s="1" t="str">
        <f>"01006690300"</f>
        <v>01006690300</v>
      </c>
      <c r="B8289" s="1" t="str">
        <f>"MCSRUL REALTY LLC"</f>
        <v>MCSRUL REALTY LLC</v>
      </c>
      <c r="C8289" s="1" t="str">
        <f>"776-778 N DAWSON AVE N BEXLEY VIEW 3 LOT 13"</f>
        <v>776-778 N DAWSON AVE N BEXLEY VIEW 3 LOT 13</v>
      </c>
      <c r="D8289" s="1">
        <v>8922.93</v>
      </c>
    </row>
    <row r="8290" spans="1:4" x14ac:dyDescent="0.3">
      <c r="A8290" s="1" t="str">
        <f>"01006833400"</f>
        <v>01006833400</v>
      </c>
      <c r="B8290" s="1" t="str">
        <f>"MCSRUL REALTY LLC"</f>
        <v>MCSRUL REALTY LLC</v>
      </c>
      <c r="C8290" s="1" t="str">
        <f>"649-51 S BURGESS AVE HEFFNER HTS LOT 108"</f>
        <v>649-51 S BURGESS AVE HEFFNER HTS LOT 108</v>
      </c>
      <c r="D8290" s="1">
        <v>1342.01</v>
      </c>
    </row>
    <row r="8291" spans="1:4" x14ac:dyDescent="0.3">
      <c r="A8291" s="1" t="str">
        <f>"01010303500"</f>
        <v>01010303500</v>
      </c>
      <c r="B8291" s="1" t="str">
        <f>"MCSWAIN ANTHONY, MCSWAIN MONICA R"</f>
        <v>MCSWAIN ANTHONY, MCSWAIN MONICA R</v>
      </c>
      <c r="C8291" s="1" t="str">
        <f>"KARON DR WOODLAND TERR LOT 81"</f>
        <v>KARON DR WOODLAND TERR LOT 81</v>
      </c>
      <c r="D8291" s="1">
        <v>100</v>
      </c>
    </row>
    <row r="8292" spans="1:4" x14ac:dyDescent="0.3">
      <c r="A8292" s="1" t="str">
        <f>"01013122500"</f>
        <v>01013122500</v>
      </c>
      <c r="B8292" s="1" t="str">
        <f>"MCVAY CLARENCE E, MCVAY BEVERLY J"</f>
        <v>MCVAY CLARENCE E, MCVAY BEVERLY J</v>
      </c>
      <c r="C8292" s="1" t="str">
        <f>"STINSON DR THE KNOLLS SEC 2 LOT 143"</f>
        <v>STINSON DR THE KNOLLS SEC 2 LOT 143</v>
      </c>
      <c r="D8292" s="1">
        <v>3149.26</v>
      </c>
    </row>
    <row r="8293" spans="1:4" x14ac:dyDescent="0.3">
      <c r="A8293" s="1" t="str">
        <f>"01013226700"</f>
        <v>01013226700</v>
      </c>
      <c r="B8293" s="1" t="str">
        <f>"MCVEY JACK E, MCVEY CONNIE M"</f>
        <v>MCVEY JACK E, MCVEY CONNIE M</v>
      </c>
      <c r="C8293" s="1" t="str">
        <f>"1285 ALUM CREEK DR R22 T5 S33 1.2991 ACS (0.030AC P/E)"</f>
        <v>1285 ALUM CREEK DR R22 T5 S33 1.2991 ACS (0.030AC P/E)</v>
      </c>
      <c r="D8293" s="1">
        <v>21055.02</v>
      </c>
    </row>
    <row r="8294" spans="1:4" x14ac:dyDescent="0.3">
      <c r="A8294" s="1" t="str">
        <f>"57019230900"</f>
        <v>57019230900</v>
      </c>
      <c r="B8294" s="1" t="str">
        <f>"MCVEY PATRICK M"</f>
        <v>MCVEY PATRICK M</v>
      </c>
      <c r="C8294" s="1" t="str">
        <f>"LONGWOOD AVE MARSDALE LOTS 219-220"</f>
        <v>LONGWOOD AVE MARSDALE LOTS 219-220</v>
      </c>
      <c r="D8294" s="1">
        <v>466.99</v>
      </c>
    </row>
    <row r="8295" spans="1:4" x14ac:dyDescent="0.3">
      <c r="A8295" s="1" t="str">
        <f>"22200323800"</f>
        <v>22200323800</v>
      </c>
      <c r="B8295" s="1" t="str">
        <f>"MCWHORTER JOHN B III, MCWHORTER SUZANNE B"</f>
        <v>MCWHORTER JOHN B III, MCWHORTER SUZANNE B</v>
      </c>
      <c r="C8295" s="1" t="str">
        <f>"HOLKHAM                   NEW ALBANY COUNTRY CLUB   SEC 20 PART 1 LOT 19     "</f>
        <v xml:space="preserve">HOLKHAM                   NEW ALBANY COUNTRY CLUB   SEC 20 PART 1 LOT 19     </v>
      </c>
      <c r="D8295" s="1">
        <v>1124.8800000000001</v>
      </c>
    </row>
    <row r="8296" spans="1:4" x14ac:dyDescent="0.3">
      <c r="A8296" s="1" t="str">
        <f>"61020980400"</f>
        <v>61020980400</v>
      </c>
      <c r="B8296" s="1" t="str">
        <f>"MCWILLIAMS SCOTT A, MCWILLIAMS MILDRED F"</f>
        <v>MCWILLIAMS SCOTT A, MCWILLIAMS MILDRED F</v>
      </c>
      <c r="C8296" s="1" t="str">
        <f>"LIBER CT WORTH. SCHOOLSIDE VIL SEC 2  LOT 92"</f>
        <v>LIBER CT WORTH. SCHOOLSIDE VIL SEC 2  LOT 92</v>
      </c>
      <c r="D8296" s="1">
        <v>8188.55</v>
      </c>
    </row>
    <row r="8297" spans="1:4" x14ac:dyDescent="0.3">
      <c r="A8297" s="1" t="str">
        <f>"01011176000"</f>
        <v>01011176000</v>
      </c>
      <c r="B8297" s="1" t="str">
        <f>"MD OTE LLC"</f>
        <v>MD OTE LLC</v>
      </c>
      <c r="C8297" s="1" t="str">
        <f>"DELLBOURNE LOT 34 "</f>
        <v xml:space="preserve">DELLBOURNE LOT 34 </v>
      </c>
      <c r="D8297" s="1">
        <v>208.11</v>
      </c>
    </row>
    <row r="8298" spans="1:4" x14ac:dyDescent="0.3">
      <c r="A8298" s="1" t="str">
        <f>"01024511400"</f>
        <v>01024511400</v>
      </c>
      <c r="B8298" s="1" t="str">
        <f>"MEADE DAVID ALLAN"</f>
        <v>MEADE DAVID ALLAN</v>
      </c>
      <c r="C8298" s="1" t="str">
        <f>"HICKORY RIDGE CONDOMINIUM 2ND AMD UNIT 8-2926"</f>
        <v>HICKORY RIDGE CONDOMINIUM 2ND AMD UNIT 8-2926</v>
      </c>
      <c r="D8298" s="1">
        <v>1374.26</v>
      </c>
    </row>
    <row r="8299" spans="1:4" x14ac:dyDescent="0.3">
      <c r="A8299" s="1" t="str">
        <f>"60018469000"</f>
        <v>60018469000</v>
      </c>
      <c r="B8299" s="1" t="str">
        <f>"MEADE HELEN S"</f>
        <v>MEADE HELEN S</v>
      </c>
      <c r="C8299" s="1" t="str">
        <f>"MAPLE CANYON AVE NORTH HOME ACRE PARK AMD 6"</f>
        <v>MAPLE CANYON AVE NORTH HOME ACRE PARK AMD 6</v>
      </c>
      <c r="D8299" s="1">
        <v>555.67999999999995</v>
      </c>
    </row>
    <row r="8300" spans="1:4" x14ac:dyDescent="0.3">
      <c r="A8300" s="1" t="str">
        <f>"60018469600"</f>
        <v>60018469600</v>
      </c>
      <c r="B8300" s="1" t="str">
        <f>"MEADE HELEN S"</f>
        <v>MEADE HELEN S</v>
      </c>
      <c r="C8300" s="1" t="str">
        <f>"MAPLE CANYON AVE NORTH HOME CARE PARK AMD 48"</f>
        <v>MAPLE CANYON AVE NORTH HOME CARE PARK AMD 48</v>
      </c>
      <c r="D8300" s="1">
        <v>2503.6</v>
      </c>
    </row>
    <row r="8301" spans="1:4" x14ac:dyDescent="0.3">
      <c r="A8301" s="1" t="str">
        <f>"15000195500"</f>
        <v>15000195500</v>
      </c>
      <c r="B8301" s="1" t="str">
        <f>"MEADE JODI L"</f>
        <v>MEADE JODI L</v>
      </c>
      <c r="C8301" s="1" t="str">
        <f>"897 PREMIER DR HAMILTON MEADOWS 3 LOT 333"</f>
        <v>897 PREMIER DR HAMILTON MEADOWS 3 LOT 333</v>
      </c>
      <c r="D8301" s="1">
        <v>2206.0100000000002</v>
      </c>
    </row>
    <row r="8302" spans="1:4" x14ac:dyDescent="0.3">
      <c r="A8302" s="1" t="str">
        <f>"04001586800"</f>
        <v>04001586800</v>
      </c>
      <c r="B8302" s="1" t="str">
        <f>"MEADOW GROVE ESTATES NORTH HOMEOWNERS ASSOCIATION INC"</f>
        <v>MEADOW GROVE ESTATES NORTH HOMEOWNERS ASSOCIATION INC</v>
      </c>
      <c r="C8302" s="1" t="str">
        <f>"MEADOW GROVE ESTATES NORTH SECTION 2 RESERVE C"</f>
        <v>MEADOW GROVE ESTATES NORTH SECTION 2 RESERVE C</v>
      </c>
      <c r="D8302" s="1">
        <v>197.63</v>
      </c>
    </row>
    <row r="8303" spans="1:4" x14ac:dyDescent="0.3">
      <c r="A8303" s="1" t="str">
        <f>"04001441200"</f>
        <v>04001441200</v>
      </c>
      <c r="B8303" s="1" t="str">
        <f>"MEADOW GROVE ESTATES NORTH HOMOWNS ASSOC INC"</f>
        <v>MEADOW GROVE ESTATES NORTH HOMOWNS ASSOC INC</v>
      </c>
      <c r="C8303" s="1" t="s">
        <v>24</v>
      </c>
      <c r="D8303" s="1">
        <v>43.49</v>
      </c>
    </row>
    <row r="8304" spans="1:4" x14ac:dyDescent="0.3">
      <c r="A8304" s="1" t="str">
        <f>"14000514500"</f>
        <v>14000514500</v>
      </c>
      <c r="B8304" s="1" t="str">
        <f>"MEADOWS ANGELA, MEADOWS DEWARD"</f>
        <v>MEADOWS ANGELA, MEADOWS DEWARD</v>
      </c>
      <c r="C8304" s="1" t="str">
        <f>"2863 EL PASO DR SKIDMORE HILLS LOTS 30-31"</f>
        <v>2863 EL PASO DR SKIDMORE HILLS LOTS 30-31</v>
      </c>
      <c r="D8304" s="1">
        <v>2340.9499999999998</v>
      </c>
    </row>
    <row r="8305" spans="1:4" x14ac:dyDescent="0.3">
      <c r="A8305" s="1" t="str">
        <f>"49024309000"</f>
        <v>49024309000</v>
      </c>
      <c r="B8305" s="1" t="str">
        <f>"MEADOWS AT WINCHESTER HOMEOWNERS ASSN INC"</f>
        <v>MEADOWS AT WINCHESTER HOMEOWNERS ASSN INC</v>
      </c>
      <c r="C8305" s="1" t="s">
        <v>17</v>
      </c>
      <c r="D8305" s="1">
        <v>614.11</v>
      </c>
    </row>
    <row r="8306" spans="1:4" x14ac:dyDescent="0.3">
      <c r="A8306" s="1" t="str">
        <f>"54024892600"</f>
        <v>54024892600</v>
      </c>
      <c r="B8306" s="1" t="str">
        <f>"MEADOWS AT WINCHESTER HOMEOWNERS ASSOC INC"</f>
        <v>MEADOWS AT WINCHESTER HOMEOWNERS ASSOC INC</v>
      </c>
      <c r="C8306" s="1" t="str">
        <f>"UPLAND MEADOW DRIVE MEADOWS AT WINCHESTER SECTION 5 LOT 316"</f>
        <v>UPLAND MEADOW DRIVE MEADOWS AT WINCHESTER SECTION 5 LOT 316</v>
      </c>
      <c r="D8306" s="1">
        <v>597.09</v>
      </c>
    </row>
    <row r="8307" spans="1:4" x14ac:dyDescent="0.3">
      <c r="A8307" s="1" t="str">
        <f>"54024892700"</f>
        <v>54024892700</v>
      </c>
      <c r="B8307" s="1" t="str">
        <f>"MEADOWS AT WINCHESTER HOMEOWNERS ASSOCIATION INC"</f>
        <v>MEADOWS AT WINCHESTER HOMEOWNERS ASSOCIATION INC</v>
      </c>
      <c r="C8307" s="1" t="str">
        <f>"UPLAND MEADOW DRIVE MEADOWS AT WINCHESTER SECTION 5 LOT 317"</f>
        <v>UPLAND MEADOW DRIVE MEADOWS AT WINCHESTER SECTION 5 LOT 317</v>
      </c>
      <c r="D8307" s="1">
        <v>609.15</v>
      </c>
    </row>
    <row r="8308" spans="1:4" x14ac:dyDescent="0.3">
      <c r="A8308" s="1" t="str">
        <f>"01016682900"</f>
        <v>01016682900</v>
      </c>
      <c r="B8308" s="1" t="str">
        <f>"MEADOWS TRACY T"</f>
        <v>MEADOWS TRACY T</v>
      </c>
      <c r="C8308" s="1" t="str">
        <f>"ARGYLE DRIVE AMVET HOMESTEAD 2 LOT 28 BLK K"</f>
        <v>ARGYLE DRIVE AMVET HOMESTEAD 2 LOT 28 BLK K</v>
      </c>
      <c r="D8308" s="1">
        <v>212.39</v>
      </c>
    </row>
    <row r="8309" spans="1:4" x14ac:dyDescent="0.3">
      <c r="A8309" s="1" t="str">
        <f>"02000138900"</f>
        <v>02000138900</v>
      </c>
      <c r="B8309" s="1" t="str">
        <f>"MEARA ALEXA SIMON"</f>
        <v>MEARA ALEXA SIMON</v>
      </c>
      <c r="C8309" s="1" t="str">
        <f>"2357 BEXLEY PARK RD 32FT E S 180&amp;35FT W S181 BEXLEY PK 180-1"</f>
        <v>2357 BEXLEY PARK RD 32FT E S 180&amp;35FT W S181 BEXLEY PK 180-1</v>
      </c>
      <c r="D8309" s="1">
        <v>10063.15</v>
      </c>
    </row>
    <row r="8310" spans="1:4" x14ac:dyDescent="0.3">
      <c r="A8310" s="1" t="str">
        <f>"01011513000"</f>
        <v>01011513000</v>
      </c>
      <c r="B8310" s="1" t="str">
        <f>"MEB HOMES LLC"</f>
        <v>MEB HOMES LLC</v>
      </c>
      <c r="C8310" s="1" t="str">
        <f>"HILLOCK AVE ACRES .204 LOT 11 &amp; 21 URP R22 T 4 S10"</f>
        <v>HILLOCK AVE ACRES .204 LOT 11 &amp; 21 URP R22 T 4 S10</v>
      </c>
      <c r="D8310" s="1">
        <v>2849.24</v>
      </c>
    </row>
    <row r="8311" spans="1:4" x14ac:dyDescent="0.3">
      <c r="A8311" s="1" t="str">
        <f>"01001197100"</f>
        <v>01001197100</v>
      </c>
      <c r="B8311" s="1" t="str">
        <f>"MEBRAHTU ELIZABETH"</f>
        <v>MEBRAHTU ELIZABETH</v>
      </c>
      <c r="C8311" s="1" t="str">
        <f>"1008-1010 HARRISON COLLINS ATKINSON &amp; GUITNER LOT 249-50"</f>
        <v>1008-1010 HARRISON COLLINS ATKINSON &amp; GUITNER LOT 249-50</v>
      </c>
      <c r="D8311" s="1">
        <v>4660.54</v>
      </c>
    </row>
    <row r="8312" spans="1:4" x14ac:dyDescent="0.3">
      <c r="A8312" s="1" t="str">
        <f>"09000774200"</f>
        <v>09000774200</v>
      </c>
      <c r="B8312" s="1" t="str">
        <f>"MEBRATU TEDROS S"</f>
        <v>MEBRATU TEDROS S</v>
      </c>
      <c r="C8312" s="1" t="str">
        <f>"808 LAMBY LANE 110 FT W E LAMBY PARK LOT 1"</f>
        <v>808 LAMBY LANE 110 FT W E LAMBY PARK LOT 1</v>
      </c>
      <c r="D8312" s="1">
        <v>75.540000000000006</v>
      </c>
    </row>
    <row r="8313" spans="1:4" x14ac:dyDescent="0.3">
      <c r="A8313" s="1" t="str">
        <f>"01009349000"</f>
        <v>01009349000</v>
      </c>
      <c r="B8313" s="1" t="str">
        <f>"MECHTI ABDELHAKIM"</f>
        <v>MECHTI ABDELHAKIM</v>
      </c>
      <c r="C8313" s="1" t="str">
        <f>"WEBER RD WEBER PARK 1 LOT 7"</f>
        <v>WEBER RD WEBER PARK 1 LOT 7</v>
      </c>
      <c r="D8313" s="1">
        <v>1213.49</v>
      </c>
    </row>
    <row r="8314" spans="1:4" x14ac:dyDescent="0.3">
      <c r="A8314" s="1" t="str">
        <f>"07000647700"</f>
        <v>07000647700</v>
      </c>
      <c r="B8314" s="1" t="str">
        <f>"MECKSTROTH HANNAH K"</f>
        <v>MECKSTROTH HANNAH K</v>
      </c>
      <c r="C8314" s="1" t="str">
        <f>"EDGEVALE RD RIVER RIDGE 3 BLK 19 "</f>
        <v xml:space="preserve">EDGEVALE RD RIVER RIDGE 3 BLK 19 </v>
      </c>
      <c r="D8314" s="1">
        <v>349.97</v>
      </c>
    </row>
    <row r="8315" spans="1:4" x14ac:dyDescent="0.3">
      <c r="A8315" s="1" t="str">
        <f>"01000451600"</f>
        <v>01000451600</v>
      </c>
      <c r="B8315" s="1" t="str">
        <f>"MECUM RYAN M"</f>
        <v>MECUM RYAN M</v>
      </c>
      <c r="C8315" s="1" t="str">
        <f>"863 SULLIVANT AVE OSBORN PLACE LOT 66"</f>
        <v>863 SULLIVANT AVE OSBORN PLACE LOT 66</v>
      </c>
      <c r="D8315" s="1">
        <v>338.21</v>
      </c>
    </row>
    <row r="8316" spans="1:4" x14ac:dyDescent="0.3">
      <c r="A8316" s="1" t="str">
        <f>"01002266700"</f>
        <v>01002266700</v>
      </c>
      <c r="B8316" s="1" t="str">
        <f>"MEDARY AVENUE LLC"</f>
        <v>MEDARY AVENUE LLC</v>
      </c>
      <c r="C8316" s="1" t="str">
        <f>"2549-53 MEDARY AVE 50X145.75 FT N E COR LOT 234"</f>
        <v>2549-53 MEDARY AVE 50X145.75 FT N E COR LOT 234</v>
      </c>
      <c r="D8316" s="1">
        <v>338.52</v>
      </c>
    </row>
    <row r="8317" spans="1:4" x14ac:dyDescent="0.3">
      <c r="A8317" s="1" t="str">
        <f>"13000440100"</f>
        <v>13000440100</v>
      </c>
      <c r="B8317" s="1" t="str">
        <f>"MEDINA JESUS, DOMINGUEZ MARIA LUISA"</f>
        <v>MEDINA JESUS, DOMINGUEZ MARIA LUISA</v>
      </c>
      <c r="C8317" s="1" t="str">
        <f>"EDDYSTON AVE NORTHERN WAY 67 "</f>
        <v xml:space="preserve">EDDYSTON AVE NORTHERN WAY 67 </v>
      </c>
      <c r="D8317" s="1">
        <v>2441.21</v>
      </c>
    </row>
    <row r="8318" spans="1:4" x14ac:dyDescent="0.3">
      <c r="A8318" s="1" t="str">
        <f>"01016165100"</f>
        <v>01016165100</v>
      </c>
      <c r="B8318" s="1" t="str">
        <f>"MEDINA SANDRA, MEDINA MARK"</f>
        <v>MEDINA SANDRA, MEDINA MARK</v>
      </c>
      <c r="C8318" s="1" t="str">
        <f>"WINDING HILLS COURT WINDING HILLS CONDOMINIUM 2448"</f>
        <v>WINDING HILLS COURT WINDING HILLS CONDOMINIUM 2448</v>
      </c>
      <c r="D8318" s="1">
        <v>1581.27</v>
      </c>
    </row>
    <row r="8319" spans="1:4" x14ac:dyDescent="0.3">
      <c r="A8319" s="1" t="str">
        <f>"56023309800"</f>
        <v>56023309800</v>
      </c>
      <c r="B8319" s="1" t="str">
        <f>"MEDLEY ERIC A, MEDLEY TAMARA J"</f>
        <v>MEDLEY ERIC A, MEDLEY TAMARA J</v>
      </c>
      <c r="C8319" s="1" t="str">
        <f>"CHARLES MILL DRIVE WESTERN LAKES SEC 6 PART 2 LOT 289"</f>
        <v>CHARLES MILL DRIVE WESTERN LAKES SEC 6 PART 2 LOT 289</v>
      </c>
      <c r="D8319" s="1">
        <v>382.11</v>
      </c>
    </row>
    <row r="8320" spans="1:4" x14ac:dyDescent="0.3">
      <c r="A8320" s="1" t="str">
        <f>"01023563300"</f>
        <v>01023563300</v>
      </c>
      <c r="B8320" s="1" t="str">
        <f>"MEDORS JOE, MEDORS REBECCA"</f>
        <v>MEDORS JOE, MEDORS REBECCA</v>
      </c>
      <c r="C8320" s="1" t="str">
        <f>"MC NAUGHTEN PLACE CONDOMINIUM BLDG T UNIT 62"</f>
        <v>MC NAUGHTEN PLACE CONDOMINIUM BLDG T UNIT 62</v>
      </c>
      <c r="D8320" s="1">
        <v>329.61</v>
      </c>
    </row>
    <row r="8321" spans="1:4" x14ac:dyDescent="0.3">
      <c r="A8321" s="1" t="str">
        <f>"24000669300"</f>
        <v>24000669300</v>
      </c>
      <c r="B8321" s="1" t="str">
        <f>"MEDRANO LUCIA, MEDRANO LUCIA A"</f>
        <v>MEDRANO LUCIA, MEDRANO LUCIA A</v>
      </c>
      <c r="C8321" s="1" t="str">
        <f>"MAPLE VALLEY DRIVE NORTON CROSSING LOT 60"</f>
        <v>MAPLE VALLEY DRIVE NORTON CROSSING LOT 60</v>
      </c>
      <c r="D8321" s="1">
        <v>870.01</v>
      </c>
    </row>
    <row r="8322" spans="1:4" x14ac:dyDescent="0.3">
      <c r="A8322" s="1" t="str">
        <f>"01009443100"</f>
        <v>01009443100</v>
      </c>
      <c r="B8322" s="1" t="str">
        <f>"MEDRANO MATOS LUIS"</f>
        <v>MEDRANO MATOS LUIS</v>
      </c>
      <c r="C8322" s="1" t="str">
        <f>"2343 PALMETTO ST ONGS LOT 77"</f>
        <v>2343 PALMETTO ST ONGS LOT 77</v>
      </c>
      <c r="D8322" s="1">
        <v>449.93</v>
      </c>
    </row>
    <row r="8323" spans="1:4" x14ac:dyDescent="0.3">
      <c r="A8323" s="1" t="str">
        <f>"01005162600"</f>
        <v>01005162600</v>
      </c>
      <c r="B8323" s="1" t="str">
        <f>"MEDVEC ALEXANDER"</f>
        <v>MEDVEC ALEXANDER</v>
      </c>
      <c r="C8323" s="1" t="str">
        <f>"985 HARRISON AVE          COLLINS ATKINSON &amp;        GUITNER LOT 273          "</f>
        <v xml:space="preserve">985 HARRISON AVE          COLLINS ATKINSON &amp;        GUITNER LOT 273          </v>
      </c>
      <c r="D8323" s="1">
        <v>1554.48</v>
      </c>
    </row>
    <row r="8324" spans="1:4" x14ac:dyDescent="0.3">
      <c r="A8324" s="1" t="str">
        <f>"01005429200"</f>
        <v>01005429200</v>
      </c>
      <c r="B8324" s="1" t="str">
        <f>"MEEK BELINDA E"</f>
        <v>MEEK BELINDA E</v>
      </c>
      <c r="C8324" s="1" t="str">
        <f>"780 GILBERT ST CLAIRMONT LOT 74"</f>
        <v>780 GILBERT ST CLAIRMONT LOT 74</v>
      </c>
      <c r="D8324" s="1">
        <v>1077.68</v>
      </c>
    </row>
    <row r="8325" spans="1:4" x14ac:dyDescent="0.3">
      <c r="A8325" s="1" t="str">
        <f>"01007556600"</f>
        <v>01007556600</v>
      </c>
      <c r="B8325" s="1" t="str">
        <f>"MEEK FREDA"</f>
        <v>MEEK FREDA</v>
      </c>
      <c r="C8325" s="1" t="str">
        <f>"GERBERTS ROAD HOMESTEAD HEIGHTS LOT 299"</f>
        <v>GERBERTS ROAD HOMESTEAD HEIGHTS LOT 299</v>
      </c>
      <c r="D8325" s="1">
        <v>948.09</v>
      </c>
    </row>
    <row r="8326" spans="1:4" x14ac:dyDescent="0.3">
      <c r="A8326" s="1" t="str">
        <f>"09000123200"</f>
        <v>09000123200</v>
      </c>
      <c r="B8326" s="1" t="str">
        <f>"MEEKER JOHN ERIC, MEEKER TRINA L"</f>
        <v>MEEKER JOHN ERIC, MEEKER TRINA L</v>
      </c>
      <c r="C8326" s="1" t="str">
        <f>"4392 ST MARGARET LN NORTON FIELD PLAT 2 LOT 347"</f>
        <v>4392 ST MARGARET LN NORTON FIELD PLAT 2 LOT 347</v>
      </c>
      <c r="D8326" s="1">
        <v>113.64</v>
      </c>
    </row>
    <row r="8327" spans="1:4" x14ac:dyDescent="0.3">
      <c r="A8327" s="1" t="str">
        <f>"01012189900"</f>
        <v>01012189900</v>
      </c>
      <c r="B8327" s="1" t="str">
        <f>"MEEKS DANIEL, MEEKS SHARLOTTA"</f>
        <v>MEEKS DANIEL, MEEKS SHARLOTTA</v>
      </c>
      <c r="C8327" s="1" t="str">
        <f>"MIDLAND AVE RAINBOW 191 "</f>
        <v xml:space="preserve">MIDLAND AVE RAINBOW 191 </v>
      </c>
      <c r="D8327" s="1">
        <v>278.75</v>
      </c>
    </row>
    <row r="8328" spans="1:4" x14ac:dyDescent="0.3">
      <c r="A8328" s="1" t="str">
        <f>"01012190000"</f>
        <v>01012190000</v>
      </c>
      <c r="B8328" s="1" t="str">
        <f>"MEEKS DANIEL, MEEKS SHARLOTTA"</f>
        <v>MEEKS DANIEL, MEEKS SHARLOTTA</v>
      </c>
      <c r="C8328" s="1" t="str">
        <f>"MIDLAND AVE RAINBOW 192 "</f>
        <v xml:space="preserve">MIDLAND AVE RAINBOW 192 </v>
      </c>
      <c r="D8328" s="1">
        <v>278.75</v>
      </c>
    </row>
    <row r="8329" spans="1:4" x14ac:dyDescent="0.3">
      <c r="A8329" s="1" t="str">
        <f>"27401213300"</f>
        <v>27401213300</v>
      </c>
      <c r="B8329" s="1" t="str">
        <f>"MEEKS MOLLY TTEE"</f>
        <v>MEEKS MOLLY TTEE</v>
      </c>
      <c r="C8329" s="1" t="str">
        <f>"GLENS AT BALLANTRAE  CONDOMINIUM 9TH AMD PHASE 10 UNIT 27-6963"</f>
        <v>GLENS AT BALLANTRAE  CONDOMINIUM 9TH AMD PHASE 10 UNIT 27-6963</v>
      </c>
      <c r="D8329" s="1">
        <v>585.98</v>
      </c>
    </row>
    <row r="8330" spans="1:4" x14ac:dyDescent="0.3">
      <c r="A8330" s="1" t="str">
        <f>"01005695800"</f>
        <v>01005695800</v>
      </c>
      <c r="B8330" s="1" t="str">
        <f>"MEHARI SAMUEL H"</f>
        <v>MEHARI SAMUEL H</v>
      </c>
      <c r="C8330" s="1" t="str">
        <f>"2357-59-61 W BROA D ST OAKLEY LOT 102-3"</f>
        <v>2357-59-61 W BROA D ST OAKLEY LOT 102-3</v>
      </c>
      <c r="D8330" s="1">
        <v>420.91</v>
      </c>
    </row>
    <row r="8331" spans="1:4" x14ac:dyDescent="0.3">
      <c r="A8331" s="1" t="str">
        <f>"04000676900"</f>
        <v>04000676900</v>
      </c>
      <c r="B8331" s="1" t="str">
        <f>"MEIJA PEREZ ESMERALDA HAYDEE"</f>
        <v>MEIJA PEREZ ESMERALDA HAYDEE</v>
      </c>
      <c r="C8331" s="1" t="str">
        <f>"2410 STARGRASS AVE MEADOW GROVE SEC 5 LOT 177"</f>
        <v>2410 STARGRASS AVE MEADOW GROVE SEC 5 LOT 177</v>
      </c>
      <c r="D8331" s="1">
        <v>980</v>
      </c>
    </row>
    <row r="8332" spans="1:4" x14ac:dyDescent="0.3">
      <c r="A8332" s="1" t="str">
        <f>"07001314700"</f>
        <v>07001314700</v>
      </c>
      <c r="B8332" s="1" t="str">
        <f>"MEIMARIDIS DAPHNE S"</f>
        <v>MEIMARIDIS DAPHNE S</v>
      </c>
      <c r="C8332" s="1" t="str">
        <f>"TURNBERRY CONDOMINIUM UNIT 12"</f>
        <v>TURNBERRY CONDOMINIUM UNIT 12</v>
      </c>
      <c r="D8332" s="1">
        <v>202.95</v>
      </c>
    </row>
    <row r="8333" spans="1:4" x14ac:dyDescent="0.3">
      <c r="A8333" s="1" t="str">
        <f>"02000306400"</f>
        <v>02000306400</v>
      </c>
      <c r="B8333" s="1" t="str">
        <f>"MEINEKE MIDWEST DT LLC"</f>
        <v>MEINEKE MIDWEST DT LLC</v>
      </c>
      <c r="C8333" s="1" t="str">
        <f>"2260 E LIVINGSTON AV BROOKE PARCEL PLAT L 5-4"</f>
        <v>2260 E LIVINGSTON AV BROOKE PARCEL PLAT L 5-4</v>
      </c>
      <c r="D8333" s="1">
        <v>900.75</v>
      </c>
    </row>
    <row r="8334" spans="1:4" x14ac:dyDescent="0.3">
      <c r="A8334" s="1" t="str">
        <f>"24000022700"</f>
        <v>24000022700</v>
      </c>
      <c r="B8334" s="1" t="str">
        <f>"MEJIA BALTAZAR"</f>
        <v>MEJIA BALTAZAR</v>
      </c>
      <c r="C8334" s="1" t="str">
        <f>"6200 JOHNSON RD ENTRY 1436 83.064 ACRES"</f>
        <v>6200 JOHNSON RD ENTRY 1436 83.064 ACRES</v>
      </c>
      <c r="D8334" s="1">
        <v>810.5</v>
      </c>
    </row>
    <row r="8335" spans="1:4" x14ac:dyDescent="0.3">
      <c r="A8335" s="1" t="str">
        <f>"24000312100"</f>
        <v>24000312100</v>
      </c>
      <c r="B8335" s="1" t="str">
        <f>"MEJIA BALTAZAR"</f>
        <v>MEJIA BALTAZAR</v>
      </c>
      <c r="C8335" s="1" t="str">
        <f>"BAUSCH RD 64.493 ACRES ENTRY 1436"</f>
        <v>BAUSCH RD 64.493 ACRES ENTRY 1436</v>
      </c>
      <c r="D8335" s="1">
        <v>742.12</v>
      </c>
    </row>
    <row r="8336" spans="1:4" x14ac:dyDescent="0.3">
      <c r="A8336" s="1" t="str">
        <f>"24000186100"</f>
        <v>24000186100</v>
      </c>
      <c r="B8336" s="1" t="str">
        <f>"MEJIA BALTAZAR"</f>
        <v>MEJIA BALTAZAR</v>
      </c>
      <c r="C8336" s="1" t="str">
        <f>"BAUSCH RD ACRES .596 ENTRY 1436"</f>
        <v>BAUSCH RD ACRES .596 ENTRY 1436</v>
      </c>
      <c r="D8336" s="1">
        <v>17.71</v>
      </c>
    </row>
    <row r="8337" spans="1:4" x14ac:dyDescent="0.3">
      <c r="A8337" s="1" t="str">
        <f>"01011397900"</f>
        <v>01011397900</v>
      </c>
      <c r="B8337" s="1" t="str">
        <f>"MELDAU CHARLES L, MELDAU JUDITH A"</f>
        <v>MELDAU CHARLES L, MELDAU JUDITH A</v>
      </c>
      <c r="C8337" s="1" t="str">
        <f>"ROBINWOOD RD HOME ACRES LOT 143"</f>
        <v>ROBINWOOD RD HOME ACRES LOT 143</v>
      </c>
      <c r="D8337" s="1">
        <v>1029.52</v>
      </c>
    </row>
    <row r="8338" spans="1:4" x14ac:dyDescent="0.3">
      <c r="A8338" s="1" t="str">
        <f>"56022916700"</f>
        <v>56022916700</v>
      </c>
      <c r="B8338" s="1" t="str">
        <f>"MELENDEZ RADAMES, MENDEZ YOLETTE"</f>
        <v>MELENDEZ RADAMES, MENDEZ YOLETTE</v>
      </c>
      <c r="C8338" s="1" t="str">
        <f>"HILLIARD COMMONS CONDOMINIUM 4TH AMD UNIT 140F"</f>
        <v>HILLIARD COMMONS CONDOMINIUM 4TH AMD UNIT 140F</v>
      </c>
      <c r="D8338" s="1">
        <v>174.15</v>
      </c>
    </row>
    <row r="8339" spans="1:4" x14ac:dyDescent="0.3">
      <c r="A8339" s="1" t="str">
        <f>"01003162400"</f>
        <v>01003162400</v>
      </c>
      <c r="B8339" s="1" t="str">
        <f>"MELENDEZ WILBER ANTONIO"</f>
        <v>MELENDEZ WILBER ANTONIO</v>
      </c>
      <c r="C8339" s="1" t="str">
        <f>"NINTH AVE DUNHAMS 1ST LOT 83 "</f>
        <v xml:space="preserve">NINTH AVE DUNHAMS 1ST LOT 83 </v>
      </c>
      <c r="D8339" s="1">
        <v>113.62</v>
      </c>
    </row>
    <row r="8340" spans="1:4" x14ac:dyDescent="0.3">
      <c r="A8340" s="1" t="str">
        <f>"01005843700"</f>
        <v>01005843700</v>
      </c>
      <c r="B8340" s="1" t="str">
        <f>"MELICK DAVID E TR"</f>
        <v>MELICK DAVID E TR</v>
      </c>
      <c r="C8340" s="1" t="str">
        <f>"343 BREVOORT RD WOODLAND CREST LOT 19"</f>
        <v>343 BREVOORT RD WOODLAND CREST LOT 19</v>
      </c>
      <c r="D8340" s="1">
        <v>617.80999999999995</v>
      </c>
    </row>
    <row r="8341" spans="1:4" x14ac:dyDescent="0.3">
      <c r="A8341" s="1" t="str">
        <f>"04000165000"</f>
        <v>04000165000</v>
      </c>
      <c r="B8341" s="1" t="str">
        <f>"MELLEN NANCY A"</f>
        <v>MELLEN NANCY A</v>
      </c>
      <c r="C8341" s="1" t="str">
        <f>"4217 BROOKGROVE DR BROOKGROVE 130 "</f>
        <v xml:space="preserve">4217 BROOKGROVE DR BROOKGROVE 130 </v>
      </c>
      <c r="D8341" s="1">
        <v>138.01</v>
      </c>
    </row>
    <row r="8342" spans="1:4" x14ac:dyDescent="0.3">
      <c r="A8342" s="1" t="str">
        <f>"01007005700"</f>
        <v>01007005700</v>
      </c>
      <c r="B8342" s="1" t="str">
        <f>"MENDEZ ALICIA, MENDEZ MARTINEZ JOSE ORLANDO"</f>
        <v>MENDEZ ALICIA, MENDEZ MARTINEZ JOSE ORLANDO</v>
      </c>
      <c r="C8342" s="1" t="str">
        <f>"PARKWOOD 27.90FT NSL 25&amp;12.76FT SSL 26 BEARNEY LOT 25-26"</f>
        <v>PARKWOOD 27.90FT NSL 25&amp;12.76FT SSL 26 BEARNEY LOT 25-26</v>
      </c>
      <c r="D8342" s="1">
        <v>1394.27</v>
      </c>
    </row>
    <row r="8343" spans="1:4" x14ac:dyDescent="0.3">
      <c r="A8343" s="1" t="str">
        <f>"01011279000"</f>
        <v>01011279000</v>
      </c>
      <c r="B8343" s="1" t="str">
        <f>"MENDEZ CARLOS"</f>
        <v>MENDEZ CARLOS</v>
      </c>
      <c r="C8343" s="1" t="str">
        <f>"1538 S CHAMPION AVE 40 X 154 FT MERION EXRS LOT F"</f>
        <v>1538 S CHAMPION AVE 40 X 154 FT MERION EXRS LOT F</v>
      </c>
      <c r="D8343" s="1">
        <v>3163.57</v>
      </c>
    </row>
    <row r="8344" spans="1:4" x14ac:dyDescent="0.3">
      <c r="A8344" s="1" t="str">
        <f>"01002490300"</f>
        <v>01002490300</v>
      </c>
      <c r="B8344" s="1" t="str">
        <f>"MENDEZ CARLOS"</f>
        <v>MENDEZ CARLOS</v>
      </c>
      <c r="C8344" s="1" t="str">
        <f>"1486 S CHAMPION AVE 35X154FT W MERIONA EXRS R22T5S27-40 LTF"</f>
        <v>1486 S CHAMPION AVE 35X154FT W MERIONA EXRS R22T5S27-40 LTF</v>
      </c>
      <c r="D8344" s="1">
        <v>2955.44</v>
      </c>
    </row>
    <row r="8345" spans="1:4" x14ac:dyDescent="0.3">
      <c r="A8345" s="1" t="str">
        <f>"01008139500"</f>
        <v>01008139500</v>
      </c>
      <c r="B8345" s="1" t="str">
        <f>"MENDEZ CARLOS"</f>
        <v>MENDEZ CARLOS</v>
      </c>
      <c r="C8345" s="1" t="str">
        <f>"BUTLER AVE HIGH RIDGE EXT LOT 4 BLK 1"</f>
        <v>BUTLER AVE HIGH RIDGE EXT LOT 4 BLK 1</v>
      </c>
      <c r="D8345" s="1">
        <v>2185.15</v>
      </c>
    </row>
    <row r="8346" spans="1:4" x14ac:dyDescent="0.3">
      <c r="A8346" s="1" t="str">
        <f>"01011884800"</f>
        <v>01011884800</v>
      </c>
      <c r="B8346" s="1" t="str">
        <f>"MENDEZ GONZALEZ DONAN ESTUARDO, MENDEZ ROSARIO ANA"</f>
        <v>MENDEZ GONZALEZ DONAN ESTUARDO, MENDEZ ROSARIO ANA</v>
      </c>
      <c r="C8346" s="1" t="str">
        <f>"BURT RD CATALPA PARK 2 LOT 136"</f>
        <v>BURT RD CATALPA PARK 2 LOT 136</v>
      </c>
      <c r="D8346" s="1">
        <v>35.549999999999997</v>
      </c>
    </row>
    <row r="8347" spans="1:4" x14ac:dyDescent="0.3">
      <c r="A8347" s="1" t="str">
        <f>"01008272800"</f>
        <v>01008272800</v>
      </c>
      <c r="B8347" s="1" t="str">
        <f>"MENDEZ JOSE"</f>
        <v>MENDEZ JOSE</v>
      </c>
      <c r="C8347" s="1" t="str">
        <f>"ACTON RD EDGEMONT GARDENS LOT 87"</f>
        <v>ACTON RD EDGEMONT GARDENS LOT 87</v>
      </c>
      <c r="D8347" s="1">
        <v>879.25</v>
      </c>
    </row>
    <row r="8348" spans="1:4" x14ac:dyDescent="0.3">
      <c r="A8348" s="1" t="str">
        <f>"01010087900"</f>
        <v>01010087900</v>
      </c>
      <c r="B8348" s="1" t="str">
        <f>"MENDEZ JOSE"</f>
        <v>MENDEZ JOSE</v>
      </c>
      <c r="C8348" s="1" t="str">
        <f>"DRESDEN ST OAK PARK ADDN. 11 LOT 12"</f>
        <v>DRESDEN ST OAK PARK ADDN. 11 LOT 12</v>
      </c>
      <c r="D8348" s="1">
        <v>3057.93</v>
      </c>
    </row>
    <row r="8349" spans="1:4" x14ac:dyDescent="0.3">
      <c r="A8349" s="1" t="str">
        <f>"16100081000"</f>
        <v>16100081000</v>
      </c>
      <c r="B8349" s="1" t="str">
        <f>"MENDEZ RICARDO MORA"</f>
        <v>MENDEZ RICARDO MORA</v>
      </c>
      <c r="C8349" s="1" t="str">
        <f>"2ND ND AVE URBANCREST 45 BLK 19"</f>
        <v>2ND ND AVE URBANCREST 45 BLK 19</v>
      </c>
      <c r="D8349" s="1">
        <v>2.97</v>
      </c>
    </row>
    <row r="8350" spans="1:4" x14ac:dyDescent="0.3">
      <c r="A8350" s="1" t="str">
        <f>"01011881200"</f>
        <v>01011881200</v>
      </c>
      <c r="B8350" s="1" t="str">
        <f>"MENDEZ ROSARIO, MENDEZ-GONZALEZ DONAN ESTUARDO"</f>
        <v>MENDEZ ROSARIO, MENDEZ-GONZALEZ DONAN ESTUARDO</v>
      </c>
      <c r="C8350" s="1" t="str">
        <f>"COLVIN RD CATALPA PARK 2 LOT 98"</f>
        <v>COLVIN RD CATALPA PARK 2 LOT 98</v>
      </c>
      <c r="D8350" s="1">
        <v>35.549999999999997</v>
      </c>
    </row>
    <row r="8351" spans="1:4" x14ac:dyDescent="0.3">
      <c r="A8351" s="1" t="str">
        <f>"54523566600"</f>
        <v>54523566600</v>
      </c>
      <c r="B8351" s="1" t="str">
        <f>"MENEFIELD MICHAEL C, MENEFIELD MERCHEL A"</f>
        <v>MENEFIELD MICHAEL C, MENEFIELD MERCHEL A</v>
      </c>
      <c r="C8351" s="1" t="str">
        <f>"GARNIER AVENUE PRESTON COMMONS SECTION 2 LOT 103"</f>
        <v>GARNIER AVENUE PRESTON COMMONS SECTION 2 LOT 103</v>
      </c>
      <c r="D8351" s="1">
        <v>3834.49</v>
      </c>
    </row>
    <row r="8352" spans="1:4" x14ac:dyDescent="0.3">
      <c r="A8352" s="1" t="str">
        <f>"01027354500"</f>
        <v>01027354500</v>
      </c>
      <c r="B8352" s="1" t="str">
        <f>"MENGEL JAMES M"</f>
        <v>MENGEL JAMES M</v>
      </c>
      <c r="C8352" s="1" t="str">
        <f>"NEW ALBANY PARK           CONDOMINIUM 13TH AMD      BLDG 36 UNIT 36-7031     "</f>
        <v xml:space="preserve">NEW ALBANY PARK           CONDOMINIUM 13TH AMD      BLDG 36 UNIT 36-7031     </v>
      </c>
      <c r="D8352" s="1">
        <v>4313.6099999999997</v>
      </c>
    </row>
    <row r="8353" spans="1:4" x14ac:dyDescent="0.3">
      <c r="A8353" s="1" t="str">
        <f>"24000592100"</f>
        <v>24000592100</v>
      </c>
      <c r="B8353" s="1" t="str">
        <f>"MENINGALL FRED E"</f>
        <v>MENINGALL FRED E</v>
      </c>
      <c r="C8353" s="1" t="str">
        <f>"GLENFORD VILL CONDMN UNIT 7-3J "</f>
        <v xml:space="preserve">GLENFORD VILL CONDMN UNIT 7-3J </v>
      </c>
      <c r="D8353" s="1">
        <v>1055.46</v>
      </c>
    </row>
    <row r="8354" spans="1:4" x14ac:dyDescent="0.3">
      <c r="A8354" s="1" t="str">
        <f>"01014929800"</f>
        <v>01014929800</v>
      </c>
      <c r="B8354" s="1" t="str">
        <f>"MENSAH ALBERT A"</f>
        <v>MENSAH ALBERT A</v>
      </c>
      <c r="C8354" s="1" t="str">
        <f>"SANDHURST RD SHARON WOODS SEC 1 LOT 80"</f>
        <v>SANDHURST RD SHARON WOODS SEC 1 LOT 80</v>
      </c>
      <c r="D8354" s="1">
        <v>769.32</v>
      </c>
    </row>
    <row r="8355" spans="1:4" x14ac:dyDescent="0.3">
      <c r="A8355" s="1" t="str">
        <f>"01026248700"</f>
        <v>01026248700</v>
      </c>
      <c r="B8355" s="1" t="str">
        <f>"MENSAH ERIC, MENSAH GLADYS"</f>
        <v>MENSAH ERIC, MENSAH GLADYS</v>
      </c>
      <c r="C8355" s="1" t="str">
        <f>"GIDEON LANE McCUTCHEON CROSSING SECTION 2 PART 2 LOT 134"</f>
        <v>GIDEON LANE McCUTCHEON CROSSING SECTION 2 PART 2 LOT 134</v>
      </c>
      <c r="D8355" s="1">
        <v>356.62</v>
      </c>
    </row>
    <row r="8356" spans="1:4" x14ac:dyDescent="0.3">
      <c r="A8356" s="1" t="str">
        <f>"01008851500"</f>
        <v>01008851500</v>
      </c>
      <c r="B8356" s="1" t="str">
        <f>"MERCADO BEATRIZ A ENRIQUEZ"</f>
        <v>MERCADO BEATRIZ A ENRIQUEZ</v>
      </c>
      <c r="C8356" s="1" t="str">
        <f>"821 WEYANT AVE CALDWELLS MAIN ST LOT 209 &amp; PT ST VAC"</f>
        <v>821 WEYANT AVE CALDWELLS MAIN ST LOT 209 &amp; PT ST VAC</v>
      </c>
      <c r="D8356" s="1">
        <v>1114.71</v>
      </c>
    </row>
    <row r="8357" spans="1:4" x14ac:dyDescent="0.3">
      <c r="A8357" s="1" t="str">
        <f>"01019102900"</f>
        <v>01019102900</v>
      </c>
      <c r="B8357" s="1" t="str">
        <f>"MERCADO CESAR A, MERCADO MARIANNE S"</f>
        <v>MERCADO CESAR A, MERCADO MARIANNE S</v>
      </c>
      <c r="C8357" s="1" t="str">
        <f>"WORTHINGTON FOREST CONDOMINIUM UNIT 5448 BLDG 2"</f>
        <v>WORTHINGTON FOREST CONDOMINIUM UNIT 5448 BLDG 2</v>
      </c>
      <c r="D8357" s="1">
        <v>1140.99</v>
      </c>
    </row>
    <row r="8358" spans="1:4" x14ac:dyDescent="0.3">
      <c r="A8358" s="1" t="str">
        <f>"56021795900"</f>
        <v>56021795900</v>
      </c>
      <c r="B8358" s="1" t="str">
        <f>"MERCADO MILAGROS L TR"</f>
        <v>MERCADO MILAGROS L TR</v>
      </c>
      <c r="C8358" s="1" t="str">
        <f>"CROSS CREEK VILLAGE SECTION 8 LOT 693"</f>
        <v>CROSS CREEK VILLAGE SECTION 8 LOT 693</v>
      </c>
      <c r="D8358" s="1">
        <v>2838.31</v>
      </c>
    </row>
    <row r="8359" spans="1:4" x14ac:dyDescent="0.3">
      <c r="A8359" s="1" t="str">
        <f>"01007322200"</f>
        <v>01007322200</v>
      </c>
      <c r="B8359" s="1" t="str">
        <f>"MERCANTILE BANKING CORPORATION LLC"</f>
        <v>MERCANTILE BANKING CORPORATION LLC</v>
      </c>
      <c r="C8359" s="1" t="str">
        <f>"20TH AVE RICHMOND LOT 143"</f>
        <v>20TH AVE RICHMOND LOT 143</v>
      </c>
      <c r="D8359" s="1">
        <v>85.35</v>
      </c>
    </row>
    <row r="8360" spans="1:4" x14ac:dyDescent="0.3">
      <c r="A8360" s="1" t="str">
        <f>"01008331500"</f>
        <v>01008331500</v>
      </c>
      <c r="B8360" s="1" t="str">
        <f>"MERCER FRANCES S"</f>
        <v>MERCER FRANCES S</v>
      </c>
      <c r="C8360" s="1" t="str">
        <f>"HIAWATHA ST SUNNYSIDE LOT 170"</f>
        <v>HIAWATHA ST SUNNYSIDE LOT 170</v>
      </c>
      <c r="D8360" s="1">
        <v>1249.51</v>
      </c>
    </row>
    <row r="8361" spans="1:4" x14ac:dyDescent="0.3">
      <c r="A8361" s="1" t="str">
        <f>"01008358000"</f>
        <v>01008358000</v>
      </c>
      <c r="B8361" s="1" t="str">
        <f>"MERCER FRANCES S"</f>
        <v>MERCER FRANCES S</v>
      </c>
      <c r="C8361" s="1" t="str">
        <f>"HOWEY RD SUNNYSIDE LOT 453"</f>
        <v>HOWEY RD SUNNYSIDE LOT 453</v>
      </c>
      <c r="D8361" s="1">
        <v>1271</v>
      </c>
    </row>
    <row r="8362" spans="1:4" x14ac:dyDescent="0.3">
      <c r="A8362" s="1" t="str">
        <f>"01012142200"</f>
        <v>01012142200</v>
      </c>
      <c r="B8362" s="1" t="str">
        <f>"MERCER FRANCES S"</f>
        <v>MERCER FRANCES S</v>
      </c>
      <c r="C8362" s="1" t="str">
        <f>"WALMAR BLDG CORP NORTHVIEW ESTATES LOT 33"</f>
        <v>WALMAR BLDG CORP NORTHVIEW ESTATES LOT 33</v>
      </c>
      <c r="D8362" s="1">
        <v>1890.94</v>
      </c>
    </row>
    <row r="8363" spans="1:4" x14ac:dyDescent="0.3">
      <c r="A8363" s="1" t="str">
        <f>"01008357100"</f>
        <v>01008357100</v>
      </c>
      <c r="B8363" s="1" t="str">
        <f>"MERCER FRANCES S"</f>
        <v>MERCER FRANCES S</v>
      </c>
      <c r="C8363" s="1" t="str">
        <f>"HOWEY RD SUNNYSIDE LOT 444"</f>
        <v>HOWEY RD SUNNYSIDE LOT 444</v>
      </c>
      <c r="D8363" s="1">
        <v>1278.8399999999999</v>
      </c>
    </row>
    <row r="8364" spans="1:4" x14ac:dyDescent="0.3">
      <c r="A8364" s="1" t="str">
        <f>"07001173900"</f>
        <v>07001173900</v>
      </c>
      <c r="B8364" s="1" t="str">
        <f>"MERCHANT OWEN, KENNEDY JEAN"</f>
        <v>MERCHANT OWEN, KENNEDY JEAN</v>
      </c>
      <c r="C8364" s="1" t="str">
        <f>"2498 DANVERS COURT BURBANK ESTATES LOT 12"</f>
        <v>2498 DANVERS COURT BURBANK ESTATES LOT 12</v>
      </c>
      <c r="D8364" s="1">
        <v>1786.46</v>
      </c>
    </row>
    <row r="8365" spans="1:4" x14ac:dyDescent="0.3">
      <c r="A8365" s="1" t="str">
        <f>"01010277500"</f>
        <v>01010277500</v>
      </c>
      <c r="B8365" s="1" t="str">
        <f>"MERCHANT PATRICE Y"</f>
        <v>MERCHANT PATRICE Y</v>
      </c>
      <c r="C8365" s="1" t="str">
        <f>"MARY AVE MIRIAM 4 LOT 4 BLK 18"</f>
        <v>MARY AVE MIRIAM 4 LOT 4 BLK 18</v>
      </c>
      <c r="D8365" s="1">
        <v>340.82</v>
      </c>
    </row>
    <row r="8366" spans="1:4" x14ac:dyDescent="0.3">
      <c r="A8366" s="1" t="str">
        <f>"01012405100"</f>
        <v>01012405100</v>
      </c>
      <c r="B8366" s="1" t="str">
        <f>"MERK HOLDINGS OH 1 LLC"</f>
        <v>MERK HOLDINGS OH 1 LLC</v>
      </c>
      <c r="C8366" s="1" t="str">
        <f>"AMSTERDAM AVE HILLGATE 3 LOT 281"</f>
        <v>AMSTERDAM AVE HILLGATE 3 LOT 281</v>
      </c>
      <c r="D8366" s="1">
        <v>504.68</v>
      </c>
    </row>
    <row r="8367" spans="1:4" x14ac:dyDescent="0.3">
      <c r="A8367" s="1" t="str">
        <f>"17000152000"</f>
        <v>17000152000</v>
      </c>
      <c r="B8367" s="1" t="str">
        <f>"MERKLIN EDWARD R, MERKLIN PAULINE V"</f>
        <v>MERKLIN EDWARD R, MERKLIN PAULINE V</v>
      </c>
      <c r="C8367" s="1" t="str">
        <f>"8407 MORSE RD R 16 T 1 1/4 T 1 LOT 1 1.151 ACRE"</f>
        <v>8407 MORSE RD R 16 T 1 1/4 T 1 LOT 1 1.151 ACRE</v>
      </c>
      <c r="D8367" s="1">
        <v>2881.15</v>
      </c>
    </row>
    <row r="8368" spans="1:4" x14ac:dyDescent="0.3">
      <c r="A8368" s="1" t="str">
        <f>"01021648100"</f>
        <v>01021648100</v>
      </c>
      <c r="B8368" s="1" t="str">
        <f>"MERRILL DONALD E"</f>
        <v>MERRILL DONALD E</v>
      </c>
      <c r="C8368" s="1" t="str">
        <f>"2885 WILLIAMS RD R21 T11 S17-18-19 1.119 ACRES"</f>
        <v>2885 WILLIAMS RD R21 T11 S17-18-19 1.119 ACRES</v>
      </c>
      <c r="D8368" s="1">
        <v>3341.67</v>
      </c>
    </row>
    <row r="8369" spans="1:4" x14ac:dyDescent="0.3">
      <c r="A8369" s="1" t="str">
        <f>"01019191600"</f>
        <v>01019191600</v>
      </c>
      <c r="B8369" s="1" t="str">
        <f>"MERRILL-PAYNE MOLLY L"</f>
        <v>MERRILL-PAYNE MOLLY L</v>
      </c>
      <c r="C8369" s="1" t="str">
        <f>"OLENTANGY THE CONDOMINIUM BLDG 17 UNIT 17-649C"</f>
        <v>OLENTANGY THE CONDOMINIUM BLDG 17 UNIT 17-649C</v>
      </c>
      <c r="D8369" s="1">
        <v>3403.87</v>
      </c>
    </row>
    <row r="8370" spans="1:4" x14ac:dyDescent="0.3">
      <c r="A8370" s="1" t="str">
        <f>"57015198900"</f>
        <v>57015198900</v>
      </c>
      <c r="B8370" s="1" t="str">
        <f>"MERRION LYDIA A"</f>
        <v>MERRION LYDIA A</v>
      </c>
      <c r="C8370" s="1" t="str">
        <f>"668 PAMLICO ST HARDESTY HTS CONDO Z UNIT Z-10"</f>
        <v>668 PAMLICO ST HARDESTY HTS CONDO Z UNIT Z-10</v>
      </c>
      <c r="D8370" s="1">
        <v>45.17</v>
      </c>
    </row>
    <row r="8371" spans="1:4" x14ac:dyDescent="0.3">
      <c r="A8371" s="1" t="str">
        <f>"04000364000"</f>
        <v>04000364000</v>
      </c>
      <c r="B8371" s="1" t="str">
        <f>"MERRITT THOMAS O"</f>
        <v>MERRITT THOMAS O</v>
      </c>
      <c r="C8371" s="1" t="str">
        <f>"4361 BILLMAN DR STONER LOT 17"</f>
        <v>4361 BILLMAN DR STONER LOT 17</v>
      </c>
      <c r="D8371" s="1">
        <v>207.39</v>
      </c>
    </row>
    <row r="8372" spans="1:4" x14ac:dyDescent="0.3">
      <c r="A8372" s="1" t="str">
        <f>"01018998400"</f>
        <v>01018998400</v>
      </c>
      <c r="B8372" s="1" t="str">
        <f>"MERRY DAVID E"</f>
        <v>MERRY DAVID E</v>
      </c>
      <c r="C8372" s="1" t="str">
        <f>"WEBER RD WEBER WEST CONDO UNIT 76"</f>
        <v>WEBER RD WEBER WEST CONDO UNIT 76</v>
      </c>
      <c r="D8372" s="1">
        <v>1637.14</v>
      </c>
    </row>
    <row r="8373" spans="1:4" x14ac:dyDescent="0.3">
      <c r="A8373" s="1" t="str">
        <f>"61019784500"</f>
        <v>61019784500</v>
      </c>
      <c r="B8373" s="1" t="str">
        <f>"MERZ ANNA MARIA, MERZ COLIN"</f>
        <v>MERZ ANNA MARIA, MERZ COLIN</v>
      </c>
      <c r="C8373" s="1" t="str">
        <f>"BUCKPOINT LA DEER CREEK SEC TWO LOT 93"</f>
        <v>BUCKPOINT LA DEER CREEK SEC TWO LOT 93</v>
      </c>
      <c r="D8373" s="1">
        <v>4836.45</v>
      </c>
    </row>
    <row r="8374" spans="1:4" x14ac:dyDescent="0.3">
      <c r="A8374" s="1" t="str">
        <f>"01017738100"</f>
        <v>01017738100</v>
      </c>
      <c r="B8374" s="1" t="str">
        <f>"MERZ ANNA MARIA, MERZ COLIN G"</f>
        <v>MERZ ANNA MARIA, MERZ COLIN G</v>
      </c>
      <c r="C8374" s="1" t="str">
        <f>"HENDEREED VIL CONDO UNIT BLDG 1906 10 "</f>
        <v xml:space="preserve">HENDEREED VIL CONDO UNIT BLDG 1906 10 </v>
      </c>
      <c r="D8374" s="1">
        <v>168.85</v>
      </c>
    </row>
    <row r="8375" spans="1:4" x14ac:dyDescent="0.3">
      <c r="A8375" s="1" t="str">
        <f>"01002481800"</f>
        <v>01002481800</v>
      </c>
      <c r="B8375" s="1" t="str">
        <f>"MESSER MIKE"</f>
        <v>MESSER MIKE</v>
      </c>
      <c r="C8375" s="1" t="str">
        <f>"195 COLUMBIAN GELNWOOD HTS LOT 285"</f>
        <v>195 COLUMBIAN GELNWOOD HTS LOT 285</v>
      </c>
      <c r="D8375" s="1">
        <v>71.510000000000005</v>
      </c>
    </row>
    <row r="8376" spans="1:4" x14ac:dyDescent="0.3">
      <c r="A8376" s="1" t="str">
        <f>"01001373800"</f>
        <v>01001373800</v>
      </c>
      <c r="B8376" s="1" t="str">
        <f>"MESSER WILLIAM"</f>
        <v>MESSER WILLIAM</v>
      </c>
      <c r="C8376" s="1" t="str">
        <f>"N NELSON RD HEFFNER M C LOT 4"</f>
        <v>N NELSON RD HEFFNER M C LOT 4</v>
      </c>
      <c r="D8376" s="1">
        <v>3843.57</v>
      </c>
    </row>
    <row r="8377" spans="1:4" x14ac:dyDescent="0.3">
      <c r="A8377" s="1" t="str">
        <f>"01009784700"</f>
        <v>01009784700</v>
      </c>
      <c r="B8377" s="1" t="str">
        <f>"MESSERLY STEPHEN M, MESSERLY VINCENT E"</f>
        <v>MESSERLY STEPHEN M, MESSERLY VINCENT E</v>
      </c>
      <c r="C8377" s="1" t="str">
        <f>"CLERMONT RD BERWICK HTS LOT 87"</f>
        <v>CLERMONT RD BERWICK HTS LOT 87</v>
      </c>
      <c r="D8377" s="1">
        <v>5407.14</v>
      </c>
    </row>
    <row r="8378" spans="1:4" x14ac:dyDescent="0.3">
      <c r="A8378" s="1" t="str">
        <f>"01024151800"</f>
        <v>01024151800</v>
      </c>
      <c r="B8378" s="1" t="str">
        <f>"MESSING SCOTT"</f>
        <v>MESSING SCOTT</v>
      </c>
      <c r="C8378" s="1" t="str">
        <f>"SHELBYVILLE PLACE CHERRINGTON PLACE LOT 39"</f>
        <v>SHELBYVILLE PLACE CHERRINGTON PLACE LOT 39</v>
      </c>
      <c r="D8378" s="1">
        <v>6668.55</v>
      </c>
    </row>
    <row r="8379" spans="1:4" x14ac:dyDescent="0.3">
      <c r="A8379" s="1" t="str">
        <f>"04000708200"</f>
        <v>04000708200</v>
      </c>
      <c r="B8379" s="1" t="str">
        <f>"MESSISCO JAMES M, MESSISCO DARLENE"</f>
        <v>MESSISCO JAMES M, MESSISCO DARLENE</v>
      </c>
      <c r="C8379" s="1" t="str">
        <f>"FARMBROOK DRIVE FARMBROOK SECTION 1 LOT 90"</f>
        <v>FARMBROOK DRIVE FARMBROOK SECTION 1 LOT 90</v>
      </c>
      <c r="D8379" s="1">
        <v>3233.85</v>
      </c>
    </row>
    <row r="8380" spans="1:4" x14ac:dyDescent="0.3">
      <c r="A8380" s="1" t="str">
        <f>"01009063400"</f>
        <v>01009063400</v>
      </c>
      <c r="B8380" s="1" t="str">
        <f>"METOYER RHONDA P"</f>
        <v>METOYER RHONDA P</v>
      </c>
      <c r="C8380" s="1" t="str">
        <f>"MEDWAY AVE EASTMOOR LOT 49"</f>
        <v>MEDWAY AVE EASTMOOR LOT 49</v>
      </c>
      <c r="D8380" s="1">
        <v>1000</v>
      </c>
    </row>
    <row r="8381" spans="1:4" x14ac:dyDescent="0.3">
      <c r="A8381" s="1" t="str">
        <f>"01031572200"</f>
        <v>01031572200</v>
      </c>
      <c r="B8381" s="1" t="str">
        <f>"METRO INVESTMENTS LLC"</f>
        <v>METRO INVESTMENTS LLC</v>
      </c>
      <c r="C8381" s="1" t="str">
        <f>"E FULTON ST LIVINGSTON PARK 0.081"</f>
        <v>E FULTON ST LIVINGSTON PARK 0.081</v>
      </c>
      <c r="D8381" s="1">
        <v>90.75</v>
      </c>
    </row>
    <row r="8382" spans="1:4" x14ac:dyDescent="0.3">
      <c r="A8382" s="1" t="str">
        <f>"24000049500"</f>
        <v>24000049500</v>
      </c>
      <c r="B8382" s="1" t="str">
        <f>"METRO INVESTMENTS LLC"</f>
        <v>METRO INVESTMENTS LLC</v>
      </c>
      <c r="C8382" s="1" t="str">
        <f>"LAWRENCE AVE LITTLE FARMS 168 "</f>
        <v xml:space="preserve">LAWRENCE AVE LITTLE FARMS 168 </v>
      </c>
      <c r="D8382" s="1">
        <v>2429.09</v>
      </c>
    </row>
    <row r="8383" spans="1:4" x14ac:dyDescent="0.3">
      <c r="A8383" s="1" t="str">
        <f>"57016891200"</f>
        <v>57016891200</v>
      </c>
      <c r="B8383" s="1" t="str">
        <f>"METSKER BRIAN L, LITTLE PAMELA J"</f>
        <v>METSKER BRIAN L, LITTLE PAMELA J</v>
      </c>
      <c r="C8383" s="1" t="str">
        <f>"WILLOW RUN RD WILLOW RUN RESUBDIV LOT 26"</f>
        <v>WILLOW RUN RD WILLOW RUN RESUBDIV LOT 26</v>
      </c>
      <c r="D8383" s="1">
        <v>2573</v>
      </c>
    </row>
    <row r="8384" spans="1:4" x14ac:dyDescent="0.3">
      <c r="A8384" s="1" t="str">
        <f>"03000226500"</f>
        <v>03000226500</v>
      </c>
      <c r="B8384" s="1" t="str">
        <f>"METTERS GRANT, METTERS LARRY MARK"</f>
        <v>METTERS GRANT, METTERS LARRY MARK</v>
      </c>
      <c r="C8384" s="1" t="str">
        <f>"1381 GLENN AVE GLADDINGTON HTS LOT 440"</f>
        <v>1381 GLENN AVE GLADDINGTON HTS LOT 440</v>
      </c>
      <c r="D8384" s="1">
        <v>5276.03</v>
      </c>
    </row>
    <row r="8385" spans="1:4" x14ac:dyDescent="0.3">
      <c r="A8385" s="1" t="str">
        <f>"14000299700"</f>
        <v>14000299700</v>
      </c>
      <c r="B8385" s="1" t="str">
        <f>"METZ PROPERTY PARTNERS LLC"</f>
        <v>METZ PROPERTY PARTNERS LLC</v>
      </c>
      <c r="C8385" s="1" t="str">
        <f>"1087 HARRISBURG PI FIRST SEARLES 11 "</f>
        <v xml:space="preserve">1087 HARRISBURG PI FIRST SEARLES 11 </v>
      </c>
      <c r="D8385" s="1">
        <v>2444.42</v>
      </c>
    </row>
    <row r="8386" spans="1:4" x14ac:dyDescent="0.3">
      <c r="A8386" s="1" t="str">
        <f>"10000007100"</f>
        <v>10000007100</v>
      </c>
      <c r="B8386" s="1" t="str">
        <f>"METZ THOMAS W, BRIGHTMAN DAVID S"</f>
        <v>METZ THOMAS W, BRIGHTMAN DAVID S</v>
      </c>
      <c r="C8386" s="1" t="str">
        <f>"31 STAFFORD AVE PT LOT 44 CITY OF WORTHINGTON"</f>
        <v>31 STAFFORD AVE PT LOT 44 CITY OF WORTHINGTON</v>
      </c>
      <c r="D8386" s="1">
        <v>5596.65</v>
      </c>
    </row>
    <row r="8387" spans="1:4" x14ac:dyDescent="0.3">
      <c r="A8387" s="1" t="str">
        <f>"09000056000"</f>
        <v>09000056000</v>
      </c>
      <c r="B8387" s="1" t="str">
        <f>"METZGER NORA E"</f>
        <v>METZGER NORA E</v>
      </c>
      <c r="C8387" s="1" t="str">
        <f>"98 COLLINGWOOD AVE 50X135FT NW COR LOWRIE BROS 207"</f>
        <v>98 COLLINGWOOD AVE 50X135FT NW COR LOWRIE BROS 207</v>
      </c>
      <c r="D8387" s="1">
        <v>64.63</v>
      </c>
    </row>
    <row r="8388" spans="1:4" x14ac:dyDescent="0.3">
      <c r="A8388" s="1" t="str">
        <f>"01016109200"</f>
        <v>01016109200</v>
      </c>
      <c r="B8388" s="1" t="str">
        <f>"METZUNG RONALD J"</f>
        <v>METZUNG RONALD J</v>
      </c>
      <c r="C8388" s="1" t="str">
        <f>"WOODBROOK CR N WOODBROOK VILLAGE CONDO UNIT 126"</f>
        <v>WOODBROOK CR N WOODBROOK VILLAGE CONDO UNIT 126</v>
      </c>
      <c r="D8388" s="1">
        <v>1512.57</v>
      </c>
    </row>
    <row r="8389" spans="1:4" x14ac:dyDescent="0.3">
      <c r="A8389" s="1" t="str">
        <f>"17000505000"</f>
        <v>17000505000</v>
      </c>
      <c r="B8389" s="1" t="str">
        <f>"MEUSE LISA"</f>
        <v>MEUSE LISA</v>
      </c>
      <c r="C8389" s="1" t="str">
        <f>"HEADLEY FARMS SUBDIVISION LOT 2 "</f>
        <v xml:space="preserve">HEADLEY FARMS SUBDIVISION LOT 2 </v>
      </c>
      <c r="D8389" s="1">
        <v>402.33</v>
      </c>
    </row>
    <row r="8390" spans="1:4" x14ac:dyDescent="0.3">
      <c r="A8390" s="1" t="str">
        <f>"02501347600"</f>
        <v>02501347600</v>
      </c>
      <c r="B8390" s="1" t="str">
        <f>"MEUSE LISA B"</f>
        <v>MEUSE LISA B</v>
      </c>
      <c r="C8390" s="1" t="str">
        <f>"THE WOODS AT SHAGBARK CONDOMINIUM 19TH AMD BLDG 22 UNIT 22-1227"</f>
        <v>THE WOODS AT SHAGBARK CONDOMINIUM 19TH AMD BLDG 22 UNIT 22-1227</v>
      </c>
      <c r="D8390" s="1">
        <v>711.24</v>
      </c>
    </row>
    <row r="8391" spans="1:4" x14ac:dyDescent="0.3">
      <c r="A8391" s="1" t="str">
        <f>"17000118700"</f>
        <v>17000118700</v>
      </c>
      <c r="B8391" s="1" t="str">
        <f>"MEUSE PETER"</f>
        <v>MEUSE PETER</v>
      </c>
      <c r="C8391" s="1" t="str">
        <f>"6363 CLARK STATE RD R16 T1 1/4T2 5.2 ACRES"</f>
        <v>6363 CLARK STATE RD R16 T1 1/4T2 5.2 ACRES</v>
      </c>
      <c r="D8391" s="1">
        <v>12259.25</v>
      </c>
    </row>
    <row r="8392" spans="1:4" x14ac:dyDescent="0.3">
      <c r="A8392" s="1" t="str">
        <f>"57016315200"</f>
        <v>57016315200</v>
      </c>
      <c r="B8392" s="1" t="str">
        <f>"MEXICANO NOE CAMPUZANO, CAMPUZANO FIDEL"</f>
        <v>MEXICANO NOE CAMPUZANO, CAMPUZANO FIDEL</v>
      </c>
      <c r="C8392" s="1" t="str">
        <f>"BIRCH DRIVE CRESTWOOD ESTATES LOT 28"</f>
        <v>BIRCH DRIVE CRESTWOOD ESTATES LOT 28</v>
      </c>
      <c r="D8392" s="1">
        <v>118.75</v>
      </c>
    </row>
    <row r="8393" spans="1:4" x14ac:dyDescent="0.3">
      <c r="A8393" s="1" t="str">
        <f>"01003482600"</f>
        <v>01003482600</v>
      </c>
      <c r="B8393" s="1" t="str">
        <f>"MEYER CARL J, CRAYCRAFT JANET M"</f>
        <v>MEYER CARL J, CRAYCRAFT JANET M</v>
      </c>
      <c r="C8393" s="1" t="str">
        <f>"LOT 29  "</f>
        <v xml:space="preserve">LOT 29  </v>
      </c>
      <c r="D8393" s="1">
        <v>187.64</v>
      </c>
    </row>
    <row r="8394" spans="1:4" x14ac:dyDescent="0.3">
      <c r="A8394" s="1" t="str">
        <f>"01003611500"</f>
        <v>01003611500</v>
      </c>
      <c r="B8394" s="1" t="str">
        <f>"MEYER CARL J, CRAYCRAFT JANET M"</f>
        <v>MEYER CARL J, CRAYCRAFT JANET M</v>
      </c>
      <c r="C8394" s="1" t="str">
        <f>"1243 S HIGH ST 35X165FT NE COR 1/2 SEC OF 29"</f>
        <v>1243 S HIGH ST 35X165FT NE COR 1/2 SEC OF 29</v>
      </c>
      <c r="D8394" s="1">
        <v>331.34</v>
      </c>
    </row>
    <row r="8395" spans="1:4" x14ac:dyDescent="0.3">
      <c r="A8395" s="1" t="str">
        <f>"01005534600"</f>
        <v>01005534600</v>
      </c>
      <c r="B8395" s="1" t="str">
        <f>"MEYER CARL J, CRAYCRAFT JANET M"</f>
        <v>MEYER CARL J, CRAYCRAFT JANET M</v>
      </c>
      <c r="C8395" s="1" t="str">
        <f>"1235 S HIGH 40X165.93FT 1/2 SEC 29"</f>
        <v>1235 S HIGH 40X165.93FT 1/2 SEC 29</v>
      </c>
      <c r="D8395" s="1">
        <v>112.58</v>
      </c>
    </row>
    <row r="8396" spans="1:4" x14ac:dyDescent="0.3">
      <c r="A8396" s="1" t="str">
        <f>"01007188100"</f>
        <v>01007188100</v>
      </c>
      <c r="B8396" s="1" t="str">
        <f>"MEYER JUDY A TOD"</f>
        <v>MEYER JUDY A TOD</v>
      </c>
      <c r="C8396" s="1" t="str">
        <f>"FALLIS RD 156 DOMINION PARK LOT 222"</f>
        <v>FALLIS RD 156 DOMINION PARK LOT 222</v>
      </c>
      <c r="D8396" s="1">
        <v>343.04</v>
      </c>
    </row>
    <row r="8397" spans="1:4" x14ac:dyDescent="0.3">
      <c r="A8397" s="1" t="str">
        <f>"01007166300"</f>
        <v>01007166300</v>
      </c>
      <c r="B8397" s="1" t="str">
        <f>"MEYER SUSAN S TR"</f>
        <v>MEYER SUSAN S TR</v>
      </c>
      <c r="C8397" s="1" t="str">
        <f>"372 ARDEN RD DOMINION PK LOT 432"</f>
        <v>372 ARDEN RD DOMINION PK LOT 432</v>
      </c>
      <c r="D8397" s="1">
        <v>3505.08</v>
      </c>
    </row>
    <row r="8398" spans="1:4" x14ac:dyDescent="0.3">
      <c r="A8398" s="1" t="str">
        <f>"01021846800"</f>
        <v>01021846800</v>
      </c>
      <c r="B8398" s="1" t="str">
        <f>"MEYERS ALEXANDRIA"</f>
        <v>MEYERS ALEXANDRIA</v>
      </c>
      <c r="C8398" s="1" t="str">
        <f>"SHARON WOODS SENIOR VILLAGE CONDOMINIUM UNIT 311"</f>
        <v>SHARON WOODS SENIOR VILLAGE CONDOMINIUM UNIT 311</v>
      </c>
      <c r="D8398" s="1">
        <v>1472.54</v>
      </c>
    </row>
    <row r="8399" spans="1:4" x14ac:dyDescent="0.3">
      <c r="A8399" s="1" t="str">
        <f>"01027499700"</f>
        <v>01027499700</v>
      </c>
      <c r="B8399" s="1" t="str">
        <f>"MEYERS MELVYN F"</f>
        <v>MEYERS MELVYN F</v>
      </c>
      <c r="C8399" s="1" t="str">
        <f>"VICTORIAN GATE CONDOMINIUMS UNIT 47 VICTORIAN GATE WY"</f>
        <v>VICTORIAN GATE CONDOMINIUMS UNIT 47 VICTORIAN GATE WY</v>
      </c>
      <c r="D8399" s="1">
        <v>2291.3000000000002</v>
      </c>
    </row>
    <row r="8400" spans="1:4" x14ac:dyDescent="0.3">
      <c r="A8400" s="1" t="str">
        <f>"02000160300"</f>
        <v>02000160300</v>
      </c>
      <c r="B8400" s="1" t="str">
        <f>"MEYERS ROBERT J, MEYERS SARA CLAYTON"</f>
        <v>MEYERS ROBERT J, MEYERS SARA CLAYTON</v>
      </c>
      <c r="C8400" s="1" t="str">
        <f>"136 STANBERY AVE STANBERY PLACE LOT 67"</f>
        <v>136 STANBERY AVE STANBERY PLACE LOT 67</v>
      </c>
      <c r="D8400" s="1">
        <v>9637.2000000000007</v>
      </c>
    </row>
    <row r="8401" spans="1:4" x14ac:dyDescent="0.3">
      <c r="A8401" s="1" t="str">
        <f>"01006304600"</f>
        <v>01006304600</v>
      </c>
      <c r="B8401" s="1" t="str">
        <f>"MG 955 LLC, JH 955 LLC"</f>
        <v>MG 955 LLC, JH 955 LLC</v>
      </c>
      <c r="C8401" s="1" t="str">
        <f>"SALZGABER &amp; GAMPER SUB    LOTS 1-5 &amp; 32-36          &amp; PT VAC AL              "</f>
        <v xml:space="preserve">SALZGABER &amp; GAMPER SUB    LOTS 1-5 &amp; 32-36          &amp; PT VAC AL              </v>
      </c>
      <c r="D8401" s="1">
        <v>60701.98</v>
      </c>
    </row>
    <row r="8402" spans="1:4" x14ac:dyDescent="0.3">
      <c r="A8402" s="1" t="str">
        <f>"04000115400"</f>
        <v>04000115400</v>
      </c>
      <c r="B8402" s="1" t="str">
        <f>"MG DUNE 1880 STRINGTOWN LLC"</f>
        <v>MG DUNE 1880 STRINGTOWN LLC</v>
      </c>
      <c r="C8402" s="1" t="str">
        <f>"1880 STRINGTOWN RD .723 ACRE ENTRY 8231"</f>
        <v>1880 STRINGTOWN RD .723 ACRE ENTRY 8231</v>
      </c>
      <c r="D8402" s="1">
        <v>14660.02</v>
      </c>
    </row>
    <row r="8403" spans="1:4" x14ac:dyDescent="0.3">
      <c r="A8403" s="1" t="str">
        <f>"01004947300"</f>
        <v>01004947300</v>
      </c>
      <c r="B8403" s="1" t="str">
        <f>"MICHAEL AUTO SALES LLC"</f>
        <v>MICHAEL AUTO SALES LLC</v>
      </c>
      <c r="C8403" s="1" t="str">
        <f>"817 PARSONS AVE CHAPMAN LOT 88"</f>
        <v>817 PARSONS AVE CHAPMAN LOT 88</v>
      </c>
      <c r="D8403" s="1">
        <v>396.75</v>
      </c>
    </row>
    <row r="8404" spans="1:4" x14ac:dyDescent="0.3">
      <c r="A8404" s="1" t="str">
        <f>"01021302200"</f>
        <v>01021302200</v>
      </c>
      <c r="B8404" s="1" t="str">
        <f>"MICHAEL CAROL M"</f>
        <v>MICHAEL CAROL M</v>
      </c>
      <c r="C8404" s="1" t="str">
        <f>"KATHERINES RIDGE LN KATHERINES WOOD LOT 4"</f>
        <v>KATHERINES RIDGE LN KATHERINES WOOD LOT 4</v>
      </c>
      <c r="D8404" s="1">
        <v>919.19</v>
      </c>
    </row>
    <row r="8405" spans="1:4" x14ac:dyDescent="0.3">
      <c r="A8405" s="1" t="str">
        <f>"01008153500"</f>
        <v>01008153500</v>
      </c>
      <c r="B8405" s="1" t="str">
        <f>"MICHAEL CINDY L"</f>
        <v>MICHAEL CINDY L</v>
      </c>
      <c r="C8405" s="1" t="str">
        <f>"WHITETHORNE AVE HIGH RIDGE EXT LOT 17 BLK 8"</f>
        <v>WHITETHORNE AVE HIGH RIDGE EXT LOT 17 BLK 8</v>
      </c>
      <c r="D8405" s="1">
        <v>4.22</v>
      </c>
    </row>
    <row r="8406" spans="1:4" x14ac:dyDescent="0.3">
      <c r="A8406" s="1" t="str">
        <f>"07000347800"</f>
        <v>07000347800</v>
      </c>
      <c r="B8406" s="1" t="str">
        <f>"MICHAEL EDWARDS BUILDING &amp; DESIGN INC"</f>
        <v>MICHAEL EDWARDS BUILDING &amp; DESIGN INC</v>
      </c>
      <c r="C8406" s="1" t="str">
        <f>"WALTHAM RD 10 FT FRT NE SIDE LOT 10 &amp; ALL LOT 11 BLK 122"</f>
        <v>WALTHAM RD 10 FT FRT NE SIDE LOT 10 &amp; ALL LOT 11 BLK 122</v>
      </c>
      <c r="D8406" s="1">
        <v>8246.2900000000009</v>
      </c>
    </row>
    <row r="8407" spans="1:4" x14ac:dyDescent="0.3">
      <c r="A8407" s="1" t="str">
        <f>"01007067000"</f>
        <v>01007067000</v>
      </c>
      <c r="B8407" s="1" t="str">
        <f>"MICHAEL JOHN L, MICHAEL BEVERLY K"</f>
        <v>MICHAEL JOHN L, MICHAEL BEVERLY K</v>
      </c>
      <c r="C8407" s="1" t="str">
        <f>"253 BRINKER WESTGATE LOT 237"</f>
        <v>253 BRINKER WESTGATE LOT 237</v>
      </c>
      <c r="D8407" s="1">
        <v>768.28</v>
      </c>
    </row>
    <row r="8408" spans="1:4" x14ac:dyDescent="0.3">
      <c r="A8408" s="1" t="str">
        <f>"14000091100"</f>
        <v>14000091100</v>
      </c>
      <c r="B8408" s="1" t="str">
        <f>"MICHAEL PAUL W JR"</f>
        <v>MICHAEL PAUL W JR</v>
      </c>
      <c r="C8408" s="1" t="str">
        <f>"1704 LAUREL AVE GIBSON PK PLACE LOT 133"</f>
        <v>1704 LAUREL AVE GIBSON PK PLACE LOT 133</v>
      </c>
      <c r="D8408" s="1">
        <v>31.6</v>
      </c>
    </row>
    <row r="8409" spans="1:4" x14ac:dyDescent="0.3">
      <c r="A8409" s="1" t="str">
        <f>"01001088000"</f>
        <v>01001088000</v>
      </c>
      <c r="B8409" s="1" t="str">
        <f>"MICHAEL SENAIT G TR"</f>
        <v>MICHAEL SENAIT G TR</v>
      </c>
      <c r="C8409" s="1" t="str">
        <f>"2088 GREENWAY NORTH EAST GATE LOT 7 BLK 7"</f>
        <v>2088 GREENWAY NORTH EAST GATE LOT 7 BLK 7</v>
      </c>
      <c r="D8409" s="1">
        <v>132.03</v>
      </c>
    </row>
    <row r="8410" spans="1:4" x14ac:dyDescent="0.3">
      <c r="A8410" s="1" t="str">
        <f>"01015349100"</f>
        <v>01015349100</v>
      </c>
      <c r="B8410" s="1" t="str">
        <f>"MICHAEL SENAIT G TR"</f>
        <v>MICHAEL SENAIT G TR</v>
      </c>
      <c r="C8410" s="1" t="str">
        <f>"BELLMEADOW DR SHARON WOODS SEC 4 LOT 353"</f>
        <v>BELLMEADOW DR SHARON WOODS SEC 4 LOT 353</v>
      </c>
      <c r="D8410" s="1">
        <v>203.44</v>
      </c>
    </row>
    <row r="8411" spans="1:4" x14ac:dyDescent="0.3">
      <c r="A8411" s="1" t="str">
        <f>"01012900500"</f>
        <v>01012900500</v>
      </c>
      <c r="B8411" s="1" t="str">
        <f>"MICHAEL SENAIT G TTEE"</f>
        <v>MICHAEL SENAIT G TTEE</v>
      </c>
      <c r="C8411" s="1" t="str">
        <f>"NASON AVE MILLBROOK LOT 143"</f>
        <v>NASON AVE MILLBROOK LOT 143</v>
      </c>
      <c r="D8411" s="1">
        <v>129.84</v>
      </c>
    </row>
    <row r="8412" spans="1:4" x14ac:dyDescent="0.3">
      <c r="A8412" s="1" t="str">
        <f>"01012863000"</f>
        <v>01012863000</v>
      </c>
      <c r="B8412" s="1" t="str">
        <f>"MICHAEL SENAIT G TTEE"</f>
        <v>MICHAEL SENAIT G TTEE</v>
      </c>
      <c r="C8412" s="1" t="str">
        <f>"DARCY RD SALEM VILLAGE LOT 18"</f>
        <v>DARCY RD SALEM VILLAGE LOT 18</v>
      </c>
      <c r="D8412" s="1">
        <v>157.03</v>
      </c>
    </row>
    <row r="8413" spans="1:4" x14ac:dyDescent="0.3">
      <c r="A8413" s="1" t="str">
        <f>"01002000500"</f>
        <v>01002000500</v>
      </c>
      <c r="B8413" s="1" t="str">
        <f>"MICHAEL SENAIT G TTEE"</f>
        <v>MICHAEL SENAIT G TTEE</v>
      </c>
      <c r="C8413" s="1" t="str">
        <f>"2298 RIDGEWAY AVE SHEPARD &amp; CALLENDER LOT 7"</f>
        <v>2298 RIDGEWAY AVE SHEPARD &amp; CALLENDER LOT 7</v>
      </c>
      <c r="D8413" s="1">
        <v>147.15</v>
      </c>
    </row>
    <row r="8414" spans="1:4" x14ac:dyDescent="0.3">
      <c r="A8414" s="1" t="str">
        <f>"01015308300"</f>
        <v>01015308300</v>
      </c>
      <c r="B8414" s="1" t="str">
        <f>"MICHAEL SENAIT G TTEE"</f>
        <v>MICHAEL SENAIT G TTEE</v>
      </c>
      <c r="C8414" s="1" t="str">
        <f>"EDENBURGH DR E BRITTANY HILLS SEC 2 LOT 130"</f>
        <v>EDENBURGH DR E BRITTANY HILLS SEC 2 LOT 130</v>
      </c>
      <c r="D8414" s="1">
        <v>111.43</v>
      </c>
    </row>
    <row r="8415" spans="1:4" x14ac:dyDescent="0.3">
      <c r="A8415" s="1" t="str">
        <f>"01013896400"</f>
        <v>01013896400</v>
      </c>
      <c r="B8415" s="1" t="str">
        <f>"MICHAEL SENAIT G TTEE"</f>
        <v>MICHAEL SENAIT G TTEE</v>
      </c>
      <c r="C8415" s="1" t="str">
        <f>"KARL RD KARL MEADOWS 2 LOT 264"</f>
        <v>KARL RD KARL MEADOWS 2 LOT 264</v>
      </c>
      <c r="D8415" s="1">
        <v>170.39</v>
      </c>
    </row>
    <row r="8416" spans="1:4" x14ac:dyDescent="0.3">
      <c r="A8416" s="1" t="str">
        <f>"01004631300"</f>
        <v>01004631300</v>
      </c>
      <c r="B8416" s="1" t="str">
        <f>"MICHAEL VIRGIL L"</f>
        <v>MICHAEL VIRGIL L</v>
      </c>
      <c r="C8416" s="1" t="str">
        <f>"1001 SULLIVANT AVE AVONDALE LOT 8"</f>
        <v>1001 SULLIVANT AVE AVONDALE LOT 8</v>
      </c>
      <c r="D8416" s="1">
        <v>221.54</v>
      </c>
    </row>
    <row r="8417" spans="1:4" x14ac:dyDescent="0.3">
      <c r="A8417" s="1" t="str">
        <f>"01004011400"</f>
        <v>01004011400</v>
      </c>
      <c r="B8417" s="1" t="str">
        <f>"MICHAELS H BLAKE TR"</f>
        <v>MICHAELS H BLAKE TR</v>
      </c>
      <c r="C8417" s="1" t="str">
        <f>"2906 ELEVENTH AVE E COLUMBUS HTS LOT 32-3"</f>
        <v>2906 ELEVENTH AVE E COLUMBUS HTS LOT 32-3</v>
      </c>
      <c r="D8417" s="1">
        <v>107.88</v>
      </c>
    </row>
    <row r="8418" spans="1:4" x14ac:dyDescent="0.3">
      <c r="A8418" s="1" t="str">
        <f>"02500499800"</f>
        <v>02500499800</v>
      </c>
      <c r="B8418" s="1" t="str">
        <f>"MICHALSKI JOSEPH A"</f>
        <v>MICHALSKI JOSEPH A</v>
      </c>
      <c r="C8418" s="1" t="str">
        <f>"856 HINES ROAD AMBASSADOR COMMONS LOT 93"</f>
        <v>856 HINES ROAD AMBASSADOR COMMONS LOT 93</v>
      </c>
      <c r="D8418" s="1">
        <v>7086.97</v>
      </c>
    </row>
    <row r="8419" spans="1:4" x14ac:dyDescent="0.3">
      <c r="A8419" s="1" t="str">
        <f>"07000982000"</f>
        <v>07000982000</v>
      </c>
      <c r="B8419" s="1" t="str">
        <f>"MICHALSKI SEAN A"</f>
        <v>MICHALSKI SEAN A</v>
      </c>
      <c r="C8419" s="1" t="str">
        <f>"1561 PEMBERTON DR WHITE CLIFFS 21 "</f>
        <v xml:space="preserve">1561 PEMBERTON DR WHITE CLIFFS 21 </v>
      </c>
      <c r="D8419" s="1">
        <v>1067.1500000000001</v>
      </c>
    </row>
    <row r="8420" spans="1:4" x14ac:dyDescent="0.3">
      <c r="A8420" s="1" t="str">
        <f>"05000475600"</f>
        <v>05000475600</v>
      </c>
      <c r="B8420" s="1" t="str">
        <f>"MICHELS MONTE S, MICHELS KOIDU H"</f>
        <v>MICHELS MONTE S, MICHELS KOIDU H</v>
      </c>
      <c r="C8420" s="1" t="str">
        <f>"5388 HESSLER CIRCLE FOXHOLLOW SECTION 2 LOT 53"</f>
        <v>5388 HESSLER CIRCLE FOXHOLLOW SECTION 2 LOT 53</v>
      </c>
      <c r="D8420" s="1">
        <v>430.39</v>
      </c>
    </row>
    <row r="8421" spans="1:4" x14ac:dyDescent="0.3">
      <c r="A8421" s="1" t="str">
        <f>"01016529600"</f>
        <v>01016529600</v>
      </c>
      <c r="B8421" s="1" t="str">
        <f>"MICKEN MATTIE"</f>
        <v>MICKEN MATTIE</v>
      </c>
      <c r="C8421" s="1" t="str">
        <f>"1726 PIEDMONT RD KENMORE KNOLLS WS LOT 106&amp;ES105"</f>
        <v>1726 PIEDMONT RD KENMORE KNOLLS WS LOT 106&amp;ES105</v>
      </c>
      <c r="D8421" s="1">
        <v>57.56</v>
      </c>
    </row>
    <row r="8422" spans="1:4" x14ac:dyDescent="0.3">
      <c r="A8422" s="1" t="str">
        <f>"01000225700"</f>
        <v>01000225700</v>
      </c>
      <c r="B8422" s="1" t="str">
        <f>"MICKENS CECIL C JR"</f>
        <v>MICKENS CECIL C JR</v>
      </c>
      <c r="C8422" s="1" t="str">
        <f>"328 WREXHAM AVE MOLING &amp; LECHNER LOT 51"</f>
        <v>328 WREXHAM AVE MOLING &amp; LECHNER LOT 51</v>
      </c>
      <c r="D8422" s="1">
        <v>2167.3000000000002</v>
      </c>
    </row>
    <row r="8423" spans="1:4" x14ac:dyDescent="0.3">
      <c r="A8423" s="1" t="str">
        <f>"01001818900"</f>
        <v>01001818900</v>
      </c>
      <c r="B8423" s="1" t="str">
        <f>"MICKENS CECIL JR"</f>
        <v>MICKENS CECIL JR</v>
      </c>
      <c r="C8423" s="1" t="str">
        <f>"329 LECHNER AVE MOLING &amp; LECHNER LOT 51 E 1/2"</f>
        <v>329 LECHNER AVE MOLING &amp; LECHNER LOT 51 E 1/2</v>
      </c>
      <c r="D8423" s="1">
        <v>1259.8699999999999</v>
      </c>
    </row>
    <row r="8424" spans="1:4" x14ac:dyDescent="0.3">
      <c r="A8424" s="1" t="str">
        <f>"01004251500"</f>
        <v>01004251500</v>
      </c>
      <c r="B8424" s="1" t="str">
        <f>"MICKENS ROSA B"</f>
        <v>MICKENS ROSA B</v>
      </c>
      <c r="C8424" s="1" t="str">
        <f>"1057 LINWOOD AVE STUDER AMD LOT 271"</f>
        <v>1057 LINWOOD AVE STUDER AMD LOT 271</v>
      </c>
      <c r="D8424" s="1">
        <v>1828.52</v>
      </c>
    </row>
    <row r="8425" spans="1:4" x14ac:dyDescent="0.3">
      <c r="A8425" s="1" t="str">
        <f>"01015982500"</f>
        <v>01015982500</v>
      </c>
      <c r="B8425" s="1" t="str">
        <f>"MICKEY CHRISTOPHER"</f>
        <v>MICKEY CHRISTOPHER</v>
      </c>
      <c r="C8425" s="1" t="str">
        <f>"WALNUT CREEK DR WALNUT CREEK SEC 2 1.1878 ACRES LOT 141"</f>
        <v>WALNUT CREEK DR WALNUT CREEK SEC 2 1.1878 ACRES LOT 141</v>
      </c>
      <c r="D8425" s="1">
        <v>543.02</v>
      </c>
    </row>
    <row r="8426" spans="1:4" x14ac:dyDescent="0.3">
      <c r="A8426" s="1" t="str">
        <f>"01018275800"</f>
        <v>01018275800</v>
      </c>
      <c r="B8426" s="1" t="str">
        <f>"MICKUNAS JOAN T"</f>
        <v>MICKUNAS JOAN T</v>
      </c>
      <c r="C8426" s="1" t="str">
        <f>"SMITH FARMS II CON 8 BLDG 18 UNIT A "</f>
        <v xml:space="preserve">SMITH FARMS II CON 8 BLDG 18 UNIT A </v>
      </c>
      <c r="D8426" s="1">
        <v>142.4</v>
      </c>
    </row>
    <row r="8427" spans="1:4" x14ac:dyDescent="0.3">
      <c r="A8427" s="1" t="str">
        <f>"01006024200"</f>
        <v>01006024200</v>
      </c>
      <c r="B8427" s="1" t="str">
        <f>"MID OHIO SECURITIES"</f>
        <v>MID OHIO SECURITIES</v>
      </c>
      <c r="C8427" s="1" t="str">
        <f>"1626 KENMORE RD INNIS CREST LOT 342"</f>
        <v>1626 KENMORE RD INNIS CREST LOT 342</v>
      </c>
      <c r="D8427" s="1">
        <v>651.29999999999995</v>
      </c>
    </row>
    <row r="8428" spans="1:4" x14ac:dyDescent="0.3">
      <c r="A8428" s="1" t="str">
        <f>"14000496700"</f>
        <v>14000496700</v>
      </c>
      <c r="B8428" s="1" t="str">
        <f>"MIDLICK TRACY, SIMS GREGORY"</f>
        <v>MIDLICK TRACY, SIMS GREGORY</v>
      </c>
      <c r="C8428" s="1" t="str">
        <f>"859 JOYFUL ST LOT 12 PT 11 BLK 9 ROSARY 2"</f>
        <v>859 JOYFUL ST LOT 12 PT 11 BLK 9 ROSARY 2</v>
      </c>
      <c r="D8428" s="1">
        <v>85.79</v>
      </c>
    </row>
    <row r="8429" spans="1:4" x14ac:dyDescent="0.3">
      <c r="A8429" s="1" t="str">
        <f>"16000214100"</f>
        <v>16000214100</v>
      </c>
      <c r="B8429" s="1" t="str">
        <f>"MIDWEST COMMODITIES LLC"</f>
        <v>MIDWEST COMMODITIES LLC</v>
      </c>
      <c r="C8429" s="1" t="str">
        <f>"THRAILKILL RD 9.912 ACRES ENTRY 426-4312"</f>
        <v>THRAILKILL RD 9.912 ACRES ENTRY 426-4312</v>
      </c>
      <c r="D8429" s="1">
        <v>637.55999999999995</v>
      </c>
    </row>
    <row r="8430" spans="1:4" x14ac:dyDescent="0.3">
      <c r="A8430" s="1" t="str">
        <f>"01011234400"</f>
        <v>01011234400</v>
      </c>
      <c r="B8430" s="1" t="str">
        <f>"MIDWEST FOOD AND GROCERS INC"</f>
        <v>MIDWEST FOOD AND GROCERS INC</v>
      </c>
      <c r="C8430" s="1" t="str">
        <f>"LOCKBOURNE RD ACRES .413 R22 T4 S2"</f>
        <v>LOCKBOURNE RD ACRES .413 R22 T4 S2</v>
      </c>
      <c r="D8430" s="1">
        <v>874.46</v>
      </c>
    </row>
    <row r="8431" spans="1:4" x14ac:dyDescent="0.3">
      <c r="A8431" s="1" t="str">
        <f>"01011966800"</f>
        <v>01011966800</v>
      </c>
      <c r="B8431" s="1" t="str">
        <f>"MIECZNIKOWSKI BRIAN"</f>
        <v>MIECZNIKOWSKI BRIAN</v>
      </c>
      <c r="C8431" s="1" t="str">
        <f>"HILLGATE RD HILLGATE LOT 86"</f>
        <v>HILLGATE RD HILLGATE LOT 86</v>
      </c>
      <c r="D8431" s="1">
        <v>391.75</v>
      </c>
    </row>
    <row r="8432" spans="1:4" x14ac:dyDescent="0.3">
      <c r="A8432" s="1" t="str">
        <f>"01008381100"</f>
        <v>01008381100</v>
      </c>
      <c r="B8432" s="1" t="str">
        <f>"MIELKE DEVELOPMENT COLUMBUS LLC"</f>
        <v>MIELKE DEVELOPMENT COLUMBUS LLC</v>
      </c>
      <c r="C8432" s="1" t="str">
        <f>"GIBBARD AVENUE MILLER JOYCE &amp; GRAY 63.5'WS L295 EX COR"</f>
        <v>GIBBARD AVENUE MILLER JOYCE &amp; GRAY 63.5'WS L295 EX COR</v>
      </c>
      <c r="D8432" s="1">
        <v>135.68</v>
      </c>
    </row>
    <row r="8433" spans="1:4" x14ac:dyDescent="0.3">
      <c r="A8433" s="1" t="str">
        <f>"01003436500"</f>
        <v>01003436500</v>
      </c>
      <c r="B8433" s="1" t="str">
        <f>"MIELKE DEVELOPMENT COLUMBUS LLC"</f>
        <v>MIELKE DEVELOPMENT COLUMBUS LLC</v>
      </c>
      <c r="C8433" s="1" t="str">
        <f>"19TH ST MILLER JOYCE &amp;GRAY ET AL LOT 298"</f>
        <v>19TH ST MILLER JOYCE &amp;GRAY ET AL LOT 298</v>
      </c>
      <c r="D8433" s="1">
        <v>6.97</v>
      </c>
    </row>
    <row r="8434" spans="1:4" x14ac:dyDescent="0.3">
      <c r="A8434" s="1" t="str">
        <f>"01000713600"</f>
        <v>01000713600</v>
      </c>
      <c r="B8434" s="1" t="str">
        <f>"MIELKE DEVELOPMENT COLUMBUS LLC"</f>
        <v>MIELKE DEVELOPMENT COLUMBUS LLC</v>
      </c>
      <c r="C8434" s="1" t="str">
        <f>"879 NINETEENTH ST MILLER JOYCE &amp; GRAY E 1/2 LOT 295"</f>
        <v>879 NINETEENTH ST MILLER JOYCE &amp; GRAY E 1/2 LOT 295</v>
      </c>
      <c r="D8434" s="1">
        <v>387.88</v>
      </c>
    </row>
    <row r="8435" spans="1:4" x14ac:dyDescent="0.3">
      <c r="A8435" s="1" t="str">
        <f>"01003148000"</f>
        <v>01003148000</v>
      </c>
      <c r="B8435" s="1" t="str">
        <f>"MIELKE DEVELOPMENT COLUMBUS LLC"</f>
        <v>MIELKE DEVELOPMENT COLUMBUS LLC</v>
      </c>
      <c r="C8435" s="1" t="str">
        <f>"N NINETEENTH ST MILLER JOYCE &amp; GRAY LOT 296"</f>
        <v>N NINETEENTH ST MILLER JOYCE &amp; GRAY LOT 296</v>
      </c>
      <c r="D8435" s="1">
        <v>6.97</v>
      </c>
    </row>
    <row r="8436" spans="1:4" x14ac:dyDescent="0.3">
      <c r="A8436" s="1" t="str">
        <f>"01003412000"</f>
        <v>01003412000</v>
      </c>
      <c r="B8436" s="1" t="str">
        <f>"MIELKE DEVELOPMENT COLUMBUS LLC"</f>
        <v>MIELKE DEVELOPMENT COLUMBUS LLC</v>
      </c>
      <c r="C8436" s="1" t="str">
        <f>"19TH STMILLER JOYCE &amp; GRAY ET AL LOT 297"</f>
        <v>19TH STMILLER JOYCE &amp; GRAY ET AL LOT 297</v>
      </c>
      <c r="D8436" s="1">
        <v>6.82</v>
      </c>
    </row>
    <row r="8437" spans="1:4" x14ac:dyDescent="0.3">
      <c r="A8437" s="1" t="str">
        <f>"01003412100"</f>
        <v>01003412100</v>
      </c>
      <c r="B8437" s="1" t="str">
        <f>"MIELKE DEVELOPMENT COLUMBUS LLC"</f>
        <v>MIELKE DEVELOPMENT COLUMBUS LLC</v>
      </c>
      <c r="C8437" s="1" t="str">
        <f>"892 19TH ST MILLER JOYCE&amp;GRAY ET AL LOT 299"</f>
        <v>892 19TH ST MILLER JOYCE&amp;GRAY ET AL LOT 299</v>
      </c>
      <c r="D8437" s="1">
        <v>249.05</v>
      </c>
    </row>
    <row r="8438" spans="1:4" x14ac:dyDescent="0.3">
      <c r="A8438" s="1" t="str">
        <f>"01003412200"</f>
        <v>01003412200</v>
      </c>
      <c r="B8438" s="1" t="str">
        <f>"MIELKE DEVELOPMENT COLUMBUS LLC"</f>
        <v>MIELKE DEVELOPMENT COLUMBUS LLC</v>
      </c>
      <c r="C8438" s="1" t="str">
        <f>"19TH ST MILLER JOYCE &amp; GRAY ET AL LOT 300"</f>
        <v>19TH ST MILLER JOYCE &amp; GRAY ET AL LOT 300</v>
      </c>
      <c r="D8438" s="1">
        <v>122.07</v>
      </c>
    </row>
    <row r="8439" spans="1:4" x14ac:dyDescent="0.3">
      <c r="A8439" s="1" t="str">
        <f>"01003412400"</f>
        <v>01003412400</v>
      </c>
      <c r="B8439" s="1" t="str">
        <f>"MIELKE DEVELOPMENT COLUMBUS LLC"</f>
        <v>MIELKE DEVELOPMENT COLUMBUS LLC</v>
      </c>
      <c r="C8439" s="1" t="str">
        <f>"906 N 19TH ST MILLER JOYCE&amp;GRAY ET AL LOT 301-3INC"</f>
        <v>906 N 19TH ST MILLER JOYCE&amp;GRAY ET AL LOT 301-3INC</v>
      </c>
      <c r="D8439" s="1">
        <v>529.86</v>
      </c>
    </row>
    <row r="8440" spans="1:4" x14ac:dyDescent="0.3">
      <c r="A8440" s="1" t="str">
        <f>"01003414400"</f>
        <v>01003414400</v>
      </c>
      <c r="B8440" s="1" t="str">
        <f>"MIELKE DEVELOPMENT COLUMBUS LLC"</f>
        <v>MIELKE DEVELOPMENT COLUMBUS LLC</v>
      </c>
      <c r="C8440" s="1" t="str">
        <f>"933 19TH ST MILLER JOYCE&amp;GRAY ET AL LOT 323"</f>
        <v>933 19TH ST MILLER JOYCE&amp;GRAY ET AL LOT 323</v>
      </c>
      <c r="D8440" s="1">
        <v>4.3499999999999996</v>
      </c>
    </row>
    <row r="8441" spans="1:4" x14ac:dyDescent="0.3">
      <c r="A8441" s="1" t="str">
        <f>"01003414500"</f>
        <v>01003414500</v>
      </c>
      <c r="B8441" s="1" t="str">
        <f>"MIELKE DEVELOPMENT COLUMBUS LLC"</f>
        <v>MIELKE DEVELOPMENT COLUMBUS LLC</v>
      </c>
      <c r="C8441" s="1" t="str">
        <f>"929 N 19TH ST MILLER JOYCE&amp;GRAY ET AL LOT 324"</f>
        <v>929 N 19TH ST MILLER JOYCE&amp;GRAY ET AL LOT 324</v>
      </c>
      <c r="D8441" s="1">
        <v>4.46</v>
      </c>
    </row>
    <row r="8442" spans="1:4" x14ac:dyDescent="0.3">
      <c r="A8442" s="1" t="str">
        <f>"01003414600"</f>
        <v>01003414600</v>
      </c>
      <c r="B8442" s="1" t="str">
        <f>"MIELKE DEVELOPMENT COLUMBUS LLC"</f>
        <v>MIELKE DEVELOPMENT COLUMBUS LLC</v>
      </c>
      <c r="C8442" s="1" t="str">
        <f>"925 N 19TH ST MILLER JOYCE &amp; GRAY ET AL LOT 325"</f>
        <v>925 N 19TH ST MILLER JOYCE &amp; GRAY ET AL LOT 325</v>
      </c>
      <c r="D8442" s="1">
        <v>4.46</v>
      </c>
    </row>
    <row r="8443" spans="1:4" x14ac:dyDescent="0.3">
      <c r="A8443" s="1" t="str">
        <f>"01003414700"</f>
        <v>01003414700</v>
      </c>
      <c r="B8443" s="1" t="str">
        <f>"MIELKE DEVELOPMENT COLUMBUS LLC"</f>
        <v>MIELKE DEVELOPMENT COLUMBUS LLC</v>
      </c>
      <c r="C8443" s="1" t="str">
        <f>"921 19TH ST MILLER JOYCE&amp;GRAY ET AL LOT 326"</f>
        <v>921 19TH ST MILLER JOYCE&amp;GRAY ET AL LOT 326</v>
      </c>
      <c r="D8443" s="1">
        <v>4.72</v>
      </c>
    </row>
    <row r="8444" spans="1:4" x14ac:dyDescent="0.3">
      <c r="A8444" s="1" t="str">
        <f>"01003414800"</f>
        <v>01003414800</v>
      </c>
      <c r="B8444" s="1" t="str">
        <f>"MIELKE DEVELOPMENT COLUMBUS LLC"</f>
        <v>MIELKE DEVELOPMENT COLUMBUS LLC</v>
      </c>
      <c r="C8444" s="1" t="str">
        <f>"19TH ST MILLER JOYCE &amp; GRAY ET AL LOT 327"</f>
        <v>19TH ST MILLER JOYCE &amp; GRAY ET AL LOT 327</v>
      </c>
      <c r="D8444" s="1">
        <v>4.87</v>
      </c>
    </row>
    <row r="8445" spans="1:4" x14ac:dyDescent="0.3">
      <c r="A8445" s="1" t="str">
        <f>"01003414900"</f>
        <v>01003414900</v>
      </c>
      <c r="B8445" s="1" t="str">
        <f>"MIELKE DEVELOPMENT COLUMBUS LLC"</f>
        <v>MIELKE DEVELOPMENT COLUMBUS LLC</v>
      </c>
      <c r="C8445" s="1" t="str">
        <f>"19TH ST   MILLER JOYCE &amp; GRAY ET AL LOT 328"</f>
        <v>19TH ST   MILLER JOYCE &amp; GRAY ET AL LOT 328</v>
      </c>
      <c r="D8445" s="1">
        <v>5.51</v>
      </c>
    </row>
    <row r="8446" spans="1:4" x14ac:dyDescent="0.3">
      <c r="A8446" s="1" t="str">
        <f>"01003415000"</f>
        <v>01003415000</v>
      </c>
      <c r="B8446" s="1" t="str">
        <f>"MIELKE DEVELOPMENT COLUMBUS LLC"</f>
        <v>MIELKE DEVELOPMENT COLUMBUS LLC</v>
      </c>
      <c r="C8446" s="1" t="str">
        <f>"19TH ST   MILLER JOYCE &amp; GRAY ET AL LOT 329"</f>
        <v>19TH ST   MILLER JOYCE &amp; GRAY ET AL LOT 329</v>
      </c>
      <c r="D8446" s="1">
        <v>5.4</v>
      </c>
    </row>
    <row r="8447" spans="1:4" x14ac:dyDescent="0.3">
      <c r="A8447" s="1" t="str">
        <f>"01003415100"</f>
        <v>01003415100</v>
      </c>
      <c r="B8447" s="1" t="str">
        <f>"MIELKE DEVELOPMENT COLUMBUS LLC"</f>
        <v>MIELKE DEVELOPMENT COLUMBUS LLC</v>
      </c>
      <c r="C8447" s="1" t="str">
        <f>"897 19TH ST MILLER JOYCE&amp;GRAY ET AL LOT 330"</f>
        <v>897 19TH ST MILLER JOYCE&amp;GRAY ET AL LOT 330</v>
      </c>
      <c r="D8447" s="1">
        <v>5.51</v>
      </c>
    </row>
    <row r="8448" spans="1:4" x14ac:dyDescent="0.3">
      <c r="A8448" s="1" t="str">
        <f>"01003415200"</f>
        <v>01003415200</v>
      </c>
      <c r="B8448" s="1" t="str">
        <f>"MIELKE DEVELOPMENT COLUMBUS LLC"</f>
        <v>MIELKE DEVELOPMENT COLUMBUS LLC</v>
      </c>
      <c r="C8448" s="1" t="str">
        <f>"19TH ST MILLER JOYCE&amp;GRAY ET AL LOT 331"</f>
        <v>19TH ST MILLER JOYCE&amp;GRAY ET AL LOT 331</v>
      </c>
      <c r="D8448" s="1">
        <v>6.19</v>
      </c>
    </row>
    <row r="8449" spans="1:4" x14ac:dyDescent="0.3">
      <c r="A8449" s="1" t="str">
        <f>"01003415300"</f>
        <v>01003415300</v>
      </c>
      <c r="B8449" s="1" t="str">
        <f>"MIELKE DEVELOPMENT COLUMBUS LLC"</f>
        <v>MIELKE DEVELOPMENT COLUMBUS LLC</v>
      </c>
      <c r="C8449" s="1" t="str">
        <f>"889 19TH ST MILLER JOYCE &amp; GRAY ET AL LOT 332"</f>
        <v>889 19TH ST MILLER JOYCE &amp; GRAY ET AL LOT 332</v>
      </c>
      <c r="D8449" s="1">
        <v>6.45</v>
      </c>
    </row>
    <row r="8450" spans="1:4" x14ac:dyDescent="0.3">
      <c r="A8450" s="1" t="str">
        <f>"01003415400"</f>
        <v>01003415400</v>
      </c>
      <c r="B8450" s="1" t="str">
        <f>"MIELKE DEVELOPMENT COLUMBUS LLC"</f>
        <v>MIELKE DEVELOPMENT COLUMBUS LLC</v>
      </c>
      <c r="C8450" s="1" t="str">
        <f>"883 19TH ST MILLER JOYCE &amp; GRAY LOT 333"</f>
        <v>883 19TH ST MILLER JOYCE &amp; GRAY LOT 333</v>
      </c>
      <c r="D8450" s="1">
        <v>6.45</v>
      </c>
    </row>
    <row r="8451" spans="1:4" x14ac:dyDescent="0.3">
      <c r="A8451" s="1" t="str">
        <f>"01003415500"</f>
        <v>01003415500</v>
      </c>
      <c r="B8451" s="1" t="str">
        <f>"MIELKE DEVELOPMENT COLUMBUS LLC"</f>
        <v>MIELKE DEVELOPMENT COLUMBUS LLC</v>
      </c>
      <c r="C8451" s="1" t="str">
        <f>"879 N 19TH ST MILLER JOYCE&amp;GRAY ET AL LOT 334"</f>
        <v>879 N 19TH ST MILLER JOYCE&amp;GRAY ET AL LOT 334</v>
      </c>
      <c r="D8451" s="1">
        <v>119.18</v>
      </c>
    </row>
    <row r="8452" spans="1:4" x14ac:dyDescent="0.3">
      <c r="A8452" s="1" t="str">
        <f>"01023479700"</f>
        <v>01023479700</v>
      </c>
      <c r="B8452" s="1" t="str">
        <f>"MIELKE DEVELOPMENT COLUMBUS LLC"</f>
        <v>MIELKE DEVELOPMENT COLUMBUS LLC</v>
      </c>
      <c r="C8452" s="1" t="str">
        <f>"GIBBARD AVENUE MILLER JOYCE GRAY 20'X 238.63' VAC AL"</f>
        <v>GIBBARD AVENUE MILLER JOYCE GRAY 20'X 238.63' VAC AL</v>
      </c>
      <c r="D8452" s="1">
        <v>6.71</v>
      </c>
    </row>
    <row r="8453" spans="1:4" x14ac:dyDescent="0.3">
      <c r="A8453" s="1" t="str">
        <f>"01023861200"</f>
        <v>01023861200</v>
      </c>
      <c r="B8453" s="1" t="str">
        <f>"MIELKE DEVELOPMENT COLUMBUS LLC"</f>
        <v>MIELKE DEVELOPMENT COLUMBUS LLC</v>
      </c>
      <c r="C8453" s="1" t="str">
        <f>"4TH AVENUE MILLER JOYCE &amp; GRAY 20'X 131.53'VAC AL"</f>
        <v>4TH AVENUE MILLER JOYCE &amp; GRAY 20'X 131.53'VAC AL</v>
      </c>
      <c r="D8453" s="1">
        <v>5.77</v>
      </c>
    </row>
    <row r="8454" spans="1:4" x14ac:dyDescent="0.3">
      <c r="A8454" s="1" t="str">
        <f>"57018197800"</f>
        <v>57018197800</v>
      </c>
      <c r="B8454" s="1" t="str">
        <f>"MIESSE COLLEEN R, MIESSE JEFFREY R"</f>
        <v>MIESSE COLLEEN R, MIESSE JEFFREY R</v>
      </c>
      <c r="C8454" s="1" t="str">
        <f>"GLENBORO WAY LAUREL GREENE SEC #2 LOT 141"</f>
        <v>GLENBORO WAY LAUREL GREENE SEC #2 LOT 141</v>
      </c>
      <c r="D8454" s="1">
        <v>172.98</v>
      </c>
    </row>
    <row r="8455" spans="1:4" x14ac:dyDescent="0.3">
      <c r="A8455" s="1" t="str">
        <f>"04001455700"</f>
        <v>04001455700</v>
      </c>
      <c r="B8455" s="1" t="str">
        <f>"MIESSE DAVID L II"</f>
        <v>MIESSE DAVID L II</v>
      </c>
      <c r="C8455" s="1" t="str">
        <f>"HOLTON RD ENTRY 6840 1.596 ACRES"</f>
        <v>HOLTON RD ENTRY 6840 1.596 ACRES</v>
      </c>
      <c r="D8455" s="1">
        <v>791.59</v>
      </c>
    </row>
    <row r="8456" spans="1:4" x14ac:dyDescent="0.3">
      <c r="A8456" s="1" t="str">
        <f>"01002061100"</f>
        <v>01002061100</v>
      </c>
      <c r="B8456" s="1" t="str">
        <f>"MIGHTON STACEY ANNE"</f>
        <v>MIGHTON STACEY ANNE</v>
      </c>
      <c r="C8456" s="1" t="str">
        <f>"136 W PARK AVE WEST PARK LOT 652"</f>
        <v>136 W PARK AVE WEST PARK LOT 652</v>
      </c>
      <c r="D8456" s="1">
        <v>1935.26</v>
      </c>
    </row>
    <row r="8457" spans="1:4" x14ac:dyDescent="0.3">
      <c r="A8457" s="1" t="str">
        <f>"01009297800"</f>
        <v>01009297800</v>
      </c>
      <c r="B8457" s="1" t="str">
        <f>"MIH PROPERTIES LLC"</f>
        <v>MIH PROPERTIES LLC</v>
      </c>
      <c r="C8457" s="1" t="str">
        <f>"59 N EVERETT AVE BROADLAND PL ADD LOT 50"</f>
        <v>59 N EVERETT AVE BROADLAND PL ADD LOT 50</v>
      </c>
      <c r="D8457" s="1">
        <v>1664.66</v>
      </c>
    </row>
    <row r="8458" spans="1:4" x14ac:dyDescent="0.3">
      <c r="A8458" s="1" t="str">
        <f>"59020496600"</f>
        <v>59020496600</v>
      </c>
      <c r="B8458" s="1" t="str">
        <f>"MIHALIK CHRIS A, MIHALIK KAREN J"</f>
        <v>MIHALIK CHRIS A, MIHALIK KAREN J</v>
      </c>
      <c r="C8458" s="1" t="str">
        <f>"WILLIS ROAD SUMMIT FOREST SEC 1 LOT 31"</f>
        <v>WILLIS ROAD SUMMIT FOREST SEC 1 LOT 31</v>
      </c>
      <c r="D8458" s="1">
        <v>4855.3900000000003</v>
      </c>
    </row>
    <row r="8459" spans="1:4" x14ac:dyDescent="0.3">
      <c r="A8459" s="1" t="str">
        <f>"56023029400"</f>
        <v>56023029400</v>
      </c>
      <c r="B8459" s="1" t="str">
        <f>"MIJANGOS ADRIANA"</f>
        <v>MIJANGOS ADRIANA</v>
      </c>
      <c r="C8459" s="1" t="str">
        <f>"RIVERSTONE DRIVE WEXFORD GREEN SEC 4 LOT 340"</f>
        <v>RIVERSTONE DRIVE WEXFORD GREEN SEC 4 LOT 340</v>
      </c>
      <c r="D8459" s="1">
        <v>354.67</v>
      </c>
    </row>
    <row r="8460" spans="1:4" x14ac:dyDescent="0.3">
      <c r="A8460" s="1" t="str">
        <f>"01022563800"</f>
        <v>01022563800</v>
      </c>
      <c r="B8460" s="1" t="str">
        <f>"MIKLOSIK STEPHEN CO-TR (MIKLOSIK FAMILY 2016 REVOCABLE TRUST), MIKLOSIK MARY ANNE CO-TR (MIKLOSIK FAMILY 2016 REVOCABLE TRUST)"</f>
        <v>MIKLOSIK STEPHEN CO-TR (MIKLOSIK FAMILY 2016 REVOCABLE TRUST), MIKLOSIK MARY ANNE CO-TR (MIKLOSIK FAMILY 2016 REVOCABLE TRUST)</v>
      </c>
      <c r="C8460" s="1" t="str">
        <f>"LOLA WAY COURTNEY PLACE LOT 20"</f>
        <v>LOLA WAY COURTNEY PLACE LOT 20</v>
      </c>
      <c r="D8460" s="1">
        <v>345.54</v>
      </c>
    </row>
    <row r="8461" spans="1:4" x14ac:dyDescent="0.3">
      <c r="A8461" s="1" t="str">
        <f>"20000079700"</f>
        <v>20000079700</v>
      </c>
      <c r="B8461" s="1" t="str">
        <f>"MIKSZA ANN C TR"</f>
        <v>MIKSZA ANN C TR</v>
      </c>
      <c r="C8461" s="1" t="str">
        <f>"3270 POLLEY RD WOODLAND ESTS ON THE SCIOTO LOT 17"</f>
        <v>3270 POLLEY RD WOODLAND ESTS ON THE SCIOTO LOT 17</v>
      </c>
      <c r="D8461" s="1">
        <v>455.85</v>
      </c>
    </row>
    <row r="8462" spans="1:4" x14ac:dyDescent="0.3">
      <c r="A8462" s="1" t="str">
        <f>"57022026700"</f>
        <v>57022026700</v>
      </c>
      <c r="B8462" s="1" t="str">
        <f>"MILAM DELANDRA INEZ TTEE"</f>
        <v>MILAM DELANDRA INEZ TTEE</v>
      </c>
      <c r="C8462" s="1" t="str">
        <f>"RESUB OF LTS 444-455 OF WILLOW CREEK SECTION 6 LOT 499"</f>
        <v>RESUB OF LTS 444-455 OF WILLOW CREEK SECTION 6 LOT 499</v>
      </c>
      <c r="D8462" s="1">
        <v>192.67</v>
      </c>
    </row>
    <row r="8463" spans="1:4" x14ac:dyDescent="0.3">
      <c r="A8463" s="1" t="str">
        <f>"61019977000"</f>
        <v>61019977000</v>
      </c>
      <c r="B8463" s="1" t="str">
        <f>"MILAM JOHN D JR"</f>
        <v>MILAM JOHN D JR</v>
      </c>
      <c r="C8463" s="1" t="str">
        <f>"WORTHINGTON WOODS WEST CONDO 2 UNIT 3 BLDG E"</f>
        <v>WORTHINGTON WOODS WEST CONDO 2 UNIT 3 BLDG E</v>
      </c>
      <c r="D8463" s="1">
        <v>2706.62</v>
      </c>
    </row>
    <row r="8464" spans="1:4" x14ac:dyDescent="0.3">
      <c r="A8464" s="1" t="str">
        <f>"24000468200"</f>
        <v>24000468200</v>
      </c>
      <c r="B8464" s="1" t="str">
        <f>"MILAM SHAWN P TR"</f>
        <v>MILAM SHAWN P TR</v>
      </c>
      <c r="C8464" s="1" t="str">
        <f>"SO MURRAY HILL RD LINCOLN VILLAGE SO 519"</f>
        <v>SO MURRAY HILL RD LINCOLN VILLAGE SO 519</v>
      </c>
      <c r="D8464" s="1">
        <v>1508.33</v>
      </c>
    </row>
    <row r="8465" spans="1:4" x14ac:dyDescent="0.3">
      <c r="A8465" s="1" t="str">
        <f>"24000464900"</f>
        <v>24000464900</v>
      </c>
      <c r="B8465" s="1" t="str">
        <f>"MILAM SHAWN P TR"</f>
        <v>MILAM SHAWN P TR</v>
      </c>
      <c r="C8465" s="1" t="str">
        <f>"HAFEY AVE LINCOLN VILLAGE S LOT 486"</f>
        <v>HAFEY AVE LINCOLN VILLAGE S LOT 486</v>
      </c>
      <c r="D8465" s="1">
        <v>1776.2</v>
      </c>
    </row>
    <row r="8466" spans="1:4" x14ac:dyDescent="0.3">
      <c r="A8466" s="1" t="str">
        <f>"24000465000"</f>
        <v>24000465000</v>
      </c>
      <c r="B8466" s="1" t="str">
        <f>"MILAM SHAWN P TR"</f>
        <v>MILAM SHAWN P TR</v>
      </c>
      <c r="C8466" s="1" t="str">
        <f>"S MURRAY HILL RD LINCOLN VILLAGE S LOT 487"</f>
        <v>S MURRAY HILL RD LINCOLN VILLAGE S LOT 487</v>
      </c>
      <c r="D8466" s="1">
        <v>2295.3000000000002</v>
      </c>
    </row>
    <row r="8467" spans="1:4" x14ac:dyDescent="0.3">
      <c r="A8467" s="1" t="str">
        <f>"22200460200"</f>
        <v>22200460200</v>
      </c>
      <c r="B8467" s="1" t="str">
        <f>"MILKS JEFFREY W, MILKS DEBORAH A"</f>
        <v>MILKS JEFFREY W, MILKS DEBORAH A</v>
      </c>
      <c r="C8467" s="1" t="str">
        <f>"NEW ALBANY COUNTRY CLUB SECTION 27 LOT 37"</f>
        <v>NEW ALBANY COUNTRY CLUB SECTION 27 LOT 37</v>
      </c>
      <c r="D8467" s="1">
        <v>440</v>
      </c>
    </row>
    <row r="8468" spans="1:4" x14ac:dyDescent="0.3">
      <c r="A8468" s="1" t="str">
        <f>"01010125100"</f>
        <v>01010125100</v>
      </c>
      <c r="B8468" s="1" t="str">
        <f>"MILLAR JAMES D"</f>
        <v>MILLAR JAMES D</v>
      </c>
      <c r="C8468" s="1" t="str">
        <f>"CUNARD RD BERWICK MANOR LOT 305"</f>
        <v>CUNARD RD BERWICK MANOR LOT 305</v>
      </c>
      <c r="D8468" s="1">
        <v>493.97</v>
      </c>
    </row>
    <row r="8469" spans="1:4" x14ac:dyDescent="0.3">
      <c r="A8469" s="1" t="str">
        <f>"01015431700"</f>
        <v>01015431700</v>
      </c>
      <c r="B8469" s="1" t="str">
        <f>"MILLARD SEAN G"</f>
        <v>MILLARD SEAN G</v>
      </c>
      <c r="C8469" s="1" t="str">
        <f>"RED FERN PLACE LAKEWOOD PARK SEC 1 LOT 69"</f>
        <v>RED FERN PLACE LAKEWOOD PARK SEC 1 LOT 69</v>
      </c>
      <c r="D8469" s="1">
        <v>272.81</v>
      </c>
    </row>
    <row r="8470" spans="1:4" x14ac:dyDescent="0.3">
      <c r="A8470" s="1" t="str">
        <f>"04000293500"</f>
        <v>04000293500</v>
      </c>
      <c r="B8470" s="1" t="str">
        <f>"MILLENBAUGH JOSEPH A, MILLENBAUGH JANET K"</f>
        <v>MILLENBAUGH JOSEPH A, MILLENBAUGH JANET K</v>
      </c>
      <c r="C8470" s="1" t="str">
        <f>"3799 EVANS DRIVE LA ROSA LOT 17 BLK 6"</f>
        <v>3799 EVANS DRIVE LA ROSA LOT 17 BLK 6</v>
      </c>
      <c r="D8470" s="1">
        <v>339.37</v>
      </c>
    </row>
    <row r="8471" spans="1:4" x14ac:dyDescent="0.3">
      <c r="A8471" s="1" t="str">
        <f>"01015312900"</f>
        <v>01015312900</v>
      </c>
      <c r="B8471" s="1" t="str">
        <f>"MILLER ALFRED J, MILLER ELEANOR M"</f>
        <v>MILLER ALFRED J, MILLER ELEANOR M</v>
      </c>
      <c r="C8471" s="1" t="str">
        <f>"DUNKIRK DR BRITTANY HILLS SEC 2 LOT 176"</f>
        <v>DUNKIRK DR BRITTANY HILLS SEC 2 LOT 176</v>
      </c>
      <c r="D8471" s="1">
        <v>82.56</v>
      </c>
    </row>
    <row r="8472" spans="1:4" x14ac:dyDescent="0.3">
      <c r="A8472" s="1" t="str">
        <f>"18000371300"</f>
        <v>18000371300</v>
      </c>
      <c r="B8472" s="1" t="str">
        <f>"MILLER ANDREW G SR"</f>
        <v>MILLER ANDREW G SR</v>
      </c>
      <c r="C8472" s="1" t="str">
        <f>"CLARETTA RD BLACKLICK ESTATES 6 LOT 912"</f>
        <v>CLARETTA RD BLACKLICK ESTATES 6 LOT 912</v>
      </c>
      <c r="D8472" s="1">
        <v>474.38</v>
      </c>
    </row>
    <row r="8473" spans="1:4" x14ac:dyDescent="0.3">
      <c r="A8473" s="1" t="str">
        <f>"01012160600"</f>
        <v>01012160600</v>
      </c>
      <c r="B8473" s="1" t="str">
        <f>"MILLER ANTHONY"</f>
        <v>MILLER ANTHONY</v>
      </c>
      <c r="C8473" s="1" t="str">
        <f>"WILTON PLC THUNDERBIRD ACRES 2 LOT 338"</f>
        <v>WILTON PLC THUNDERBIRD ACRES 2 LOT 338</v>
      </c>
      <c r="D8473" s="1">
        <v>1214.98</v>
      </c>
    </row>
    <row r="8474" spans="1:4" x14ac:dyDescent="0.3">
      <c r="A8474" s="1" t="str">
        <f>"01016148400"</f>
        <v>01016148400</v>
      </c>
      <c r="B8474" s="1" t="str">
        <f>"MILLER ANTHONY W, MILLER JOY E"</f>
        <v>MILLER ANTHONY W, MILLER JOY E</v>
      </c>
      <c r="C8474" s="1" t="str">
        <f>"GENTRY LANE CHATTERTON GARDENS LOT 107"</f>
        <v>GENTRY LANE CHATTERTON GARDENS LOT 107</v>
      </c>
      <c r="D8474" s="1">
        <v>1454.12</v>
      </c>
    </row>
    <row r="8475" spans="1:4" x14ac:dyDescent="0.3">
      <c r="A8475" s="1" t="str">
        <f>"01011263400"</f>
        <v>01011263400</v>
      </c>
      <c r="B8475" s="1" t="str">
        <f>"MILLER ARTHUR A"</f>
        <v>MILLER ARTHUR A</v>
      </c>
      <c r="C8475" s="1" t="str">
        <f>"5TH ST OBETZ LOT 23"</f>
        <v>5TH ST OBETZ LOT 23</v>
      </c>
      <c r="D8475" s="1">
        <v>391.8</v>
      </c>
    </row>
    <row r="8476" spans="1:4" x14ac:dyDescent="0.3">
      <c r="A8476" s="1" t="str">
        <f>"27301352200"</f>
        <v>27301352200</v>
      </c>
      <c r="B8476" s="1" t="str">
        <f>"MILLER BECKY"</f>
        <v>MILLER BECKY</v>
      </c>
      <c r="C8476" s="1" t="str">
        <f>"TOWNS ON THE PARKWAY CONDOMINIUM 1ST AMD UNIT 204"</f>
        <v>TOWNS ON THE PARKWAY CONDOMINIUM 1ST AMD UNIT 204</v>
      </c>
      <c r="D8476" s="1">
        <v>659.38</v>
      </c>
    </row>
    <row r="8477" spans="1:4" x14ac:dyDescent="0.3">
      <c r="A8477" s="1" t="str">
        <f>"01013593100"</f>
        <v>01013593100</v>
      </c>
      <c r="B8477" s="1" t="str">
        <f>"MILLER BEN ZION, MILLER SHULAMIT"</f>
        <v>MILLER BEN ZION, MILLER SHULAMIT</v>
      </c>
      <c r="C8477" s="1" t="str">
        <f>"CARBONDALE DR 38FT SWS WALNUT BLUFF 2 LOT 431"</f>
        <v>CARBONDALE DR 38FT SWS WALNUT BLUFF 2 LOT 431</v>
      </c>
      <c r="D8477" s="1">
        <v>326.67</v>
      </c>
    </row>
    <row r="8478" spans="1:4" x14ac:dyDescent="0.3">
      <c r="A8478" s="1" t="str">
        <f>"02500202400"</f>
        <v>02500202400</v>
      </c>
      <c r="B8478" s="1" t="str">
        <f>"MILLER BERNARD DEAN TR, MILLER RENATE L TR"</f>
        <v>MILLER BERNARD DEAN TR, MILLER RENATE L TR</v>
      </c>
      <c r="C8478" s="1" t="str">
        <f>"135 LANSDOWNE AVE HERITAGE LOT 1 "</f>
        <v xml:space="preserve">135 LANSDOWNE AVE HERITAGE LOT 1 </v>
      </c>
      <c r="D8478" s="1">
        <v>244.62</v>
      </c>
    </row>
    <row r="8479" spans="1:4" x14ac:dyDescent="0.3">
      <c r="A8479" s="1" t="str">
        <f>"57015564300"</f>
        <v>57015564300</v>
      </c>
      <c r="B8479" s="1" t="str">
        <f>"MILLER BRUCILLA A"</f>
        <v>MILLER BRUCILLA A</v>
      </c>
      <c r="C8479" s="1" t="str">
        <f>"CHERRY CREEK VILLAS CON PHASE III BLDG 25 UNIT D"</f>
        <v>CHERRY CREEK VILLAS CON PHASE III BLDG 25 UNIT D</v>
      </c>
      <c r="D8479" s="1">
        <v>254.49</v>
      </c>
    </row>
    <row r="8480" spans="1:4" x14ac:dyDescent="0.3">
      <c r="A8480" s="1" t="str">
        <f>"01014157200"</f>
        <v>01014157200</v>
      </c>
      <c r="B8480" s="1" t="str">
        <f>"MILLER CAMMIE E, MILLER MICHAEL A, MILLER BILLY D"</f>
        <v>MILLER CAMMIE E, MILLER MICHAEL A, MILLER BILLY D</v>
      </c>
      <c r="C8480" s="1" t="str">
        <f>"CHELFORD CT SOMERSET 1 LOT 104"</f>
        <v>CHELFORD CT SOMERSET 1 LOT 104</v>
      </c>
      <c r="D8480" s="1">
        <v>3185.64</v>
      </c>
    </row>
    <row r="8481" spans="1:4" x14ac:dyDescent="0.3">
      <c r="A8481" s="1" t="str">
        <f>"07001362400"</f>
        <v>07001362400</v>
      </c>
      <c r="B8481" s="1" t="str">
        <f>"MILLER CATHERINE E, STAUB CATHERINE M"</f>
        <v>MILLER CATHERINE E, STAUB CATHERINE M</v>
      </c>
      <c r="C8481" s="1" t="str">
        <f>"DEVONSHIRE CONDO UNIT 4546 "</f>
        <v xml:space="preserve">DEVONSHIRE CONDO UNIT 4546 </v>
      </c>
      <c r="D8481" s="1">
        <v>2519.8200000000002</v>
      </c>
    </row>
    <row r="8482" spans="1:4" x14ac:dyDescent="0.3">
      <c r="A8482" s="1" t="str">
        <f>"20000123000"</f>
        <v>20000123000</v>
      </c>
      <c r="B8482" s="1" t="str">
        <f>"MILLER CATHERINE M, SPENCE JANET E"</f>
        <v>MILLER CATHERINE M, SPENCE JANET E</v>
      </c>
      <c r="C8482" s="1" t="str">
        <f>"SCHIRTZINGER RD ENTRY 1406 0.635 ACRE"</f>
        <v>SCHIRTZINGER RD ENTRY 1406 0.635 ACRE</v>
      </c>
      <c r="D8482" s="1">
        <v>4829.55</v>
      </c>
    </row>
    <row r="8483" spans="1:4" x14ac:dyDescent="0.3">
      <c r="A8483" s="1" t="str">
        <f>"01000125300"</f>
        <v>01000125300</v>
      </c>
      <c r="B8483" s="1" t="str">
        <f>"MILLER CINDY MICHELLE, ELLIS NATHAN AARON"</f>
        <v>MILLER CINDY MICHELLE, ELLIS NATHAN AARON</v>
      </c>
      <c r="C8483" s="1" t="str">
        <f>"71 CLINTON HT AVE CLINTON LAND CO LOT 11"</f>
        <v>71 CLINTON HT AVE CLINTON LAND CO LOT 11</v>
      </c>
      <c r="D8483" s="1">
        <v>7651.3</v>
      </c>
    </row>
    <row r="8484" spans="1:4" x14ac:dyDescent="0.3">
      <c r="A8484" s="1" t="str">
        <f>"01019514800"</f>
        <v>01019514800</v>
      </c>
      <c r="B8484" s="1" t="str">
        <f>"MILLER CINI LISA"</f>
        <v>MILLER CINI LISA</v>
      </c>
      <c r="C8484" s="1" t="str">
        <f>"E BROAD ST PARK TOWERS CONDO UNIT 107"</f>
        <v>E BROAD ST PARK TOWERS CONDO UNIT 107</v>
      </c>
      <c r="D8484" s="1">
        <v>158.66</v>
      </c>
    </row>
    <row r="8485" spans="1:4" x14ac:dyDescent="0.3">
      <c r="A8485" s="1" t="str">
        <f>"60017616800"</f>
        <v>60017616800</v>
      </c>
      <c r="B8485" s="1" t="str">
        <f>"MILLER DARYL ALLEN"</f>
        <v>MILLER DARYL ALLEN</v>
      </c>
      <c r="C8485" s="1" t="str">
        <f>"COOPER RIDGE RD COOPER RIDGE LOT 34"</f>
        <v>COOPER RIDGE RD COOPER RIDGE LOT 34</v>
      </c>
      <c r="D8485" s="1">
        <v>2973.36</v>
      </c>
    </row>
    <row r="8486" spans="1:4" x14ac:dyDescent="0.3">
      <c r="A8486" s="1" t="str">
        <f>"53026933700"</f>
        <v>53026933700</v>
      </c>
      <c r="B8486" s="1" t="str">
        <f>"MILLER DAVID M"</f>
        <v>MILLER DAVID M</v>
      </c>
      <c r="C8486" s="1" t="str">
        <f>"DOROTHY'S POND CONDOMINIUM BLDG 10 UNIT 6525"</f>
        <v>DOROTHY'S POND CONDOMINIUM BLDG 10 UNIT 6525</v>
      </c>
      <c r="D8486" s="1">
        <v>3203.76</v>
      </c>
    </row>
    <row r="8487" spans="1:4" x14ac:dyDescent="0.3">
      <c r="A8487" s="1" t="str">
        <f>"56016991600"</f>
        <v>56016991600</v>
      </c>
      <c r="B8487" s="1" t="str">
        <f>"MILLER DEBBRA"</f>
        <v>MILLER DEBBRA</v>
      </c>
      <c r="C8487" s="1" t="str">
        <f>"WALDEN RAVINES CONDOMINIUM UNIT 3127 BLDG A"</f>
        <v>WALDEN RAVINES CONDOMINIUM UNIT 3127 BLDG A</v>
      </c>
      <c r="D8487" s="1">
        <v>2719.87</v>
      </c>
    </row>
    <row r="8488" spans="1:4" x14ac:dyDescent="0.3">
      <c r="A8488" s="1" t="str">
        <f>"01026341600"</f>
        <v>01026341600</v>
      </c>
      <c r="B8488" s="1" t="str">
        <f>"MILLER DIANE M"</f>
        <v>MILLER DIANE M</v>
      </c>
      <c r="C8488" s="1" t="str">
        <f>"VILLAGE AT EASTERN GLEN S-F HOMES CONDO 1ST AMD UNIT DESIGNATION 70"</f>
        <v>VILLAGE AT EASTERN GLEN S-F HOMES CONDO 1ST AMD UNIT DESIGNATION 70</v>
      </c>
      <c r="D8488" s="1">
        <v>1294.03</v>
      </c>
    </row>
    <row r="8489" spans="1:4" x14ac:dyDescent="0.3">
      <c r="A8489" s="1" t="str">
        <f>"01010102100"</f>
        <v>01010102100</v>
      </c>
      <c r="B8489" s="1" t="str">
        <f>"MILLER DONALD W"</f>
        <v>MILLER DONALD W</v>
      </c>
      <c r="C8489" s="1" t="str">
        <f>"COBURG RD BERWICK MANOR LOT 75"</f>
        <v>COBURG RD BERWICK MANOR LOT 75</v>
      </c>
      <c r="D8489" s="1">
        <v>1100.17</v>
      </c>
    </row>
    <row r="8490" spans="1:4" x14ac:dyDescent="0.3">
      <c r="A8490" s="1" t="str">
        <f>"61019933300"</f>
        <v>61019933300</v>
      </c>
      <c r="B8490" s="1" t="str">
        <f>"MILLER EDWARD H"</f>
        <v>MILLER EDWARD H</v>
      </c>
      <c r="C8490" s="1" t="str">
        <f>"POCONO RD CHRISTOPHER WOODS LOT 22"</f>
        <v>POCONO RD CHRISTOPHER WOODS LOT 22</v>
      </c>
      <c r="D8490" s="1">
        <v>5481.83</v>
      </c>
    </row>
    <row r="8491" spans="1:4" x14ac:dyDescent="0.3">
      <c r="A8491" s="1" t="str">
        <f>"23000228000"</f>
        <v>23000228000</v>
      </c>
      <c r="B8491" s="1" t="str">
        <f>"MILLER EMERY J TR"</f>
        <v>MILLER EMERY J TR</v>
      </c>
      <c r="C8491" s="1" t="str">
        <f>"DARBY BLVD ALLEN E MCDOWELLS E DARBYDALE 33"</f>
        <v>DARBY BLVD ALLEN E MCDOWELLS E DARBYDALE 33</v>
      </c>
      <c r="D8491" s="1">
        <v>595.13</v>
      </c>
    </row>
    <row r="8492" spans="1:4" x14ac:dyDescent="0.3">
      <c r="A8492" s="1" t="str">
        <f>"23000228700"</f>
        <v>23000228700</v>
      </c>
      <c r="B8492" s="1" t="str">
        <f>"MILLER EMERY J TR"</f>
        <v>MILLER EMERY J TR</v>
      </c>
      <c r="C8492" s="1" t="str">
        <f>"DARBY BLVD ALLEN E MCDOWELLS E DARBYDALE 35"</f>
        <v>DARBY BLVD ALLEN E MCDOWELLS E DARBYDALE 35</v>
      </c>
      <c r="D8492" s="1">
        <v>275.91000000000003</v>
      </c>
    </row>
    <row r="8493" spans="1:4" x14ac:dyDescent="0.3">
      <c r="A8493" s="1" t="str">
        <f>"23000229900"</f>
        <v>23000229900</v>
      </c>
      <c r="B8493" s="1" t="str">
        <f>"MILLER EMERY J TR"</f>
        <v>MILLER EMERY J TR</v>
      </c>
      <c r="C8493" s="1" t="str">
        <f>"DARBY BLVD ALLEN E MCDOWELLS E DARBYDALE 34"</f>
        <v>DARBY BLVD ALLEN E MCDOWELLS E DARBYDALE 34</v>
      </c>
      <c r="D8493" s="1">
        <v>305.58999999999997</v>
      </c>
    </row>
    <row r="8494" spans="1:4" x14ac:dyDescent="0.3">
      <c r="A8494" s="1" t="str">
        <f>"01011504000"</f>
        <v>01011504000</v>
      </c>
      <c r="B8494" s="1" t="str">
        <f>"MILLER FREDA LOUISE"</f>
        <v>MILLER FREDA LOUISE</v>
      </c>
      <c r="C8494" s="1" t="str">
        <f>"KOEBEL AVE ACRES .162 R22 T4 S3"</f>
        <v>KOEBEL AVE ACRES .162 R22 T4 S3</v>
      </c>
      <c r="D8494" s="1">
        <v>1588.61</v>
      </c>
    </row>
    <row r="8495" spans="1:4" x14ac:dyDescent="0.3">
      <c r="A8495" s="1" t="str">
        <f>"07000783900"</f>
        <v>07000783900</v>
      </c>
      <c r="B8495" s="1" t="str">
        <f>"MILLER GEORGE P JR"</f>
        <v>MILLER GEORGE P JR</v>
      </c>
      <c r="C8495" s="1" t="str">
        <f>"4000 RITAMARIE DR RITA C THOMAS 18 "</f>
        <v xml:space="preserve">4000 RITAMARIE DR RITA C THOMAS 18 </v>
      </c>
      <c r="D8495" s="1">
        <v>5809.58</v>
      </c>
    </row>
    <row r="8496" spans="1:4" x14ac:dyDescent="0.3">
      <c r="A8496" s="1" t="str">
        <f>"07000899100"</f>
        <v>07000899100</v>
      </c>
      <c r="B8496" s="1" t="str">
        <f>"MILLER GIDEON D, MILLER KATHRYN E"</f>
        <v>MILLER GIDEON D, MILLER KATHRYN E</v>
      </c>
      <c r="C8496" s="1" t="str">
        <f>"1406 ZOLLINGER RD WAKEFIELD FOREST 24 BLK 312"</f>
        <v>1406 ZOLLINGER RD WAKEFIELD FOREST 24 BLK 312</v>
      </c>
      <c r="D8496" s="1">
        <v>525.5</v>
      </c>
    </row>
    <row r="8497" spans="1:4" x14ac:dyDescent="0.3">
      <c r="A8497" s="1" t="str">
        <f>"01013029400"</f>
        <v>01013029400</v>
      </c>
      <c r="B8497" s="1" t="str">
        <f>"MILLER GLENN A, MILLER SHARON B"</f>
        <v>MILLER GLENN A, MILLER SHARON B</v>
      </c>
      <c r="C8497" s="1" t="str">
        <f>"FAIRCREST RD KARL MEADOWS LOT 91"</f>
        <v>FAIRCREST RD KARL MEADOWS LOT 91</v>
      </c>
      <c r="D8497" s="1">
        <v>1382.37</v>
      </c>
    </row>
    <row r="8498" spans="1:4" x14ac:dyDescent="0.3">
      <c r="A8498" s="1" t="str">
        <f>"22200253700"</f>
        <v>22200253700</v>
      </c>
      <c r="B8498" s="1" t="str">
        <f>"MILLER GREGORY K, MILLER EMILY J"</f>
        <v>MILLER GREGORY K, MILLER EMILY J</v>
      </c>
      <c r="C8498" s="1" t="str">
        <f>"JAMES RIVER CLOSE NEW ALBANY COUNTRY CLUB SECTION 11A LOT 12"</f>
        <v>JAMES RIVER CLOSE NEW ALBANY COUNTRY CLUB SECTION 11A LOT 12</v>
      </c>
      <c r="D8498" s="1">
        <v>902.25</v>
      </c>
    </row>
    <row r="8499" spans="1:4" x14ac:dyDescent="0.3">
      <c r="A8499" s="1" t="str">
        <f>"01004173600"</f>
        <v>01004173600</v>
      </c>
      <c r="B8499" s="1" t="str">
        <f>"MILLER HARLEY"</f>
        <v>MILLER HARLEY</v>
      </c>
      <c r="C8499" s="1" t="str">
        <f>"CAMPBELL AVE AVONDALE LOT 129"</f>
        <v>CAMPBELL AVE AVONDALE LOT 129</v>
      </c>
      <c r="D8499" s="1">
        <v>2215.8200000000002</v>
      </c>
    </row>
    <row r="8500" spans="1:4" x14ac:dyDescent="0.3">
      <c r="A8500" s="1" t="str">
        <f>"24000486100"</f>
        <v>24000486100</v>
      </c>
      <c r="B8500" s="1" t="str">
        <f>"MILLER JACK E"</f>
        <v>MILLER JACK E</v>
      </c>
      <c r="C8500" s="1" t="str">
        <f>"HAFEY AVE LINCOLN VILLAGE S LOT 595 RES A &amp; D"</f>
        <v>HAFEY AVE LINCOLN VILLAGE S LOT 595 RES A &amp; D</v>
      </c>
      <c r="D8500" s="1">
        <v>71.95</v>
      </c>
    </row>
    <row r="8501" spans="1:4" x14ac:dyDescent="0.3">
      <c r="A8501" s="1" t="str">
        <f>"01006521400"</f>
        <v>01006521400</v>
      </c>
      <c r="B8501" s="1" t="str">
        <f>"MILLER JAMES M, MILLER MARGARET M"</f>
        <v>MILLER JAMES M, MILLER MARGARET M</v>
      </c>
      <c r="C8501" s="1" t="str">
        <f>"WEST BROAD ST NORTHVW ON HILL TOP LOT 1"</f>
        <v>WEST BROAD ST NORTHVW ON HILL TOP LOT 1</v>
      </c>
      <c r="D8501" s="1">
        <v>159.22999999999999</v>
      </c>
    </row>
    <row r="8502" spans="1:4" x14ac:dyDescent="0.3">
      <c r="A8502" s="1" t="str">
        <f>"19000077600"</f>
        <v>19000077600</v>
      </c>
      <c r="B8502" s="1" t="str">
        <f>"MILLER JAMES, MILLER DONALD"</f>
        <v>MILLER JAMES, MILLER DONALD</v>
      </c>
      <c r="C8502" s="1" t="str">
        <f>"2937 BAUGHMAN AVE 36FTMID&amp;T E LINDEN 2ND L 69"</f>
        <v>2937 BAUGHMAN AVE 36FTMID&amp;T E LINDEN 2ND L 69</v>
      </c>
      <c r="D8502" s="1">
        <v>1054.68</v>
      </c>
    </row>
    <row r="8503" spans="1:4" x14ac:dyDescent="0.3">
      <c r="A8503" s="1" t="str">
        <f>"19000274900"</f>
        <v>19000274900</v>
      </c>
      <c r="B8503" s="1" t="str">
        <f>"MILLER JAMES, MILLER DONALD"</f>
        <v>MILLER JAMES, MILLER DONALD</v>
      </c>
      <c r="C8503" s="1" t="str">
        <f>"BAUGHMAN AVE 70F  N S E LINDEN 2(D 69"</f>
        <v>BAUGHMAN AVE 70F  N S E LINDEN 2(D 69</v>
      </c>
      <c r="D8503" s="1">
        <v>371.01</v>
      </c>
    </row>
    <row r="8504" spans="1:4" x14ac:dyDescent="0.3">
      <c r="A8504" s="1" t="str">
        <f>"01004300300"</f>
        <v>01004300300</v>
      </c>
      <c r="B8504" s="1" t="str">
        <f>"MILLER JOHN W"</f>
        <v>MILLER JOHN W</v>
      </c>
      <c r="C8504" s="1" t="str">
        <f>"242 S CENTRAL AVE DORENS CENTRAL AVE LOT 198"</f>
        <v>242 S CENTRAL AVE DORENS CENTRAL AVE LOT 198</v>
      </c>
      <c r="D8504" s="1">
        <v>1123.6099999999999</v>
      </c>
    </row>
    <row r="8505" spans="1:4" x14ac:dyDescent="0.3">
      <c r="A8505" s="1" t="str">
        <f>"01014169000"</f>
        <v>01014169000</v>
      </c>
      <c r="B8505" s="1" t="str">
        <f>"MILLER LANDON E"</f>
        <v>MILLER LANDON E</v>
      </c>
      <c r="C8505" s="1" t="str">
        <f>"3234 CHELFORD DR SOMERSET 1 LOT 222"</f>
        <v>3234 CHELFORD DR SOMERSET 1 LOT 222</v>
      </c>
      <c r="D8505" s="1">
        <v>134.43</v>
      </c>
    </row>
    <row r="8506" spans="1:4" x14ac:dyDescent="0.3">
      <c r="A8506" s="1" t="str">
        <f>"01014169200"</f>
        <v>01014169200</v>
      </c>
      <c r="B8506" s="1" t="str">
        <f>"MILLER LANDON E"</f>
        <v>MILLER LANDON E</v>
      </c>
      <c r="C8506" s="1" t="str">
        <f>"3250 CHELFORD DR SOMERSET 1 LOT 224"</f>
        <v>3250 CHELFORD DR SOMERSET 1 LOT 224</v>
      </c>
      <c r="D8506" s="1">
        <v>143.68</v>
      </c>
    </row>
    <row r="8507" spans="1:4" x14ac:dyDescent="0.3">
      <c r="A8507" s="1" t="str">
        <f>"02501072400"</f>
        <v>02501072400</v>
      </c>
      <c r="B8507" s="1" t="str">
        <f>"MILLER LEOLA GAIL TTEE"</f>
        <v>MILLER LEOLA GAIL TTEE</v>
      </c>
      <c r="C8507" s="1" t="str">
        <f>"488 THREE OAKS COURT GAHANNA OAKS CONDO BLDG 5 UNIT 488"</f>
        <v>488 THREE OAKS COURT GAHANNA OAKS CONDO BLDG 5 UNIT 488</v>
      </c>
      <c r="D8507" s="1">
        <v>1790.53</v>
      </c>
    </row>
    <row r="8508" spans="1:4" x14ac:dyDescent="0.3">
      <c r="A8508" s="1" t="str">
        <f>"01013516800"</f>
        <v>01013516800</v>
      </c>
      <c r="B8508" s="1" t="str">
        <f>"MILLER LINDA E"</f>
        <v>MILLER LINDA E</v>
      </c>
      <c r="C8508" s="1" t="str">
        <f>"NICHOLAS AVE BROOKSHIRE SO LOT 199"</f>
        <v>NICHOLAS AVE BROOKSHIRE SO LOT 199</v>
      </c>
      <c r="D8508" s="1">
        <v>102.36</v>
      </c>
    </row>
    <row r="8509" spans="1:4" x14ac:dyDescent="0.3">
      <c r="A8509" s="1" t="str">
        <f>"02501069100"</f>
        <v>02501069100</v>
      </c>
      <c r="B8509" s="1" t="str">
        <f>"MILLER LINDA E TR"</f>
        <v>MILLER LINDA E TR</v>
      </c>
      <c r="C8509" s="1" t="str">
        <f>"THE ESTATES OF ROCKY FORK SECTION 2 LOT 36"</f>
        <v>THE ESTATES OF ROCKY FORK SECTION 2 LOT 36</v>
      </c>
      <c r="D8509" s="1">
        <v>477.2</v>
      </c>
    </row>
    <row r="8510" spans="1:4" x14ac:dyDescent="0.3">
      <c r="A8510" s="1" t="str">
        <f>"24000533300"</f>
        <v>24000533300</v>
      </c>
      <c r="B8510" s="1" t="str">
        <f>"MILLER LYNFORD J TR"</f>
        <v>MILLER LYNFORD J TR</v>
      </c>
      <c r="C8510" s="1" t="str">
        <f>"EDGEWATER AV LAKE DARBY EST 1 LOT 118"</f>
        <v>EDGEWATER AV LAKE DARBY EST 1 LOT 118</v>
      </c>
      <c r="D8510" s="1">
        <v>1639.72</v>
      </c>
    </row>
    <row r="8511" spans="1:4" x14ac:dyDescent="0.3">
      <c r="A8511" s="1" t="str">
        <f>"01003570500"</f>
        <v>01003570500</v>
      </c>
      <c r="B8511" s="1" t="str">
        <f>"MILLER MARK"</f>
        <v>MILLER MARK</v>
      </c>
      <c r="C8511" s="1" t="str">
        <f>"73 N PRINCETON AVE KNAUSS AMD SUB 146"</f>
        <v>73 N PRINCETON AVE KNAUSS AMD SUB 146</v>
      </c>
      <c r="D8511" s="1">
        <v>1261.1400000000001</v>
      </c>
    </row>
    <row r="8512" spans="1:4" x14ac:dyDescent="0.3">
      <c r="A8512" s="1" t="str">
        <f>"01005499700"</f>
        <v>01005499700</v>
      </c>
      <c r="B8512" s="1" t="str">
        <f>"MILLER MARK"</f>
        <v>MILLER MARK</v>
      </c>
      <c r="C8512" s="1" t="str">
        <f>"46-48 DANA AVE WEST HIGH SCHOOL LOT 72"</f>
        <v>46-48 DANA AVE WEST HIGH SCHOOL LOT 72</v>
      </c>
      <c r="D8512" s="1">
        <v>1859.35</v>
      </c>
    </row>
    <row r="8513" spans="1:4" x14ac:dyDescent="0.3">
      <c r="A8513" s="1" t="str">
        <f>"19000134300"</f>
        <v>19000134300</v>
      </c>
      <c r="B8513" s="1" t="str">
        <f>"MILLER MARK"</f>
        <v>MILLER MARK</v>
      </c>
      <c r="C8513" s="1" t="str">
        <f>"2183 AGLER RD MID 50X170FT E LINDEN 2ND 71"</f>
        <v>2183 AGLER RD MID 50X170FT E LINDEN 2ND 71</v>
      </c>
      <c r="D8513" s="1">
        <v>1088.46</v>
      </c>
    </row>
    <row r="8514" spans="1:4" x14ac:dyDescent="0.3">
      <c r="A8514" s="1" t="str">
        <f>"01001992600"</f>
        <v>01001992600</v>
      </c>
      <c r="B8514" s="1" t="str">
        <f>"MILLER MARK D"</f>
        <v>MILLER MARK D</v>
      </c>
      <c r="C8514" s="1" t="str">
        <f>"108-110 GUILFORD AVE GUILFORD PK LOT 53"</f>
        <v>108-110 GUILFORD AVE GUILFORD PK LOT 53</v>
      </c>
      <c r="D8514" s="1">
        <v>1511.7</v>
      </c>
    </row>
    <row r="8515" spans="1:4" x14ac:dyDescent="0.3">
      <c r="A8515" s="1" t="str">
        <f>"01000373800"</f>
        <v>01000373800</v>
      </c>
      <c r="B8515" s="1" t="str">
        <f>"MILLER MARK D"</f>
        <v>MILLER MARK D</v>
      </c>
      <c r="C8515" s="1" t="str">
        <f>"1450 IRENE PLACE GUILFORD LOTS 100 &amp; 101"</f>
        <v>1450 IRENE PLACE GUILFORD LOTS 100 &amp; 101</v>
      </c>
      <c r="D8515" s="1">
        <v>537.42999999999995</v>
      </c>
    </row>
    <row r="8516" spans="1:4" x14ac:dyDescent="0.3">
      <c r="A8516" s="1" t="str">
        <f>"01002008300"</f>
        <v>01002008300</v>
      </c>
      <c r="B8516" s="1" t="str">
        <f>"MILLER MARK D"</f>
        <v>MILLER MARK D</v>
      </c>
      <c r="C8516" s="1" t="str">
        <f>"38 PRINCETON AVE FRANKLIN LOT 21"</f>
        <v>38 PRINCETON AVE FRANKLIN LOT 21</v>
      </c>
      <c r="D8516" s="1">
        <v>1136.1600000000001</v>
      </c>
    </row>
    <row r="8517" spans="1:4" x14ac:dyDescent="0.3">
      <c r="A8517" s="1" t="str">
        <f>"01016104000"</f>
        <v>01016104000</v>
      </c>
      <c r="B8517" s="1" t="str">
        <f>"MILLER MARK D"</f>
        <v>MILLER MARK D</v>
      </c>
      <c r="C8517" s="1" t="str">
        <f>"WOODBROOK CR N WOODBROOK VILLAGE CONDOMINIUM UNIT 74"</f>
        <v>WOODBROOK CR N WOODBROOK VILLAGE CONDOMINIUM UNIT 74</v>
      </c>
      <c r="D8517" s="1">
        <v>677.17</v>
      </c>
    </row>
    <row r="8518" spans="1:4" x14ac:dyDescent="0.3">
      <c r="A8518" s="1" t="str">
        <f>"01001272600"</f>
        <v>01001272600</v>
      </c>
      <c r="B8518" s="1" t="str">
        <f>"MILLER MARK DOUGLAS SR"</f>
        <v>MILLER MARK DOUGLAS SR</v>
      </c>
      <c r="C8518" s="1" t="str">
        <f>"50-52 DANA AVENUE WEST HIGH SCHOOL LOT 71"</f>
        <v>50-52 DANA AVENUE WEST HIGH SCHOOL LOT 71</v>
      </c>
      <c r="D8518" s="1">
        <v>1891.21</v>
      </c>
    </row>
    <row r="8519" spans="1:4" x14ac:dyDescent="0.3">
      <c r="A8519" s="1" t="str">
        <f>"07001348100"</f>
        <v>07001348100</v>
      </c>
      <c r="B8519" s="1" t="str">
        <f>"MILLER MARY E"</f>
        <v>MILLER MARY E</v>
      </c>
      <c r="C8519" s="1" t="str">
        <f>"GUILFORD-COVENT COND UNIT 1895 "</f>
        <v xml:space="preserve">GUILFORD-COVENT COND UNIT 1895 </v>
      </c>
      <c r="D8519" s="1">
        <v>6236.24</v>
      </c>
    </row>
    <row r="8520" spans="1:4" x14ac:dyDescent="0.3">
      <c r="A8520" s="1" t="str">
        <f>"01001397900"</f>
        <v>01001397900</v>
      </c>
      <c r="B8520" s="1" t="str">
        <f>"MILLER MEGED DAWVD"</f>
        <v>MILLER MEGED DAWVD</v>
      </c>
      <c r="C8520" s="1" t="str">
        <f>"768 SEYMOUR AVE SEYMORE AVE LOT 65"</f>
        <v>768 SEYMOUR AVE SEYMORE AVE LOT 65</v>
      </c>
      <c r="D8520" s="1">
        <v>208.32</v>
      </c>
    </row>
    <row r="8521" spans="1:4" x14ac:dyDescent="0.3">
      <c r="A8521" s="1" t="str">
        <f>"01001612200"</f>
        <v>01001612200</v>
      </c>
      <c r="B8521" s="1" t="str">
        <f>"MILLER MICHAEL T, MILLER DEBORAH L"</f>
        <v>MILLER MICHAEL T, MILLER DEBORAH L</v>
      </c>
      <c r="C8521" s="1" t="str">
        <f>"1440-42 COLE ST T MILLER LOT 57"</f>
        <v>1440-42 COLE ST T MILLER LOT 57</v>
      </c>
      <c r="D8521" s="1">
        <v>795.41</v>
      </c>
    </row>
    <row r="8522" spans="1:4" x14ac:dyDescent="0.3">
      <c r="A8522" s="1" t="str">
        <f>"01004233200"</f>
        <v>01004233200</v>
      </c>
      <c r="B8522" s="1" t="str">
        <f>"MILLER MICHAEL T, MILLER DEBORAH L"</f>
        <v>MILLER MICHAEL T, MILLER DEBORAH L</v>
      </c>
      <c r="C8522" s="1" t="str">
        <f>"COLE ST T MILLER LOT 56"</f>
        <v>COLE ST T MILLER LOT 56</v>
      </c>
      <c r="D8522" s="1">
        <v>427.35</v>
      </c>
    </row>
    <row r="8523" spans="1:4" x14ac:dyDescent="0.3">
      <c r="A8523" s="1" t="str">
        <f>"01005562900"</f>
        <v>01005562900</v>
      </c>
      <c r="B8523" s="1" t="str">
        <f>"MILLER MICHAEL T, MILLER DEBORAH L"</f>
        <v>MILLER MICHAEL T, MILLER DEBORAH L</v>
      </c>
      <c r="C8523" s="1" t="str">
        <f>"COLE ST REAR THOMAS MILLERS AMD ADD  75' NE LOT 56"</f>
        <v>COLE ST REAR THOMAS MILLERS AMD ADD  75' NE LOT 56</v>
      </c>
      <c r="D8523" s="1">
        <v>442.62</v>
      </c>
    </row>
    <row r="8524" spans="1:4" x14ac:dyDescent="0.3">
      <c r="A8524" s="1" t="str">
        <f>"61020129100"</f>
        <v>61020129100</v>
      </c>
      <c r="B8524" s="1" t="str">
        <f>"MILLER NICHOLAS S"</f>
        <v>MILLER NICHOLAS S</v>
      </c>
      <c r="C8524" s="1" t="str">
        <f>"WORTHINGTON WOODS WEST CONDO 5 1 AMD UNIT G2"</f>
        <v>WORTHINGTON WOODS WEST CONDO 5 1 AMD UNIT G2</v>
      </c>
      <c r="D8524" s="1">
        <v>1842.92</v>
      </c>
    </row>
    <row r="8525" spans="1:4" x14ac:dyDescent="0.3">
      <c r="A8525" s="1" t="str">
        <f>"27300933100"</f>
        <v>27300933100</v>
      </c>
      <c r="B8525" s="1" t="str">
        <f>"MILLER ORAL D, MILLER NICOLE L"</f>
        <v>MILLER ORAL D, MILLER NICOLE L</v>
      </c>
      <c r="C8525" s="1" t="str">
        <f>"GLENLOCH CIRCLE BRAELINN GREEN CONDO UNIT 2998"</f>
        <v>GLENLOCH CIRCLE BRAELINN GREEN CONDO UNIT 2998</v>
      </c>
      <c r="D8525" s="1">
        <v>2725.45</v>
      </c>
    </row>
    <row r="8526" spans="1:4" x14ac:dyDescent="0.3">
      <c r="A8526" s="1" t="str">
        <f>"01007213600"</f>
        <v>01007213600</v>
      </c>
      <c r="B8526" s="1" t="str">
        <f>"MILLER RICHARD III"</f>
        <v>MILLER RICHARD III</v>
      </c>
      <c r="C8526" s="1" t="str">
        <f>"203 BLENHEIM RD NORTHRIDGE AMD LOT 120"</f>
        <v>203 BLENHEIM RD NORTHRIDGE AMD LOT 120</v>
      </c>
      <c r="D8526" s="1">
        <v>5759.89</v>
      </c>
    </row>
    <row r="8527" spans="1:4" x14ac:dyDescent="0.3">
      <c r="A8527" s="1" t="str">
        <f>"02500046700"</f>
        <v>02500046700</v>
      </c>
      <c r="B8527" s="1" t="str">
        <f>"MILLER ROBERT E III, FALZONE ROBYN M"</f>
        <v>MILLER ROBERT E III, FALZONE ROBYN M</v>
      </c>
      <c r="C8527" s="1" t="str">
        <f>"353 S ROCKY FORK DR GRAMERCY PK ESTATES 60"</f>
        <v>353 S ROCKY FORK DR GRAMERCY PK ESTATES 60</v>
      </c>
      <c r="D8527" s="1">
        <v>255.75</v>
      </c>
    </row>
    <row r="8528" spans="1:4" x14ac:dyDescent="0.3">
      <c r="A8528" s="1" t="str">
        <f>"01008416800"</f>
        <v>01008416800</v>
      </c>
      <c r="B8528" s="1" t="str">
        <f>"MILLER ROBERT L"</f>
        <v>MILLER ROBERT L</v>
      </c>
      <c r="C8528" s="1" t="str">
        <f>"DOMINION BLVD ROSEMARY EAST LOT 408"</f>
        <v>DOMINION BLVD ROSEMARY EAST LOT 408</v>
      </c>
      <c r="D8528" s="1">
        <v>255.35</v>
      </c>
    </row>
    <row r="8529" spans="1:4" x14ac:dyDescent="0.3">
      <c r="A8529" s="1" t="str">
        <f>"01001701600"</f>
        <v>01001701600</v>
      </c>
      <c r="B8529" s="1" t="str">
        <f>"MILLER ROBERT LEE"</f>
        <v>MILLER ROBERT LEE</v>
      </c>
      <c r="C8529" s="1" t="str">
        <f>"272 S HARRIS AVE WICKLOW EXT LOT 542"</f>
        <v>272 S HARRIS AVE WICKLOW EXT LOT 542</v>
      </c>
      <c r="D8529" s="1">
        <v>1156.08</v>
      </c>
    </row>
    <row r="8530" spans="1:4" x14ac:dyDescent="0.3">
      <c r="A8530" s="1" t="str">
        <f>"01011139600"</f>
        <v>01011139600</v>
      </c>
      <c r="B8530" s="1" t="str">
        <f>"MILLER STEPHANIE L"</f>
        <v>MILLER STEPHANIE L</v>
      </c>
      <c r="C8530" s="1" t="str">
        <f>"ALGONQUIN AVE JOAN HEIGHTS LOT 138"</f>
        <v>ALGONQUIN AVE JOAN HEIGHTS LOT 138</v>
      </c>
      <c r="D8530" s="1">
        <v>1078.06</v>
      </c>
    </row>
    <row r="8531" spans="1:4" x14ac:dyDescent="0.3">
      <c r="A8531" s="1" t="str">
        <f>"01010739900"</f>
        <v>01010739900</v>
      </c>
      <c r="B8531" s="1" t="str">
        <f>"MILLER TERRANCE A"</f>
        <v>MILLER TERRANCE A</v>
      </c>
      <c r="C8531" s="1" t="str">
        <f>"AVEN DR LIV-MOOR HTS. 3 LOT 146"</f>
        <v>AVEN DR LIV-MOOR HTS. 3 LOT 146</v>
      </c>
      <c r="D8531" s="1">
        <v>108.97</v>
      </c>
    </row>
    <row r="8532" spans="1:4" x14ac:dyDescent="0.3">
      <c r="A8532" s="1" t="str">
        <f>"61020710300"</f>
        <v>61020710300</v>
      </c>
      <c r="B8532" s="1" t="str">
        <f>"MILLER WILLIAM ASSOCIATES LLC"</f>
        <v>MILLER WILLIAM ASSOCIATES LLC</v>
      </c>
      <c r="C8532" s="1" t="str">
        <f>"MASON PLACE MASON OFFICE PARK 2.305 ACRES"</f>
        <v>MASON PLACE MASON OFFICE PARK 2.305 ACRES</v>
      </c>
      <c r="D8532" s="1">
        <v>3500</v>
      </c>
    </row>
    <row r="8533" spans="1:4" x14ac:dyDescent="0.3">
      <c r="A8533" s="1" t="str">
        <f>"59020326500"</f>
        <v>59020326500</v>
      </c>
      <c r="B8533" s="1" t="str">
        <f>"MILLER WILLIAM M TR"</f>
        <v>MILLER WILLIAM M TR</v>
      </c>
      <c r="C8533" s="1" t="str">
        <f>"TULLERS PLANTATION CONDOMINIUM BLDG 3 UNIT 6584 D"</f>
        <v>TULLERS PLANTATION CONDOMINIUM BLDG 3 UNIT 6584 D</v>
      </c>
      <c r="D8533" s="1">
        <v>78.790000000000006</v>
      </c>
    </row>
    <row r="8534" spans="1:4" x14ac:dyDescent="0.3">
      <c r="A8534" s="1" t="str">
        <f>"59020324300"</f>
        <v>59020324300</v>
      </c>
      <c r="B8534" s="1" t="str">
        <f>"MILLER WILLIAM M TR"</f>
        <v>MILLER WILLIAM M TR</v>
      </c>
      <c r="C8534" s="1" t="str">
        <f>"TULLERS PLANTATION CONDOMINIUM BLDG 2 UNIT 6592 B"</f>
        <v>TULLERS PLANTATION CONDOMINIUM BLDG 2 UNIT 6592 B</v>
      </c>
      <c r="D8534" s="1">
        <v>76.650000000000006</v>
      </c>
    </row>
    <row r="8535" spans="1:4" x14ac:dyDescent="0.3">
      <c r="A8535" s="1" t="str">
        <f>"59020325800"</f>
        <v>59020325800</v>
      </c>
      <c r="B8535" s="1" t="str">
        <f>"MILLER WILLIAM M TR"</f>
        <v>MILLER WILLIAM M TR</v>
      </c>
      <c r="C8535" s="1" t="str">
        <f>"TULLERS PLANTATION CONDOMINIUM BLDG 3 UNIT 6580 A"</f>
        <v>TULLERS PLANTATION CONDOMINIUM BLDG 3 UNIT 6580 A</v>
      </c>
      <c r="D8535" s="1">
        <v>105.3</v>
      </c>
    </row>
    <row r="8536" spans="1:4" x14ac:dyDescent="0.3">
      <c r="A8536" s="1" t="str">
        <f>"59020324800"</f>
        <v>59020324800</v>
      </c>
      <c r="B8536" s="1" t="str">
        <f>"MILLER WILLIAM M TR"</f>
        <v>MILLER WILLIAM M TR</v>
      </c>
      <c r="C8536" s="1" t="str">
        <f>"TULLERS PLANTATION CONDOMINIUM BLDG 2 UNIT 6596 C"</f>
        <v>TULLERS PLANTATION CONDOMINIUM BLDG 2 UNIT 6596 C</v>
      </c>
      <c r="D8536" s="1">
        <v>57.91</v>
      </c>
    </row>
    <row r="8537" spans="1:4" x14ac:dyDescent="0.3">
      <c r="A8537" s="1" t="str">
        <f>"59020324700"</f>
        <v>59020324700</v>
      </c>
      <c r="B8537" s="1" t="str">
        <f>"MILLER WILLIAM M TR"</f>
        <v>MILLER WILLIAM M TR</v>
      </c>
      <c r="C8537" s="1" t="str">
        <f>"TULLERS PLANTATION CONDOMINIUM BLDG 2 UNIT 6596 B"</f>
        <v>TULLERS PLANTATION CONDOMINIUM BLDG 2 UNIT 6596 B</v>
      </c>
      <c r="D8537" s="1">
        <v>43.33</v>
      </c>
    </row>
    <row r="8538" spans="1:4" x14ac:dyDescent="0.3">
      <c r="A8538" s="1" t="str">
        <f>"59020324900"</f>
        <v>59020324900</v>
      </c>
      <c r="B8538" s="1" t="str">
        <f>"MILLER WILLIAM M TR"</f>
        <v>MILLER WILLIAM M TR</v>
      </c>
      <c r="C8538" s="1" t="str">
        <f>"TULLERS PLANTATION CONDOMINIUM BLDG 2 UNIT 6596 D"</f>
        <v>TULLERS PLANTATION CONDOMINIUM BLDG 2 UNIT 6596 D</v>
      </c>
      <c r="D8538" s="1">
        <v>43.33</v>
      </c>
    </row>
    <row r="8539" spans="1:4" x14ac:dyDescent="0.3">
      <c r="A8539" s="1" t="str">
        <f>"59020326300"</f>
        <v>59020326300</v>
      </c>
      <c r="B8539" s="1" t="str">
        <f>"MILLER WILLIAM M TR"</f>
        <v>MILLER WILLIAM M TR</v>
      </c>
      <c r="C8539" s="1" t="str">
        <f>"TULLERS PLANTATION CONDOMINIUM BLDG 3 UNIT 6584 B"</f>
        <v>TULLERS PLANTATION CONDOMINIUM BLDG 3 UNIT 6584 B</v>
      </c>
      <c r="D8539" s="1">
        <v>78.790000000000006</v>
      </c>
    </row>
    <row r="8540" spans="1:4" x14ac:dyDescent="0.3">
      <c r="A8540" s="1" t="str">
        <f>"59020324500"</f>
        <v>59020324500</v>
      </c>
      <c r="B8540" s="1" t="str">
        <f>"MILLER WILLIAM M TR"</f>
        <v>MILLER WILLIAM M TR</v>
      </c>
      <c r="C8540" s="1" t="str">
        <f>"TULLERS PLANTATION CONDOMINIUM BLDG 2 UNIT 6592 D"</f>
        <v>TULLERS PLANTATION CONDOMINIUM BLDG 2 UNIT 6592 D</v>
      </c>
      <c r="D8540" s="1">
        <v>76.650000000000006</v>
      </c>
    </row>
    <row r="8541" spans="1:4" x14ac:dyDescent="0.3">
      <c r="A8541" s="1" t="str">
        <f>"59020324600"</f>
        <v>59020324600</v>
      </c>
      <c r="B8541" s="1" t="str">
        <f>"MILLER WILLIAM M TR"</f>
        <v>MILLER WILLIAM M TR</v>
      </c>
      <c r="C8541" s="1" t="str">
        <f>"TULLERS PLANTATION CONDOMINIUM BLDG 2 UNIT 6596 A"</f>
        <v>TULLERS PLANTATION CONDOMINIUM BLDG 2 UNIT 6596 A</v>
      </c>
      <c r="D8541" s="1">
        <v>57.91</v>
      </c>
    </row>
    <row r="8542" spans="1:4" x14ac:dyDescent="0.3">
      <c r="A8542" s="1" t="str">
        <f>"59020325900"</f>
        <v>59020325900</v>
      </c>
      <c r="B8542" s="1" t="str">
        <f>"MILLER WILLIAM M TR"</f>
        <v>MILLER WILLIAM M TR</v>
      </c>
      <c r="C8542" s="1" t="str">
        <f>"TULLERS PLANTATION CONDOMINIUM BLDG 3 UNIT 6580 B"</f>
        <v>TULLERS PLANTATION CONDOMINIUM BLDG 3 UNIT 6580 B</v>
      </c>
      <c r="D8542" s="1">
        <v>78.790000000000006</v>
      </c>
    </row>
    <row r="8543" spans="1:4" x14ac:dyDescent="0.3">
      <c r="A8543" s="1" t="str">
        <f>"59020326000"</f>
        <v>59020326000</v>
      </c>
      <c r="B8543" s="1" t="str">
        <f>"MILLER WILLIAM M TR"</f>
        <v>MILLER WILLIAM M TR</v>
      </c>
      <c r="C8543" s="1" t="str">
        <f>"TULLERS PLANTATION CONDOMINIUM BLDG 3 UNIT 6580 C"</f>
        <v>TULLERS PLANTATION CONDOMINIUM BLDG 3 UNIT 6580 C</v>
      </c>
      <c r="D8543" s="1">
        <v>105.3</v>
      </c>
    </row>
    <row r="8544" spans="1:4" x14ac:dyDescent="0.3">
      <c r="A8544" s="1" t="str">
        <f>"59020326400"</f>
        <v>59020326400</v>
      </c>
      <c r="B8544" s="1" t="str">
        <f>"MILLER WILLIAM M TR"</f>
        <v>MILLER WILLIAM M TR</v>
      </c>
      <c r="C8544" s="1" t="str">
        <f>"TULLERS PLANTATION CONDOMINIUM BLDG 3 UNIT 6584 C"</f>
        <v>TULLERS PLANTATION CONDOMINIUM BLDG 3 UNIT 6584 C</v>
      </c>
      <c r="D8544" s="1">
        <v>105.3</v>
      </c>
    </row>
    <row r="8545" spans="1:4" x14ac:dyDescent="0.3">
      <c r="A8545" s="1" t="str">
        <f>"59020324400"</f>
        <v>59020324400</v>
      </c>
      <c r="B8545" s="1" t="str">
        <f>"MILLER WILLIAM M TR"</f>
        <v>MILLER WILLIAM M TR</v>
      </c>
      <c r="C8545" s="1" t="str">
        <f>"TULLERS PLANTATION CONDOMINIUM BLDG 2 UNIT 6592 C"</f>
        <v>TULLERS PLANTATION CONDOMINIUM BLDG 2 UNIT 6592 C</v>
      </c>
      <c r="D8545" s="1">
        <v>102.43</v>
      </c>
    </row>
    <row r="8546" spans="1:4" x14ac:dyDescent="0.3">
      <c r="A8546" s="1" t="str">
        <f>"59020324200"</f>
        <v>59020324200</v>
      </c>
      <c r="B8546" s="1" t="str">
        <f>"MILLER WILLIAM M TR"</f>
        <v>MILLER WILLIAM M TR</v>
      </c>
      <c r="C8546" s="1" t="str">
        <f>"TULLERS PLANTATION CONDOMINIUM BLDG 2 UNIT 6592 A"</f>
        <v>TULLERS PLANTATION CONDOMINIUM BLDG 2 UNIT 6592 A</v>
      </c>
      <c r="D8546" s="1">
        <v>102.43</v>
      </c>
    </row>
    <row r="8547" spans="1:4" x14ac:dyDescent="0.3">
      <c r="A8547" s="1" t="str">
        <f>"59020326200"</f>
        <v>59020326200</v>
      </c>
      <c r="B8547" s="1" t="str">
        <f>"MILLER WILLIAM M TR"</f>
        <v>MILLER WILLIAM M TR</v>
      </c>
      <c r="C8547" s="1" t="str">
        <f>"TULLERS PLANTATION CONDOMINIUM BLDG 3 UNIT 6584 A"</f>
        <v>TULLERS PLANTATION CONDOMINIUM BLDG 3 UNIT 6584 A</v>
      </c>
      <c r="D8547" s="1">
        <v>105.3</v>
      </c>
    </row>
    <row r="8548" spans="1:4" x14ac:dyDescent="0.3">
      <c r="A8548" s="1" t="str">
        <f>"59020326100"</f>
        <v>59020326100</v>
      </c>
      <c r="B8548" s="1" t="str">
        <f>"MILLER WILLIAM M TR"</f>
        <v>MILLER WILLIAM M TR</v>
      </c>
      <c r="C8548" s="1" t="str">
        <f>"TULLERS PLANTATION CONDOMINIUM BLDG 3 UNIT 6580 D"</f>
        <v>TULLERS PLANTATION CONDOMINIUM BLDG 3 UNIT 6580 D</v>
      </c>
      <c r="D8548" s="1">
        <v>78.790000000000006</v>
      </c>
    </row>
    <row r="8549" spans="1:4" x14ac:dyDescent="0.3">
      <c r="A8549" s="1" t="str">
        <f>"59020325400"</f>
        <v>59020325400</v>
      </c>
      <c r="B8549" s="1" t="str">
        <f>"MILLER WILLIAM M TR"</f>
        <v>MILLER WILLIAM M TR</v>
      </c>
      <c r="C8549" s="1" t="str">
        <f>"TULLERS PLANTATION CONDOMINIUM BLDG 3 UNIT 6576 A"</f>
        <v>TULLERS PLANTATION CONDOMINIUM BLDG 3 UNIT 6576 A</v>
      </c>
      <c r="D8549" s="1">
        <v>105.3</v>
      </c>
    </row>
    <row r="8550" spans="1:4" x14ac:dyDescent="0.3">
      <c r="A8550" s="1" t="str">
        <f>"59020325500"</f>
        <v>59020325500</v>
      </c>
      <c r="B8550" s="1" t="str">
        <f>"MILLER WILLIAM M TR"</f>
        <v>MILLER WILLIAM M TR</v>
      </c>
      <c r="C8550" s="1" t="str">
        <f>"TULLERS PLANTATION CONDOMINIUM BLDG 3 UNIT 6576 B"</f>
        <v>TULLERS PLANTATION CONDOMINIUM BLDG 3 UNIT 6576 B</v>
      </c>
      <c r="D8550" s="1">
        <v>78.790000000000006</v>
      </c>
    </row>
    <row r="8551" spans="1:4" x14ac:dyDescent="0.3">
      <c r="A8551" s="1" t="str">
        <f>"59020325600"</f>
        <v>59020325600</v>
      </c>
      <c r="B8551" s="1" t="str">
        <f>"MILLER WILLIAM M TR"</f>
        <v>MILLER WILLIAM M TR</v>
      </c>
      <c r="C8551" s="1" t="str">
        <f>"TULLERS PLANTATION CONDOMINIUM BLDG 3 UNIT 6576 C"</f>
        <v>TULLERS PLANTATION CONDOMINIUM BLDG 3 UNIT 6576 C</v>
      </c>
      <c r="D8551" s="1">
        <v>105.3</v>
      </c>
    </row>
    <row r="8552" spans="1:4" x14ac:dyDescent="0.3">
      <c r="A8552" s="1" t="str">
        <f>"59020325700"</f>
        <v>59020325700</v>
      </c>
      <c r="B8552" s="1" t="str">
        <f>"MILLER WILLIAM M TR"</f>
        <v>MILLER WILLIAM M TR</v>
      </c>
      <c r="C8552" s="1" t="str">
        <f>"TULLERS PLANTATION CONDOMINIUM BLDG 3 UNIT 6576 D"</f>
        <v>TULLERS PLANTATION CONDOMINIUM BLDG 3 UNIT 6576 D</v>
      </c>
      <c r="D8552" s="1">
        <v>78.790000000000006</v>
      </c>
    </row>
    <row r="8553" spans="1:4" x14ac:dyDescent="0.3">
      <c r="A8553" s="1" t="str">
        <f>"01018798700"</f>
        <v>01018798700</v>
      </c>
      <c r="B8553" s="1" t="str">
        <f>"MILLER WILLIAM M TR"</f>
        <v>MILLER WILLIAM M TR</v>
      </c>
      <c r="C8553" s="1" t="str">
        <f>"1138 W SELLS D SOMERSET SQ A CONDO BLDG 11 UNIT 68"</f>
        <v>1138 W SELLS D SOMERSET SQ A CONDO BLDG 11 UNIT 68</v>
      </c>
      <c r="D8553" s="1">
        <v>1771.62</v>
      </c>
    </row>
    <row r="8554" spans="1:4" x14ac:dyDescent="0.3">
      <c r="A8554" s="1" t="str">
        <f>"01018799200"</f>
        <v>01018799200</v>
      </c>
      <c r="B8554" s="1" t="str">
        <f>"MILLER WILLIAM M TR"</f>
        <v>MILLER WILLIAM M TR</v>
      </c>
      <c r="C8554" s="1" t="str">
        <f>"1106 W SELLS A SOMERSET SQ A CONDO BLDG 13 UNIT 73"</f>
        <v>1106 W SELLS A SOMERSET SQ A CONDO BLDG 13 UNIT 73</v>
      </c>
      <c r="D8554" s="1">
        <v>81.83</v>
      </c>
    </row>
    <row r="8555" spans="1:4" x14ac:dyDescent="0.3">
      <c r="A8555" s="1" t="str">
        <f>"01018799300"</f>
        <v>01018799300</v>
      </c>
      <c r="B8555" s="1" t="str">
        <f>"MILLER WILLIAM M TR"</f>
        <v>MILLER WILLIAM M TR</v>
      </c>
      <c r="C8555" s="1" t="str">
        <f>"1106 W SELLS B SOMERSET SQ A CONDO BLDG 13 UNIT 74"</f>
        <v>1106 W SELLS B SOMERSET SQ A CONDO BLDG 13 UNIT 74</v>
      </c>
      <c r="D8555" s="1">
        <v>81.83</v>
      </c>
    </row>
    <row r="8556" spans="1:4" x14ac:dyDescent="0.3">
      <c r="A8556" s="1" t="str">
        <f>"01018799400"</f>
        <v>01018799400</v>
      </c>
      <c r="B8556" s="1" t="str">
        <f>"MILLER WILLIAM M TR"</f>
        <v>MILLER WILLIAM M TR</v>
      </c>
      <c r="C8556" s="1" t="str">
        <f>"1106 W SELLS C SOMERSET SQ A CONDO BLDG 13 UNIT 75"</f>
        <v>1106 W SELLS C SOMERSET SQ A CONDO BLDG 13 UNIT 75</v>
      </c>
      <c r="D8556" s="1">
        <v>81.83</v>
      </c>
    </row>
    <row r="8557" spans="1:4" x14ac:dyDescent="0.3">
      <c r="A8557" s="1" t="str">
        <f>"01018799500"</f>
        <v>01018799500</v>
      </c>
      <c r="B8557" s="1" t="str">
        <f>"MILLER WILLIAM M TR"</f>
        <v>MILLER WILLIAM M TR</v>
      </c>
      <c r="C8557" s="1" t="str">
        <f>"1106 W SELLS D SOMERSET SQ A CONDO BLDG 13 UNIT 76"</f>
        <v>1106 W SELLS D SOMERSET SQ A CONDO BLDG 13 UNIT 76</v>
      </c>
      <c r="D8557" s="1">
        <v>81.83</v>
      </c>
    </row>
    <row r="8558" spans="1:4" x14ac:dyDescent="0.3">
      <c r="A8558" s="1" t="str">
        <f>"05000169900"</f>
        <v>05000169900</v>
      </c>
      <c r="B8558" s="1" t="str">
        <f>"MILLIGAN CHARLES R, MILLIGAN ANNA R"</f>
        <v>MILLIGAN CHARLES R, MILLIGAN ANNA R</v>
      </c>
      <c r="C8558" s="1" t="str">
        <f>"3767 WESTBROOK DRIVE HILLIARD HEIGHTS 4 LOT 63"</f>
        <v>3767 WESTBROOK DRIVE HILLIARD HEIGHTS 4 LOT 63</v>
      </c>
      <c r="D8558" s="1">
        <v>3006.22</v>
      </c>
    </row>
    <row r="8559" spans="1:4" x14ac:dyDescent="0.3">
      <c r="A8559" s="1" t="str">
        <f>"01007730000"</f>
        <v>01007730000</v>
      </c>
      <c r="B8559" s="1" t="str">
        <f>"MILLINER KIMBERLY"</f>
        <v>MILLINER KIMBERLY</v>
      </c>
      <c r="C8559" s="1" t="str">
        <f>"132 N HURON AVE NORTHVIEW ON TH HILL TOP LOT 91"</f>
        <v>132 N HURON AVE NORTHVIEW ON TH HILL TOP LOT 91</v>
      </c>
      <c r="D8559" s="1">
        <v>1088.76</v>
      </c>
    </row>
    <row r="8560" spans="1:4" x14ac:dyDescent="0.3">
      <c r="A8560" s="1" t="str">
        <f>"01016571600"</f>
        <v>01016571600</v>
      </c>
      <c r="B8560" s="1" t="str">
        <f>"MILLINGTON MICHAEL E"</f>
        <v>MILLINGTON MICHAEL E</v>
      </c>
      <c r="C8560" s="1" t="str">
        <f>"PLANTATION LAKES CONDOMINIUM BLDG 57 UNIT D"</f>
        <v>PLANTATION LAKES CONDOMINIUM BLDG 57 UNIT D</v>
      </c>
      <c r="D8560" s="1">
        <v>59.56</v>
      </c>
    </row>
    <row r="8561" spans="1:4" x14ac:dyDescent="0.3">
      <c r="A8561" s="1" t="str">
        <f>"11000415600"</f>
        <v>11000415600</v>
      </c>
      <c r="B8561" s="1" t="str">
        <f>"MILLIRON JOSEPH R, MILLIRON LOIS A"</f>
        <v>MILLIRON JOSEPH R, MILLIRON LOIS A</v>
      </c>
      <c r="C8561" s="1" t="str">
        <f>"KARIKAL DR GLENGARY HTS 231 "</f>
        <v xml:space="preserve">KARIKAL DR GLENGARY HTS 231 </v>
      </c>
      <c r="D8561" s="1">
        <v>217.79</v>
      </c>
    </row>
    <row r="8562" spans="1:4" x14ac:dyDescent="0.3">
      <c r="A8562" s="1" t="str">
        <f>"01011698700"</f>
        <v>01011698700</v>
      </c>
      <c r="B8562" s="1" t="str">
        <f>"MILLS DOUGLAS E, WEST LORRIE A"</f>
        <v>MILLS DOUGLAS E, WEST LORRIE A</v>
      </c>
      <c r="C8562" s="1" t="str">
        <f>"BERNARD RD CRANDFORD LOT 74"</f>
        <v>BERNARD RD CRANDFORD LOT 74</v>
      </c>
      <c r="D8562" s="1">
        <v>2425.75</v>
      </c>
    </row>
    <row r="8563" spans="1:4" x14ac:dyDescent="0.3">
      <c r="A8563" s="1" t="str">
        <f>"01005395300"</f>
        <v>01005395300</v>
      </c>
      <c r="B8563" s="1" t="str">
        <f>"MILLS ELIZABETH A"</f>
        <v>MILLS ELIZABETH A</v>
      </c>
      <c r="C8563" s="1" t="str">
        <f>"MIDGARD RD GLENOLA HTS LOT 116"</f>
        <v>MIDGARD RD GLENOLA HTS LOT 116</v>
      </c>
      <c r="D8563" s="1">
        <v>4244.46</v>
      </c>
    </row>
    <row r="8564" spans="1:4" x14ac:dyDescent="0.3">
      <c r="A8564" s="1" t="str">
        <f>"13000083300"</f>
        <v>13000083300</v>
      </c>
      <c r="B8564" s="1" t="str">
        <f>"MILLS JAMES F, MILLS BESSIE A"</f>
        <v>MILLS JAMES F, MILLS BESSIE A</v>
      </c>
      <c r="C8564" s="1" t="str">
        <f>"2089 ELMORE AVE ELMORE 50 "</f>
        <v xml:space="preserve">2089 ELMORE AVE ELMORE 50 </v>
      </c>
      <c r="D8564" s="1">
        <v>2754.17</v>
      </c>
    </row>
    <row r="8565" spans="1:4" x14ac:dyDescent="0.3">
      <c r="A8565" s="1" t="str">
        <f>"08000222700"</f>
        <v>08000222700</v>
      </c>
      <c r="B8565" s="1" t="str">
        <f>"MILLS JEFFREY N"</f>
        <v>MILLS JEFFREY N</v>
      </c>
      <c r="C8565" s="1" t="str">
        <f>"PRIVATE DRIVEWAY R L JOYCE 3 "</f>
        <v xml:space="preserve">PRIVATE DRIVEWAY R L JOYCE 3 </v>
      </c>
      <c r="D8565" s="1">
        <v>125.67</v>
      </c>
    </row>
    <row r="8566" spans="1:4" x14ac:dyDescent="0.3">
      <c r="A8566" s="1" t="str">
        <f>"08000200400"</f>
        <v>08000200400</v>
      </c>
      <c r="B8566" s="1" t="str">
        <f>"MILLS JEFFREY N"</f>
        <v>MILLS JEFFREY N</v>
      </c>
      <c r="C8566" s="1" t="str">
        <f>"CHEWER RD REAR ACRES .104 "</f>
        <v xml:space="preserve">CHEWER RD REAR ACRES .104 </v>
      </c>
      <c r="D8566" s="1">
        <v>3.46</v>
      </c>
    </row>
    <row r="8567" spans="1:4" x14ac:dyDescent="0.3">
      <c r="A8567" s="1" t="str">
        <f>"11300014200"</f>
        <v>11300014200</v>
      </c>
      <c r="B8567" s="1" t="str">
        <f>"MILLS JEFFREY N, FOE MICHAEL A"</f>
        <v>MILLS JEFFREY N, FOE MICHAEL A</v>
      </c>
      <c r="C8567" s="1" t="str">
        <f>"KERRWOOD DR MINERVA PARK NORTH 571"</f>
        <v>KERRWOOD DR MINERVA PARK NORTH 571</v>
      </c>
      <c r="D8567" s="1">
        <v>240.71</v>
      </c>
    </row>
    <row r="8568" spans="1:4" x14ac:dyDescent="0.3">
      <c r="A8568" s="1" t="str">
        <f>"18500149000"</f>
        <v>18500149000</v>
      </c>
      <c r="B8568" s="1" t="str">
        <f>"MILLS KENNETH G, MILLS RHONDA L"</f>
        <v>MILLS KENNETH G, MILLS RHONDA L</v>
      </c>
      <c r="C8568" s="1" t="str">
        <f>"4855 GROVE POINTE DR GROVE POINTE SEC 1 LOT 10"</f>
        <v>4855 GROVE POINTE DR GROVE POINTE SEC 1 LOT 10</v>
      </c>
      <c r="D8568" s="1">
        <v>3142.15</v>
      </c>
    </row>
    <row r="8569" spans="1:4" x14ac:dyDescent="0.3">
      <c r="A8569" s="1" t="str">
        <f>"01011360000"</f>
        <v>01011360000</v>
      </c>
      <c r="B8569" s="1" t="str">
        <f>"MILLS SAMUEL, MILLS KATRENA"</f>
        <v>MILLS SAMUEL, MILLS KATRENA</v>
      </c>
      <c r="C8569" s="1" t="str">
        <f>"BETZ RD SOUTH HIGH GARDENS LOT 127"</f>
        <v>BETZ RD SOUTH HIGH GARDENS LOT 127</v>
      </c>
      <c r="D8569" s="1">
        <v>2696.62</v>
      </c>
    </row>
    <row r="8570" spans="1:4" x14ac:dyDescent="0.3">
      <c r="A8570" s="1" t="str">
        <f>"05001149800"</f>
        <v>05001149800</v>
      </c>
      <c r="B8570" s="1" t="str">
        <f>"MILLSAPS LARA J"</f>
        <v>MILLSAPS LARA J</v>
      </c>
      <c r="C8570" s="1" t="str">
        <f>"BRICKSTONE GREEN CONDOMINIUM 17TH AMD PHASE 18 UNIT 29"</f>
        <v>BRICKSTONE GREEN CONDOMINIUM 17TH AMD PHASE 18 UNIT 29</v>
      </c>
      <c r="D8570" s="1">
        <v>957.35</v>
      </c>
    </row>
    <row r="8571" spans="1:4" x14ac:dyDescent="0.3">
      <c r="A8571" s="1" t="str">
        <f>"01011528400"</f>
        <v>01011528400</v>
      </c>
      <c r="B8571" s="1" t="str">
        <f>"MILNER INEZ E, MILNER HOBSON E, MILNER PEGGY A"</f>
        <v>MILNER INEZ E, MILNER HOBSON E, MILNER PEGGY A</v>
      </c>
      <c r="C8571" s="1" t="str">
        <f>"STAMBAUGH AVE CURTIS-JONES SUB DIV LOT 134"</f>
        <v>STAMBAUGH AVE CURTIS-JONES SUB DIV LOT 134</v>
      </c>
      <c r="D8571" s="1">
        <v>705.66</v>
      </c>
    </row>
    <row r="8572" spans="1:4" x14ac:dyDescent="0.3">
      <c r="A8572" s="1" t="str">
        <f>"01003566900"</f>
        <v>01003566900</v>
      </c>
      <c r="B8572" s="1" t="str">
        <f>"MILO MARIE, MILO MARIE T"</f>
        <v>MILO MARIE, MILO MARIE T</v>
      </c>
      <c r="C8572" s="1" t="str">
        <f>"1052 FRANKLIN AVE HOFFMAN LOT 57"</f>
        <v>1052 FRANKLIN AVE HOFFMAN LOT 57</v>
      </c>
      <c r="D8572" s="1">
        <v>160.09</v>
      </c>
    </row>
    <row r="8573" spans="1:4" x14ac:dyDescent="0.3">
      <c r="A8573" s="1" t="str">
        <f>"04001141000"</f>
        <v>04001141000</v>
      </c>
      <c r="B8573" s="1" t="str">
        <f>"MILOSEVICH MARK R"</f>
        <v>MILOSEVICH MARK R</v>
      </c>
      <c r="C8573" s="1" t="str">
        <f>"PERIDOT STREET GRANT RUN ESTATES SECTION 2 LOT 182"</f>
        <v>PERIDOT STREET GRANT RUN ESTATES SECTION 2 LOT 182</v>
      </c>
      <c r="D8573" s="1">
        <v>2641.79</v>
      </c>
    </row>
    <row r="8574" spans="1:4" x14ac:dyDescent="0.3">
      <c r="A8574" s="1" t="str">
        <f>"56022568300"</f>
        <v>56022568300</v>
      </c>
      <c r="B8574" s="1" t="str">
        <f>"MILTHALER DEBORAH L"</f>
        <v>MILTHALER DEBORAH L</v>
      </c>
      <c r="C8574" s="1" t="str">
        <f>"HILLIARD VILLAGE CONDOMINIUM 9TH AMD UNIT 46C"</f>
        <v>HILLIARD VILLAGE CONDOMINIUM 9TH AMD UNIT 46C</v>
      </c>
      <c r="D8574" s="1">
        <v>139.57</v>
      </c>
    </row>
    <row r="8575" spans="1:4" x14ac:dyDescent="0.3">
      <c r="A8575" s="1" t="str">
        <f>"07000407000"</f>
        <v>07000407000</v>
      </c>
      <c r="B8575" s="1" t="str">
        <f>"MIN YOHAN, MIN JANE"</f>
        <v>MIN YOHAN, MIN JANE</v>
      </c>
      <c r="C8575" s="1" t="str">
        <f>"2355 FARLEIGH ROAD MOUNTVIEW PLACE L18 &amp; W1/2L19 BLK216"</f>
        <v>2355 FARLEIGH ROAD MOUNTVIEW PLACE L18 &amp; W1/2L19 BLK216</v>
      </c>
      <c r="D8575" s="1">
        <v>14931.82</v>
      </c>
    </row>
    <row r="8576" spans="1:4" x14ac:dyDescent="0.3">
      <c r="A8576" s="1" t="str">
        <f>"01002518000"</f>
        <v>01002518000</v>
      </c>
      <c r="B8576" s="1" t="str">
        <f>"MINAMI HIROMU, AZARYAN DIANA"</f>
        <v>MINAMI HIROMU, AZARYAN DIANA</v>
      </c>
      <c r="C8576" s="1" t="str">
        <f>"1775 FRANKLIN PK S MORRISON ET AL LOT 42"</f>
        <v>1775 FRANKLIN PK S MORRISON ET AL LOT 42</v>
      </c>
      <c r="D8576" s="1">
        <v>4377.05</v>
      </c>
    </row>
    <row r="8577" spans="1:4" x14ac:dyDescent="0.3">
      <c r="A8577" s="1" t="str">
        <f>"59020471900"</f>
        <v>59020471900</v>
      </c>
      <c r="B8577" s="1" t="str">
        <f>"MINDZAK IRENE"</f>
        <v>MINDZAK IRENE</v>
      </c>
      <c r="C8577" s="1" t="str">
        <f>"ABINGTON VILLAGE CONDOMINIUM BLDG 5 UNIT 7995"</f>
        <v>ABINGTON VILLAGE CONDOMINIUM BLDG 5 UNIT 7995</v>
      </c>
      <c r="D8577" s="1">
        <v>3406.51</v>
      </c>
    </row>
    <row r="8578" spans="1:4" x14ac:dyDescent="0.3">
      <c r="A8578" s="1" t="str">
        <f>"01015435900"</f>
        <v>01015435900</v>
      </c>
      <c r="B8578" s="1" t="str">
        <f>"MINER JEROME, MINER ANNIE J"</f>
        <v>MINER JEROME, MINER ANNIE J</v>
      </c>
      <c r="C8578" s="1" t="str">
        <f>"JONQUIL ST PARKLEIGH SEC 1 LOT 15"</f>
        <v>JONQUIL ST PARKLEIGH SEC 1 LOT 15</v>
      </c>
      <c r="D8578" s="1">
        <v>1827.55</v>
      </c>
    </row>
    <row r="8579" spans="1:4" x14ac:dyDescent="0.3">
      <c r="A8579" s="1" t="str">
        <f>"01000183100"</f>
        <v>01000183100</v>
      </c>
      <c r="B8579" s="1" t="str">
        <f>"MINER WILLIAM D, MINER MARY E"</f>
        <v>MINER WILLIAM D, MINER MARY E</v>
      </c>
      <c r="C8579" s="1" t="str">
        <f>"227 N 21ST ST ENGLISH &amp; MONYPENYS LOT 22"</f>
        <v>227 N 21ST ST ENGLISH &amp; MONYPENYS LOT 22</v>
      </c>
      <c r="D8579" s="1">
        <v>1310.31</v>
      </c>
    </row>
    <row r="8580" spans="1:4" x14ac:dyDescent="0.3">
      <c r="A8580" s="1" t="str">
        <f>"01012951300"</f>
        <v>01012951300</v>
      </c>
      <c r="B8580" s="1" t="str">
        <f>"MINERVA RIDGE I LLC"</f>
        <v>MINERVA RIDGE I LLC</v>
      </c>
      <c r="C8580" s="1" t="str">
        <f>"DUBLIN RD ACRES 1.068 R23 T1 S11-2"</f>
        <v>DUBLIN RD ACRES 1.068 R23 T1 S11-2</v>
      </c>
      <c r="D8580" s="1">
        <v>37283.629999999997</v>
      </c>
    </row>
    <row r="8581" spans="1:4" x14ac:dyDescent="0.3">
      <c r="A8581" s="1" t="str">
        <f>"01005041300"</f>
        <v>01005041300</v>
      </c>
      <c r="B8581" s="1" t="str">
        <f>"MINNICH M DOUGLAS"</f>
        <v>MINNICH M DOUGLAS</v>
      </c>
      <c r="C8581" s="1" t="str">
        <f>"68 W 5TH AVE              DENNISON PLACE            LOT 14                   "</f>
        <v xml:space="preserve">68 W 5TH AVE              DENNISON PLACE            LOT 14                   </v>
      </c>
      <c r="D8581" s="1">
        <v>337.19</v>
      </c>
    </row>
    <row r="8582" spans="1:4" x14ac:dyDescent="0.3">
      <c r="A8582" s="1" t="str">
        <f>"07001489200"</f>
        <v>07001489200</v>
      </c>
      <c r="B8582" s="1" t="str">
        <f>"MINOR DANIEL J TTEE (DJM TRUST)"</f>
        <v>MINOR DANIEL J TTEE (DJM TRUST)</v>
      </c>
      <c r="C8582" s="1" t="str">
        <f>"RODAN PLACE CONDOMINIUM UNIT 1 "</f>
        <v xml:space="preserve">RODAN PLACE CONDOMINIUM UNIT 1 </v>
      </c>
      <c r="D8582" s="1">
        <v>2892.9</v>
      </c>
    </row>
    <row r="8583" spans="1:4" x14ac:dyDescent="0.3">
      <c r="A8583" s="1" t="str">
        <f>"22200528500"</f>
        <v>22200528500</v>
      </c>
      <c r="B8583" s="1" t="str">
        <f>"MINOR KIMBERLY ANN, MCDONALD DONNA JEANINE"</f>
        <v>MINOR KIMBERLY ANN, MCDONALD DONNA JEANINE</v>
      </c>
      <c r="C8583" s="1" t="str">
        <f>"NOTTINGHAM TRACE PHASE 4 LOT 155 "</f>
        <v xml:space="preserve">NOTTINGHAM TRACE PHASE 4 LOT 155 </v>
      </c>
      <c r="D8583" s="1">
        <v>510.43</v>
      </c>
    </row>
    <row r="8584" spans="1:4" x14ac:dyDescent="0.3">
      <c r="A8584" s="1" t="str">
        <f>"01007370000"</f>
        <v>01007370000</v>
      </c>
      <c r="B8584" s="1" t="str">
        <f>"MINTURN SUSAN"</f>
        <v>MINTURN SUSAN</v>
      </c>
      <c r="C8584" s="1" t="str">
        <f>"HIAWATHA ST ALMADA LOT 669"</f>
        <v>HIAWATHA ST ALMADA LOT 669</v>
      </c>
      <c r="D8584" s="1">
        <v>809.83</v>
      </c>
    </row>
    <row r="8585" spans="1:4" x14ac:dyDescent="0.3">
      <c r="A8585" s="1" t="str">
        <f>"02500733100"</f>
        <v>02500733100</v>
      </c>
      <c r="B8585" s="1" t="str">
        <f>"MINTZ PATRICIA M"</f>
        <v>MINTZ PATRICIA M</v>
      </c>
      <c r="C8585" s="1" t="str">
        <f>"721 HUNTERS RUN HUNTERS RIDGE SEC 9 LOT 550"</f>
        <v>721 HUNTERS RUN HUNTERS RIDGE SEC 9 LOT 550</v>
      </c>
      <c r="D8585" s="1">
        <v>377.96</v>
      </c>
    </row>
    <row r="8586" spans="1:4" x14ac:dyDescent="0.3">
      <c r="A8586" s="1" t="str">
        <f>"12000129400"</f>
        <v>12000129400</v>
      </c>
      <c r="B8586" s="1" t="str">
        <f>"MIRGON DAVID, MIRGON SUSAN"</f>
        <v>MIRGON DAVID, MIRGON SUSAN</v>
      </c>
      <c r="C8586" s="1" t="str">
        <f>"HERITAGE ESTATES LOT 1 "</f>
        <v xml:space="preserve">HERITAGE ESTATES LOT 1 </v>
      </c>
      <c r="D8586" s="1">
        <v>3679.35</v>
      </c>
    </row>
    <row r="8587" spans="1:4" x14ac:dyDescent="0.3">
      <c r="A8587" s="1" t="str">
        <f>"01007169500"</f>
        <v>01007169500</v>
      </c>
      <c r="B8587" s="1" t="str">
        <f>"MIRITI MARIA N, CARY PETER H"</f>
        <v>MIRITI MARIA N, CARY PETER H</v>
      </c>
      <c r="C8587" s="1" t="str">
        <f>"586 ARDEN RD DOMINION PARK LOT 464"</f>
        <v>586 ARDEN RD DOMINION PARK LOT 464</v>
      </c>
      <c r="D8587" s="1">
        <v>8036.56</v>
      </c>
    </row>
    <row r="8588" spans="1:4" x14ac:dyDescent="0.3">
      <c r="A8588" s="1" t="str">
        <f>"17000210000"</f>
        <v>17000210000</v>
      </c>
      <c r="B8588" s="1" t="str">
        <f>"MIRIYALA VENKATA N, MIRIYALA SARITHA"</f>
        <v>MIRIYALA VENKATA N, MIRIYALA SARITHA</v>
      </c>
      <c r="C8588" s="1" t="str">
        <f>"SPANISH TRAIL COURT JEFFERSON MEADOWS SEC 1 PH 1   LOT 7"</f>
        <v>SPANISH TRAIL COURT JEFFERSON MEADOWS SEC 1 PH 1   LOT 7</v>
      </c>
      <c r="D8588" s="1">
        <v>9005.11</v>
      </c>
    </row>
    <row r="8589" spans="1:4" x14ac:dyDescent="0.3">
      <c r="A8589" s="1" t="str">
        <f>"10000582800"</f>
        <v>10000582800</v>
      </c>
      <c r="B8589" s="1" t="str">
        <f>"MIRMELSTEIN JOHN H, MIRMELSTEIN MARY K"</f>
        <v>MIRMELSTEIN JOHN H, MIRMELSTEIN MARY K</v>
      </c>
      <c r="C8589" s="1" t="str">
        <f>"1319 LAKESIDE CIR POTTERS CREEK SEC 2 LOT 118"</f>
        <v>1319 LAKESIDE CIR POTTERS CREEK SEC 2 LOT 118</v>
      </c>
      <c r="D8589" s="1">
        <v>33</v>
      </c>
    </row>
    <row r="8590" spans="1:4" x14ac:dyDescent="0.3">
      <c r="A8590" s="1" t="str">
        <f>"61028403000"</f>
        <v>61028403000</v>
      </c>
      <c r="B8590" s="1" t="str">
        <f>"MIRROR LAKE PROPERTY LLC"</f>
        <v>MIRROR LAKE PROPERTY LLC</v>
      </c>
      <c r="C8590" s="1" t="str">
        <f>"TRADITIONS AT WORTHINGTON WOODS CONDOMINIUMS 3RD AMD BLDG 14 UNIT 7453"</f>
        <v>TRADITIONS AT WORTHINGTON WOODS CONDOMINIUMS 3RD AMD BLDG 14 UNIT 7453</v>
      </c>
      <c r="D8590" s="1">
        <v>1770.63</v>
      </c>
    </row>
    <row r="8591" spans="1:4" x14ac:dyDescent="0.3">
      <c r="A8591" s="1" t="str">
        <f>"61028403200"</f>
        <v>61028403200</v>
      </c>
      <c r="B8591" s="1" t="str">
        <f>"MIRROR LAKE PROPERTY LLC"</f>
        <v>MIRROR LAKE PROPERTY LLC</v>
      </c>
      <c r="C8591" s="1" t="str">
        <f>"TRADITIONS AT WORTHINGTON WOODS CONDOMINIUMS 3RD AMD BLDG 14 UNIT 7461"</f>
        <v>TRADITIONS AT WORTHINGTON WOODS CONDOMINIUMS 3RD AMD BLDG 14 UNIT 7461</v>
      </c>
      <c r="D8591" s="1">
        <v>1770.63</v>
      </c>
    </row>
    <row r="8592" spans="1:4" x14ac:dyDescent="0.3">
      <c r="A8592" s="1" t="str">
        <f>"61028420300"</f>
        <v>61028420300</v>
      </c>
      <c r="B8592" s="1" t="str">
        <f>"MIRROR LAKE PROPERTY LLC"</f>
        <v>MIRROR LAKE PROPERTY LLC</v>
      </c>
      <c r="C8592" s="1" t="str">
        <f>"TRADITIONS AT WORTHINGTON WOODS CONDOMINIUM 4TH AMD BLDG 12 UNIT 7404"</f>
        <v>TRADITIONS AT WORTHINGTON WOODS CONDOMINIUM 4TH AMD BLDG 12 UNIT 7404</v>
      </c>
      <c r="D8592" s="1">
        <v>1688.13</v>
      </c>
    </row>
    <row r="8593" spans="1:4" x14ac:dyDescent="0.3">
      <c r="A8593" s="1" t="str">
        <f>"61028420500"</f>
        <v>61028420500</v>
      </c>
      <c r="B8593" s="1" t="str">
        <f>"MIRROR LAKE PROPERTY LLC"</f>
        <v>MIRROR LAKE PROPERTY LLC</v>
      </c>
      <c r="C8593" s="1" t="str">
        <f>"TRADITIONS AT WORTHINGTON WOODS CONDOMINIUM 4TH AMD BLDG 12 UNIT 7412"</f>
        <v>TRADITIONS AT WORTHINGTON WOODS CONDOMINIUM 4TH AMD BLDG 12 UNIT 7412</v>
      </c>
      <c r="D8593" s="1">
        <v>1770.63</v>
      </c>
    </row>
    <row r="8594" spans="1:4" x14ac:dyDescent="0.3">
      <c r="A8594" s="1" t="str">
        <f>"61028420600"</f>
        <v>61028420600</v>
      </c>
      <c r="B8594" s="1" t="str">
        <f>"MIRROR LAKE PROPERTY LLC"</f>
        <v>MIRROR LAKE PROPERTY LLC</v>
      </c>
      <c r="C8594" s="1" t="str">
        <f>"TRADITIONS AT WORTHINGTON WOODS CONDOMINIUM 4TH AMD BLDG 12 UNIT 7416"</f>
        <v>TRADITIONS AT WORTHINGTON WOODS CONDOMINIUM 4TH AMD BLDG 12 UNIT 7416</v>
      </c>
      <c r="D8594" s="1">
        <v>1688.13</v>
      </c>
    </row>
    <row r="8595" spans="1:4" x14ac:dyDescent="0.3">
      <c r="A8595" s="1" t="str">
        <f>"61028647300"</f>
        <v>61028647300</v>
      </c>
      <c r="B8595" s="1" t="str">
        <f>"MIRROR LAKE PROPERTY LLC"</f>
        <v>MIRROR LAKE PROPERTY LLC</v>
      </c>
      <c r="C8595" s="1" t="str">
        <f>"TRADITIONS AT WORTHINGTON WOODS CONDOMINIUM 5TH AMD BLDG 10 UNIT 7438"</f>
        <v>TRADITIONS AT WORTHINGTON WOODS CONDOMINIUM 5TH AMD BLDG 10 UNIT 7438</v>
      </c>
      <c r="D8595" s="1">
        <v>1770.63</v>
      </c>
    </row>
    <row r="8596" spans="1:4" x14ac:dyDescent="0.3">
      <c r="A8596" s="1" t="str">
        <f>"61028647400"</f>
        <v>61028647400</v>
      </c>
      <c r="B8596" s="1" t="str">
        <f>"MIRROR LAKE PROPERTY LLC"</f>
        <v>MIRROR LAKE PROPERTY LLC</v>
      </c>
      <c r="C8596" s="1" t="str">
        <f>"TRADITIONS AT WORTHINGTON WOODS CONDOMINIUM 5TH AMD BLDG 10 UNIT 7442"</f>
        <v>TRADITIONS AT WORTHINGTON WOODS CONDOMINIUM 5TH AMD BLDG 10 UNIT 7442</v>
      </c>
      <c r="D8596" s="1">
        <v>1770.63</v>
      </c>
    </row>
    <row r="8597" spans="1:4" x14ac:dyDescent="0.3">
      <c r="A8597" s="1" t="str">
        <f>"61028657900"</f>
        <v>61028657900</v>
      </c>
      <c r="B8597" s="1" t="str">
        <f>"MIRROR LAKE PROPERTY LLC"</f>
        <v>MIRROR LAKE PROPERTY LLC</v>
      </c>
      <c r="C8597" s="1" t="str">
        <f>"TRADITIONS AT WORTHINGTON WOODS CONDOMINIUMS 6TH AMD BLDG 7 UNIT 7304"</f>
        <v>TRADITIONS AT WORTHINGTON WOODS CONDOMINIUMS 6TH AMD BLDG 7 UNIT 7304</v>
      </c>
      <c r="D8597" s="1">
        <v>1688.13</v>
      </c>
    </row>
    <row r="8598" spans="1:4" x14ac:dyDescent="0.3">
      <c r="A8598" s="1" t="str">
        <f>"61028658100"</f>
        <v>61028658100</v>
      </c>
      <c r="B8598" s="1" t="str">
        <f>"MIRROR LAKE PROPERTY LLC"</f>
        <v>MIRROR LAKE PROPERTY LLC</v>
      </c>
      <c r="C8598" s="1" t="str">
        <f>"TRADITIONS AT WORTHINGTON WOODS CONDOMINIUMS 6TH AMD BLDG 7 UNIT 7312"</f>
        <v>TRADITIONS AT WORTHINGTON WOODS CONDOMINIUMS 6TH AMD BLDG 7 UNIT 7312</v>
      </c>
      <c r="D8598" s="1">
        <v>1770.63</v>
      </c>
    </row>
    <row r="8599" spans="1:4" x14ac:dyDescent="0.3">
      <c r="A8599" s="1" t="str">
        <f>"61028745700"</f>
        <v>61028745700</v>
      </c>
      <c r="B8599" s="1" t="str">
        <f>"MIRROR LAKE PROPERTY LLC"</f>
        <v>MIRROR LAKE PROPERTY LLC</v>
      </c>
      <c r="C8599" s="1" t="str">
        <f>"TRADITIONS AT WORTHINGTON WOODS CONDOMINIUMS 7TH AMD BLDG 8 UNIT 7472"</f>
        <v>TRADITIONS AT WORTHINGTON WOODS CONDOMINIUMS 7TH AMD BLDG 8 UNIT 7472</v>
      </c>
      <c r="D8599" s="1">
        <v>1688.13</v>
      </c>
    </row>
    <row r="8600" spans="1:4" x14ac:dyDescent="0.3">
      <c r="A8600" s="1" t="str">
        <f>"61028745800"</f>
        <v>61028745800</v>
      </c>
      <c r="B8600" s="1" t="str">
        <f>"MIRROR LAKE PROPERTY LLC"</f>
        <v>MIRROR LAKE PROPERTY LLC</v>
      </c>
      <c r="C8600" s="1" t="str">
        <f>"TRADITIONS AT WORTHINGTON WOODS CONDOMINIUMS 7TH AMD BLDG 8 UNIT 7474"</f>
        <v>TRADITIONS AT WORTHINGTON WOODS CONDOMINIUMS 7TH AMD BLDG 8 UNIT 7474</v>
      </c>
      <c r="D8600" s="1">
        <v>1770.63</v>
      </c>
    </row>
    <row r="8601" spans="1:4" x14ac:dyDescent="0.3">
      <c r="A8601" s="1" t="str">
        <f>"61028745900"</f>
        <v>61028745900</v>
      </c>
      <c r="B8601" s="1" t="str">
        <f>"MIRROR LAKE PROPERTY LLC"</f>
        <v>MIRROR LAKE PROPERTY LLC</v>
      </c>
      <c r="C8601" s="1" t="str">
        <f>"TRADITIONS AT WORTHINGTON WOODS CONDOMINIUMS 7TH AMD BLDG 8 UNIT 7476"</f>
        <v>TRADITIONS AT WORTHINGTON WOODS CONDOMINIUMS 7TH AMD BLDG 8 UNIT 7476</v>
      </c>
      <c r="D8601" s="1">
        <v>1770.63</v>
      </c>
    </row>
    <row r="8602" spans="1:4" x14ac:dyDescent="0.3">
      <c r="A8602" s="1" t="str">
        <f>"61028746000"</f>
        <v>61028746000</v>
      </c>
      <c r="B8602" s="1" t="str">
        <f>"MIRROR LAKE PROPERTY LLC"</f>
        <v>MIRROR LAKE PROPERTY LLC</v>
      </c>
      <c r="C8602" s="1" t="str">
        <f>"TRADITIONS AT WORTHINGTON WOODS CONDOMINIUMS 7TH AMD BLDG 8 UNIT 7478"</f>
        <v>TRADITIONS AT WORTHINGTON WOODS CONDOMINIUMS 7TH AMD BLDG 8 UNIT 7478</v>
      </c>
      <c r="D8602" s="1">
        <v>1688.13</v>
      </c>
    </row>
    <row r="8603" spans="1:4" x14ac:dyDescent="0.3">
      <c r="A8603" s="1" t="str">
        <f>"61028756800"</f>
        <v>61028756800</v>
      </c>
      <c r="B8603" s="1" t="str">
        <f>"MIRROR LAKE PROPERTY LLC"</f>
        <v>MIRROR LAKE PROPERTY LLC</v>
      </c>
      <c r="C8603" s="1" t="str">
        <f>"TRADITIONS AT WORTHINGTON WOODS CONDOMINIUM 8TH AMD BLDG 9 UNIT 7486"</f>
        <v>TRADITIONS AT WORTHINGTON WOODS CONDOMINIUM 8TH AMD BLDG 9 UNIT 7486</v>
      </c>
      <c r="D8603" s="1">
        <v>1688.13</v>
      </c>
    </row>
    <row r="8604" spans="1:4" x14ac:dyDescent="0.3">
      <c r="A8604" s="1" t="str">
        <f>"61028756900"</f>
        <v>61028756900</v>
      </c>
      <c r="B8604" s="1" t="str">
        <f>"MIRROR LAKE PROPERTY LLC"</f>
        <v>MIRROR LAKE PROPERTY LLC</v>
      </c>
      <c r="C8604" s="1" t="str">
        <f>"TRADITIONS AT WORTHINGTON WOODS CONDOMINIUM 8TH AMD BLDG 9 UNIT 7488"</f>
        <v>TRADITIONS AT WORTHINGTON WOODS CONDOMINIUM 8TH AMD BLDG 9 UNIT 7488</v>
      </c>
      <c r="D8604" s="1">
        <v>1688.13</v>
      </c>
    </row>
    <row r="8605" spans="1:4" x14ac:dyDescent="0.3">
      <c r="A8605" s="1" t="str">
        <f>"61028757000"</f>
        <v>61028757000</v>
      </c>
      <c r="B8605" s="1" t="str">
        <f>"MIRROR LAKE PROPERTY LLC"</f>
        <v>MIRROR LAKE PROPERTY LLC</v>
      </c>
      <c r="C8605" s="1" t="str">
        <f>"TRADITIONS AT WORTHINGTON WOODS CONDOMINIUM 8TH AMD BLDG 9 UNIT 7490"</f>
        <v>TRADITIONS AT WORTHINGTON WOODS CONDOMINIUM 8TH AMD BLDG 9 UNIT 7490</v>
      </c>
      <c r="D8605" s="1">
        <v>1688.13</v>
      </c>
    </row>
    <row r="8606" spans="1:4" x14ac:dyDescent="0.3">
      <c r="A8606" s="1" t="str">
        <f>"61028757100"</f>
        <v>61028757100</v>
      </c>
      <c r="B8606" s="1" t="str">
        <f>"MIRROR LAKE PROPERTY LLC"</f>
        <v>MIRROR LAKE PROPERTY LLC</v>
      </c>
      <c r="C8606" s="1" t="str">
        <f>"TRADITIONS AT WORTHINGTON WOODS CONDOMINIUM 8TH AMD BLDG 9 UNIT 7492"</f>
        <v>TRADITIONS AT WORTHINGTON WOODS CONDOMINIUM 8TH AMD BLDG 9 UNIT 7492</v>
      </c>
      <c r="D8606" s="1">
        <v>1688.13</v>
      </c>
    </row>
    <row r="8607" spans="1:4" x14ac:dyDescent="0.3">
      <c r="A8607" s="1" t="str">
        <f>"61028757200"</f>
        <v>61028757200</v>
      </c>
      <c r="B8607" s="1" t="str">
        <f>"MIRROR LAKE PROPERTY LLC"</f>
        <v>MIRROR LAKE PROPERTY LLC</v>
      </c>
      <c r="C8607" s="1" t="str">
        <f>"TRADITIONS AT WORTHINGTON WOODS CONDOMINIUM 8TH AMD BLDG 9 UNIT 7494"</f>
        <v>TRADITIONS AT WORTHINGTON WOODS CONDOMINIUM 8TH AMD BLDG 9 UNIT 7494</v>
      </c>
      <c r="D8607" s="1">
        <v>1688.13</v>
      </c>
    </row>
    <row r="8608" spans="1:4" x14ac:dyDescent="0.3">
      <c r="A8608" s="1" t="str">
        <f>"61028757300"</f>
        <v>61028757300</v>
      </c>
      <c r="B8608" s="1" t="str">
        <f>"MIRROR LAKE PROPERTY LLC"</f>
        <v>MIRROR LAKE PROPERTY LLC</v>
      </c>
      <c r="C8608" s="1" t="str">
        <f>"TRADITIONS AT WORTHINGTON WOODS CONDOMINIUM 8TH AMD BLDG 9 UNIT 7496"</f>
        <v>TRADITIONS AT WORTHINGTON WOODS CONDOMINIUM 8TH AMD BLDG 9 UNIT 7496</v>
      </c>
      <c r="D8608" s="1">
        <v>1688.13</v>
      </c>
    </row>
    <row r="8609" spans="1:4" x14ac:dyDescent="0.3">
      <c r="A8609" s="1" t="str">
        <f>"61028757400"</f>
        <v>61028757400</v>
      </c>
      <c r="B8609" s="1" t="str">
        <f>"MIRROR LAKE PROPERTY LLC"</f>
        <v>MIRROR LAKE PROPERTY LLC</v>
      </c>
      <c r="C8609" s="1" t="str">
        <f>"TRADITIONS AT WORTHINGTON WOODS CONDOMINIUM 8TH AMD BLDG 9 UNIT 7498"</f>
        <v>TRADITIONS AT WORTHINGTON WOODS CONDOMINIUM 8TH AMD BLDG 9 UNIT 7498</v>
      </c>
      <c r="D8609" s="1">
        <v>1770.63</v>
      </c>
    </row>
    <row r="8610" spans="1:4" x14ac:dyDescent="0.3">
      <c r="A8610" s="1" t="str">
        <f>"61028757500"</f>
        <v>61028757500</v>
      </c>
      <c r="B8610" s="1" t="str">
        <f>"MIRROR LAKE PROPERTY LLC"</f>
        <v>MIRROR LAKE PROPERTY LLC</v>
      </c>
      <c r="C8610" s="1" t="str">
        <f>"TRADITIONS AT WORTHINGTON WOODS CONDOMINIUM 8TH AMD BLDG 9 UNIT 7500"</f>
        <v>TRADITIONS AT WORTHINGTON WOODS CONDOMINIUM 8TH AMD BLDG 9 UNIT 7500</v>
      </c>
      <c r="D8610" s="1">
        <v>1770.63</v>
      </c>
    </row>
    <row r="8611" spans="1:4" x14ac:dyDescent="0.3">
      <c r="A8611" s="1" t="str">
        <f>"61028256800"</f>
        <v>61028256800</v>
      </c>
      <c r="B8611" s="1" t="str">
        <f>"MIRROR LAKE PROPERTY LLC"</f>
        <v>MIRROR LAKE PROPERTY LLC</v>
      </c>
      <c r="C8611" s="1" t="str">
        <f>"TRADITIONS AT WORTHINGTON WOODS CONDOMINIUMS BLDG 15 UNIT 7474"</f>
        <v>TRADITIONS AT WORTHINGTON WOODS CONDOMINIUMS BLDG 15 UNIT 7474</v>
      </c>
      <c r="D8611" s="1">
        <v>3718.32</v>
      </c>
    </row>
    <row r="8612" spans="1:4" x14ac:dyDescent="0.3">
      <c r="A8612" s="1" t="str">
        <f>"61028257000"</f>
        <v>61028257000</v>
      </c>
      <c r="B8612" s="1" t="str">
        <f>"MIRROR LAKE PROPERTY LLC"</f>
        <v>MIRROR LAKE PROPERTY LLC</v>
      </c>
      <c r="C8612" s="1" t="str">
        <f>"TRADITIONS AT WORTHINGTON WOODS CONDOMINIUMS BLDG 15 UNIT 7482"</f>
        <v>TRADITIONS AT WORTHINGTON WOODS CONDOMINIUMS BLDG 15 UNIT 7482</v>
      </c>
      <c r="D8612" s="1">
        <v>1688.13</v>
      </c>
    </row>
    <row r="8613" spans="1:4" x14ac:dyDescent="0.3">
      <c r="A8613" s="1" t="str">
        <f>"22200231400"</f>
        <v>22200231400</v>
      </c>
      <c r="B8613" s="1" t="str">
        <f>"MISCHKA CLAYTON, ISABELLE RIVERS-NCCUE"</f>
        <v>MISCHKA CLAYTON, ISABELLE RIVERS-NCCUE</v>
      </c>
      <c r="C8613" s="1" t="str">
        <f>"PEMBROOKE GREEN EAST NEW ALBANY COUNTRY CLUB SECTION 16B LOT 78"</f>
        <v>PEMBROOKE GREEN EAST NEW ALBANY COUNTRY CLUB SECTION 16B LOT 78</v>
      </c>
      <c r="D8613" s="1">
        <v>1072.67</v>
      </c>
    </row>
    <row r="8614" spans="1:4" x14ac:dyDescent="0.3">
      <c r="A8614" s="1" t="str">
        <f>"01008769200"</f>
        <v>01008769200</v>
      </c>
      <c r="B8614" s="1" t="str">
        <f>"MISCHKA VALERIE, HASKINS WILL"</f>
        <v>MISCHKA VALERIE, HASKINS WILL</v>
      </c>
      <c r="C8614" s="1" t="str">
        <f>"2460 DOVER ROAD BERWICK LOT 157"</f>
        <v>2460 DOVER ROAD BERWICK LOT 157</v>
      </c>
      <c r="D8614" s="1">
        <v>3029.91</v>
      </c>
    </row>
    <row r="8615" spans="1:4" x14ac:dyDescent="0.3">
      <c r="A8615" s="1" t="str">
        <f>"01008769300"</f>
        <v>01008769300</v>
      </c>
      <c r="B8615" s="1" t="str">
        <f>"MISCHKA VALERIE, HASKINS WILL"</f>
        <v>MISCHKA VALERIE, HASKINS WILL</v>
      </c>
      <c r="C8615" s="1" t="str">
        <f>"DOVER ROAD E 1/2 BERWICK LOT 158"</f>
        <v>DOVER ROAD E 1/2 BERWICK LOT 158</v>
      </c>
      <c r="D8615" s="1">
        <v>221.23</v>
      </c>
    </row>
    <row r="8616" spans="1:4" x14ac:dyDescent="0.3">
      <c r="A8616" s="1" t="str">
        <f>"01008782700"</f>
        <v>01008782700</v>
      </c>
      <c r="B8616" s="1" t="str">
        <f>"MISCHKA VALERIE, HASKINS WILL"</f>
        <v>MISCHKA VALERIE, HASKINS WILL</v>
      </c>
      <c r="C8616" s="1" t="str">
        <f>"DOVER RD W 1/2 BERWICK LOT 156"</f>
        <v>DOVER RD W 1/2 BERWICK LOT 156</v>
      </c>
      <c r="D8616" s="1">
        <v>294.8</v>
      </c>
    </row>
    <row r="8617" spans="1:4" x14ac:dyDescent="0.3">
      <c r="A8617" s="1" t="str">
        <f>"59017966500"</f>
        <v>59017966500</v>
      </c>
      <c r="B8617" s="1" t="str">
        <f>"MISSLER MICHAEL J TTEE"</f>
        <v>MISSLER MICHAEL J TTEE</v>
      </c>
      <c r="C8617" s="1" t="str">
        <f>"AULLWOOD CT RIVERSIDE GREEN SO 1 LOT 29"</f>
        <v>AULLWOOD CT RIVERSIDE GREEN SO 1 LOT 29</v>
      </c>
      <c r="D8617" s="1">
        <v>7804.69</v>
      </c>
    </row>
    <row r="8618" spans="1:4" x14ac:dyDescent="0.3">
      <c r="A8618" s="1" t="str">
        <f>"27300276200"</f>
        <v>27300276200</v>
      </c>
      <c r="B8618" s="1" t="str">
        <f>"MISSLER MICHAEL J TTEE"</f>
        <v>MISSLER MICHAEL J TTEE</v>
      </c>
      <c r="C8618" s="1" t="str">
        <f>"6987 DUBLIN VILLAGE DUBLIN VILLAGE LOT 55"</f>
        <v>6987 DUBLIN VILLAGE DUBLIN VILLAGE LOT 55</v>
      </c>
      <c r="D8618" s="1">
        <v>6136.35</v>
      </c>
    </row>
    <row r="8619" spans="1:4" x14ac:dyDescent="0.3">
      <c r="A8619" s="1" t="str">
        <f>"24100058900"</f>
        <v>24100058900</v>
      </c>
      <c r="B8619" s="1" t="str">
        <f>"MISUNAS JULIANA, PETERS ANTOINETTE, PETERS GENEVIEVE, PETERS ANNA"</f>
        <v>MISUNAS JULIANA, PETERS ANTOINETTE, PETERS GENEVIEVE, PETERS ANNA</v>
      </c>
      <c r="C8619" s="1" t="str">
        <f>"714 AMITY RD .643 AC ENTRY 7066-6214 "</f>
        <v xml:space="preserve">714 AMITY RD .643 AC ENTRY 7066-6214 </v>
      </c>
      <c r="D8619" s="1">
        <v>283.16000000000003</v>
      </c>
    </row>
    <row r="8620" spans="1:4" x14ac:dyDescent="0.3">
      <c r="A8620" s="1" t="str">
        <f>"19000309100"</f>
        <v>19000309100</v>
      </c>
      <c r="B8620" s="1" t="str">
        <f>"MITCHELL ANDREW K"</f>
        <v>MITCHELL ANDREW K</v>
      </c>
      <c r="C8620" s="1" t="str">
        <f>"2097 PAUL DR E LINDEN 5TH LOT 107-108"</f>
        <v>2097 PAUL DR E LINDEN 5TH LOT 107-108</v>
      </c>
      <c r="D8620" s="1">
        <v>1320.75</v>
      </c>
    </row>
    <row r="8621" spans="1:4" x14ac:dyDescent="0.3">
      <c r="A8621" s="1" t="str">
        <f>"04000271300"</f>
        <v>04000271300</v>
      </c>
      <c r="B8621" s="1" t="str">
        <f>"MITCHELL DANIEL L"</f>
        <v>MITCHELL DANIEL L</v>
      </c>
      <c r="C8621" s="1" t="str">
        <f>"4367 ASHGROVE DRIVE RE-SUB PT BROOKGRVE # 2 LOT 2"</f>
        <v>4367 ASHGROVE DRIVE RE-SUB PT BROOKGRVE # 2 LOT 2</v>
      </c>
      <c r="D8621" s="1">
        <v>1665</v>
      </c>
    </row>
    <row r="8622" spans="1:4" x14ac:dyDescent="0.3">
      <c r="A8622" s="1" t="str">
        <f>"01010022400"</f>
        <v>01010022400</v>
      </c>
      <c r="B8622" s="1" t="str">
        <f>"MITCHELL DAVID W, MITCHELL WENDY M"</f>
        <v>MITCHELL DAVID W, MITCHELL WENDY M</v>
      </c>
      <c r="C8622" s="1" t="str">
        <f>"MARBLE DR SHADY LANE PARK LOT 172"</f>
        <v>MARBLE DR SHADY LANE PARK LOT 172</v>
      </c>
      <c r="D8622" s="1">
        <v>1474</v>
      </c>
    </row>
    <row r="8623" spans="1:4" x14ac:dyDescent="0.3">
      <c r="A8623" s="1" t="str">
        <f>"01004413800"</f>
        <v>01004413800</v>
      </c>
      <c r="B8623" s="1" t="str">
        <f>"MITCHELL ELIZABETH"</f>
        <v>MITCHELL ELIZABETH</v>
      </c>
      <c r="C8623" s="1" t="str">
        <f>"625 GIBBARD AVE WOOLEYS LOT 34"</f>
        <v>625 GIBBARD AVE WOOLEYS LOT 34</v>
      </c>
      <c r="D8623" s="1">
        <v>1284.56</v>
      </c>
    </row>
    <row r="8624" spans="1:4" x14ac:dyDescent="0.3">
      <c r="A8624" s="1" t="str">
        <f>"05000665900"</f>
        <v>05000665900</v>
      </c>
      <c r="B8624" s="1" t="str">
        <f>"MITCHELL JACQUELINE M TR"</f>
        <v>MITCHELL JACQUELINE M TR</v>
      </c>
      <c r="C8624" s="1" t="str">
        <f>"DUBLIN RD ACRES 1.273 ENTRY 1406 PAR 6 URP"</f>
        <v>DUBLIN RD ACRES 1.273 ENTRY 1406 PAR 6 URP</v>
      </c>
      <c r="D8624" s="1">
        <v>706.2</v>
      </c>
    </row>
    <row r="8625" spans="1:4" x14ac:dyDescent="0.3">
      <c r="A8625" s="1" t="str">
        <f>"04000972400"</f>
        <v>04000972400</v>
      </c>
      <c r="B8625" s="1" t="str">
        <f>"MITCHELL JENNIFER"</f>
        <v>MITCHELL JENNIFER</v>
      </c>
      <c r="C8625" s="1" t="str">
        <f>"MEADOW GROVE DRIVE MEADOW GROVE SOUTH SECTION 2 LOT 59"</f>
        <v>MEADOW GROVE DRIVE MEADOW GROVE SOUTH SECTION 2 LOT 59</v>
      </c>
      <c r="D8625" s="1">
        <v>6805.89</v>
      </c>
    </row>
    <row r="8626" spans="1:4" x14ac:dyDescent="0.3">
      <c r="A8626" s="1" t="str">
        <f>"06700004000"</f>
        <v>06700004000</v>
      </c>
      <c r="B8626" s="1" t="str">
        <f>"MITCHELL JOHN F"</f>
        <v>MITCHELL JOHN F</v>
      </c>
      <c r="C8626" s="1" t="str">
        <f>"245 DEER TRAIL CT DEERFIELD ESTATES 2 32"</f>
        <v>245 DEER TRAIL CT DEERFIELD ESTATES 2 32</v>
      </c>
      <c r="D8626" s="1">
        <v>3493.22</v>
      </c>
    </row>
    <row r="8627" spans="1:4" x14ac:dyDescent="0.3">
      <c r="A8627" s="1" t="str">
        <f>"01002313100"</f>
        <v>01002313100</v>
      </c>
      <c r="B8627" s="1" t="str">
        <f>"MITCHELL JOSEPHINE, MITCHELL VIRGINIA"</f>
        <v>MITCHELL JOSEPHINE, MITCHELL VIRGINIA</v>
      </c>
      <c r="C8627" s="1" t="str">
        <f>"1503 MT VERNON AVE HORN LOT 15"</f>
        <v>1503 MT VERNON AVE HORN LOT 15</v>
      </c>
      <c r="D8627" s="1">
        <v>2117.67</v>
      </c>
    </row>
    <row r="8628" spans="1:4" x14ac:dyDescent="0.3">
      <c r="A8628" s="1" t="str">
        <f>"01008108500"</f>
        <v>01008108500</v>
      </c>
      <c r="B8628" s="1" t="str">
        <f>"MITCHELL LUKE"</f>
        <v>MITCHELL LUKE</v>
      </c>
      <c r="C8628" s="1" t="str">
        <f>"CLEVELAWN PLACE CLEVELAWN LOT 64"</f>
        <v>CLEVELAWN PLACE CLEVELAWN LOT 64</v>
      </c>
      <c r="D8628" s="1">
        <v>2910.26</v>
      </c>
    </row>
    <row r="8629" spans="1:4" x14ac:dyDescent="0.3">
      <c r="A8629" s="1" t="str">
        <f>"01008439700"</f>
        <v>01008439700</v>
      </c>
      <c r="B8629" s="1" t="str">
        <f>"MITCHELL MICHAEL S, MITCHELL TERESA K"</f>
        <v>MITCHELL MICHAEL S, MITCHELL TERESA K</v>
      </c>
      <c r="C8629" s="1" t="str">
        <f>"CHATHAM RD NORTHRIDGE INDIANOLA LOT 21"</f>
        <v>CHATHAM RD NORTHRIDGE INDIANOLA LOT 21</v>
      </c>
      <c r="D8629" s="1">
        <v>232.97</v>
      </c>
    </row>
    <row r="8630" spans="1:4" x14ac:dyDescent="0.3">
      <c r="A8630" s="1" t="str">
        <f>"01013425300"</f>
        <v>01013425300</v>
      </c>
      <c r="B8630" s="1" t="str">
        <f>"MITCHELL SARI"</f>
        <v>MITCHELL SARI</v>
      </c>
      <c r="C8630" s="1" t="str">
        <f>"KELTON AVE KELTON GARDENS LOT 9"</f>
        <v>KELTON AVE KELTON GARDENS LOT 9</v>
      </c>
      <c r="D8630" s="1">
        <v>143.44</v>
      </c>
    </row>
    <row r="8631" spans="1:4" x14ac:dyDescent="0.3">
      <c r="A8631" s="1" t="str">
        <f>"01002587500"</f>
        <v>01002587500</v>
      </c>
      <c r="B8631" s="1" t="str">
        <f>"MITCHELL TERROR T"</f>
        <v>MITCHELL TERROR T</v>
      </c>
      <c r="C8631" s="1" t="str">
        <f>"64 N CENTRAL AVE KNAUSS AMD LOT 27"</f>
        <v>64 N CENTRAL AVE KNAUSS AMD LOT 27</v>
      </c>
      <c r="D8631" s="1">
        <v>305.05</v>
      </c>
    </row>
    <row r="8632" spans="1:4" x14ac:dyDescent="0.3">
      <c r="A8632" s="1" t="str">
        <f>"01001087500"</f>
        <v>01001087500</v>
      </c>
      <c r="B8632" s="1" t="str">
        <f>"MITCHELL THEODORE T SR, MITCHELL REA J"</f>
        <v>MITCHELL THEODORE T SR, MITCHELL REA J</v>
      </c>
      <c r="C8632" s="1" t="str">
        <f>"SULLIVANT AVE AVONDALE LOT 3"</f>
        <v>SULLIVANT AVE AVONDALE LOT 3</v>
      </c>
      <c r="D8632" s="1">
        <v>15.47</v>
      </c>
    </row>
    <row r="8633" spans="1:4" x14ac:dyDescent="0.3">
      <c r="A8633" s="1" t="str">
        <f>"01001372700"</f>
        <v>01001372700</v>
      </c>
      <c r="B8633" s="1" t="str">
        <f>"MITIGATION EQUIPMENT LEASING LLC"</f>
        <v>MITIGATION EQUIPMENT LEASING LLC</v>
      </c>
      <c r="C8633" s="1" t="str">
        <f>"4100 PERIMETER ROAD ENTRY3316-7325 1.822 ACRES"</f>
        <v>4100 PERIMETER ROAD ENTRY3316-7325 1.822 ACRES</v>
      </c>
      <c r="D8633" s="1">
        <v>19389.27</v>
      </c>
    </row>
    <row r="8634" spans="1:4" x14ac:dyDescent="0.3">
      <c r="A8634" s="1" t="str">
        <f>"59022249200"</f>
        <v>59022249200</v>
      </c>
      <c r="B8634" s="1" t="str">
        <f>"MITSUSHIO RITSUO, MITSUSHIO KISHIE"</f>
        <v>MITSUSHIO RITSUO, MITSUSHIO KISHIE</v>
      </c>
      <c r="C8634" s="1" t="str">
        <f>"BETHEL VILLAGE CONDOMINIUM 1ST AMD UNIT 14A"</f>
        <v>BETHEL VILLAGE CONDOMINIUM 1ST AMD UNIT 14A</v>
      </c>
      <c r="D8634" s="1">
        <v>2509.2199999999998</v>
      </c>
    </row>
    <row r="8635" spans="1:4" x14ac:dyDescent="0.3">
      <c r="A8635" s="1" t="str">
        <f>"04000943500"</f>
        <v>04000943500</v>
      </c>
      <c r="B8635" s="1" t="str">
        <f>"MIXER ROBERT C SR (TTEE)"</f>
        <v>MIXER ROBERT C SR (TTEE)</v>
      </c>
      <c r="C8635" s="1" t="str">
        <f>"QUAIL RUN DRIVE MEADOW GROVE SOUTH SECTION 1 LOT 3"</f>
        <v>QUAIL RUN DRIVE MEADOW GROVE SOUTH SECTION 1 LOT 3</v>
      </c>
      <c r="D8635" s="1">
        <v>297.97000000000003</v>
      </c>
    </row>
    <row r="8636" spans="1:4" x14ac:dyDescent="0.3">
      <c r="A8636" s="1" t="str">
        <f>"01001387400"</f>
        <v>01001387400</v>
      </c>
      <c r="B8636" s="1" t="str">
        <f>"MIXON MICHELE R, MIXON JEFFREY D, MIXON JOHN B"</f>
        <v>MIXON MICHELE R, MIXON JEFFREY D, MIXON JOHN B</v>
      </c>
      <c r="C8636" s="1" t="str">
        <f>"GIBBARD AVE BIDLEMAN LOT 126"</f>
        <v>GIBBARD AVE BIDLEMAN LOT 126</v>
      </c>
      <c r="D8636" s="1">
        <v>533.6</v>
      </c>
    </row>
    <row r="8637" spans="1:4" x14ac:dyDescent="0.3">
      <c r="A8637" s="1" t="str">
        <f>"01006968900"</f>
        <v>01006968900</v>
      </c>
      <c r="B8637" s="1" t="str">
        <f>"MJ PROPERTY HOLDINGS LLC"</f>
        <v>MJ PROPERTY HOLDINGS LLC</v>
      </c>
      <c r="C8637" s="1" t="str">
        <f>"2027 DENUNE AVE 50FT W S LOT 21 EAST LINDEN"</f>
        <v>2027 DENUNE AVE 50FT W S LOT 21 EAST LINDEN</v>
      </c>
      <c r="D8637" s="1">
        <v>37.53</v>
      </c>
    </row>
    <row r="8638" spans="1:4" x14ac:dyDescent="0.3">
      <c r="A8638" s="1" t="str">
        <f>"01016658400"</f>
        <v>01016658400</v>
      </c>
      <c r="B8638" s="1" t="str">
        <f>"MJ PROPERTY HOLDINGS LLC"</f>
        <v>MJ PROPERTY HOLDINGS LLC</v>
      </c>
      <c r="C8638" s="1" t="str">
        <f>"PLANTATION LAKES CONDO PHASE II BLDG 20 UNIT D"</f>
        <v>PLANTATION LAKES CONDO PHASE II BLDG 20 UNIT D</v>
      </c>
      <c r="D8638" s="1">
        <v>1969.09</v>
      </c>
    </row>
    <row r="8639" spans="1:4" x14ac:dyDescent="0.3">
      <c r="A8639" s="1" t="str">
        <f>"01005405200"</f>
        <v>01005405200</v>
      </c>
      <c r="B8639" s="1" t="str">
        <f>"MJL ENTERPRISE LLC"</f>
        <v>MJL ENTERPRISE LLC</v>
      </c>
      <c r="C8639" s="1" t="str">
        <f>"148 N PRINCETON AVE FRANKLIN LOT 46"</f>
        <v>148 N PRINCETON AVE FRANKLIN LOT 46</v>
      </c>
      <c r="D8639" s="1">
        <v>2000.62</v>
      </c>
    </row>
    <row r="8640" spans="1:4" x14ac:dyDescent="0.3">
      <c r="A8640" s="1" t="str">
        <f>"27300153100"</f>
        <v>27300153100</v>
      </c>
      <c r="B8640" s="1" t="str">
        <f>"MJ-MV LLC"</f>
        <v>MJ-MV LLC</v>
      </c>
      <c r="C8640" s="1" t="str">
        <f>"6059 CROMDALE DR ENTRY 2545-6252 1.0 ACRE"</f>
        <v>6059 CROMDALE DR ENTRY 2545-6252 1.0 ACRE</v>
      </c>
      <c r="D8640" s="1">
        <v>22</v>
      </c>
    </row>
    <row r="8641" spans="1:4" x14ac:dyDescent="0.3">
      <c r="A8641" s="1" t="str">
        <f>"01011245100"</f>
        <v>01011245100</v>
      </c>
      <c r="B8641" s="1" t="str">
        <f>"MK HOLDINGS AND INVESTMENTS LLC"</f>
        <v>MK HOLDINGS AND INVESTMENTS LLC</v>
      </c>
      <c r="C8641" s="1" t="str">
        <f>"2665 S HIGH ST 60 FT N S BROOKSIDE LOT 1"</f>
        <v>2665 S HIGH ST 60 FT N S BROOKSIDE LOT 1</v>
      </c>
      <c r="D8641" s="1">
        <v>1637.1</v>
      </c>
    </row>
    <row r="8642" spans="1:4" x14ac:dyDescent="0.3">
      <c r="A8642" s="1" t="str">
        <f>"02501228000"</f>
        <v>02501228000</v>
      </c>
      <c r="B8642" s="1" t="str">
        <f>"MKICK MANAGEMENT LLC"</f>
        <v>MKICK MANAGEMENT LLC</v>
      </c>
      <c r="C8642" s="1" t="str">
        <f>"CROSSROADS COMMERCE       CENTER BUILDING 5         CONDOMINIUMS UNIT 750K   "</f>
        <v xml:space="preserve">CROSSROADS COMMERCE       CENTER BUILDING 5         CONDOMINIUMS UNIT 750K   </v>
      </c>
      <c r="D8642" s="1">
        <v>7173.36</v>
      </c>
    </row>
    <row r="8643" spans="1:4" x14ac:dyDescent="0.3">
      <c r="A8643" s="1" t="str">
        <f>"01008862800"</f>
        <v>01008862800</v>
      </c>
      <c r="B8643" s="1" t="str">
        <f>"ML OHIO PROPERTIES LLC"</f>
        <v>ML OHIO PROPERTIES LLC</v>
      </c>
      <c r="C8643" s="1" t="str">
        <f>"S WAVERLY ST LINCOLN PK LOT 235"</f>
        <v>S WAVERLY ST LINCOLN PK LOT 235</v>
      </c>
      <c r="D8643" s="1">
        <v>3700.34</v>
      </c>
    </row>
    <row r="8644" spans="1:4" x14ac:dyDescent="0.3">
      <c r="A8644" s="1" t="str">
        <f>"01008346600"</f>
        <v>01008346600</v>
      </c>
      <c r="B8644" s="1" t="str">
        <f>"MLE EQUITY LLC"</f>
        <v>MLE EQUITY LLC</v>
      </c>
      <c r="C8644" s="1" t="str">
        <f>"HOWEY RD SUNNYSIDE LOT 339"</f>
        <v>HOWEY RD SUNNYSIDE LOT 339</v>
      </c>
      <c r="D8644" s="1">
        <v>2369.79</v>
      </c>
    </row>
    <row r="8645" spans="1:4" x14ac:dyDescent="0.3">
      <c r="A8645" s="1" t="str">
        <f>"01007369500"</f>
        <v>01007369500</v>
      </c>
      <c r="B8645" s="1" t="str">
        <f>"MLE EQUITY LLC"</f>
        <v>MLE EQUITY LLC</v>
      </c>
      <c r="C8645" s="1" t="str">
        <f>"ARLINGTON AVE HOMECROFT LOT 115"</f>
        <v>ARLINGTON AVE HOMECROFT LOT 115</v>
      </c>
      <c r="D8645" s="1">
        <v>2468.5500000000002</v>
      </c>
    </row>
    <row r="8646" spans="1:4" x14ac:dyDescent="0.3">
      <c r="A8646" s="1" t="str">
        <f>"27300394500"</f>
        <v>27300394500</v>
      </c>
      <c r="B8646" s="1" t="str">
        <f>"MLICKI DOUGLAS J, MLICKI STACEY K"</f>
        <v>MLICKI DOUGLAS J, MLICKI STACEY K</v>
      </c>
      <c r="C8646" s="1" t="str">
        <f>"8325 GREY FRIAR WAY MUIRFIELD VILLAGE PHASE 32 LOT 1518"</f>
        <v>8325 GREY FRIAR WAY MUIRFIELD VILLAGE PHASE 32 LOT 1518</v>
      </c>
      <c r="D8646" s="1">
        <v>8513.9500000000007</v>
      </c>
    </row>
    <row r="8647" spans="1:4" x14ac:dyDescent="0.3">
      <c r="A8647" s="1" t="str">
        <f>"06000792200"</f>
        <v>06000792200</v>
      </c>
      <c r="B8647" s="1" t="str">
        <f>"MLINCEK DIANE"</f>
        <v>MLINCEK DIANE</v>
      </c>
      <c r="C8647" s="1" t="str">
        <f>"0000 REDMAN CONDO 3RD AMD BLDG 10 UNIT 7732"</f>
        <v>0000 REDMAN CONDO 3RD AMD BLDG 10 UNIT 7732</v>
      </c>
      <c r="D8647" s="1">
        <v>2113.17</v>
      </c>
    </row>
    <row r="8648" spans="1:4" x14ac:dyDescent="0.3">
      <c r="A8648" s="1" t="str">
        <f>"01001285400"</f>
        <v>01001285400</v>
      </c>
      <c r="B8648" s="1" t="str">
        <f>"MM DEVELOPING LLC"</f>
        <v>MM DEVELOPING LLC</v>
      </c>
      <c r="C8648" s="1" t="str">
        <f>"1175-1177 FRANKLIN HOFFMAN &amp; MCCREW LOT 161"</f>
        <v>1175-1177 FRANKLIN HOFFMAN &amp; MCCREW LOT 161</v>
      </c>
      <c r="D8648" s="1">
        <v>408.63</v>
      </c>
    </row>
    <row r="8649" spans="1:4" x14ac:dyDescent="0.3">
      <c r="A8649" s="1" t="str">
        <f>"11000306800"</f>
        <v>11000306800</v>
      </c>
      <c r="B8649" s="1" t="str">
        <f>"MNICH ANN E"</f>
        <v>MNICH ANN E</v>
      </c>
      <c r="C8649" s="1" t="str">
        <f>"4567 RAVINE DR LOT 4-5 ROLLING RIDGE"</f>
        <v>4567 RAVINE DR LOT 4-5 ROLLING RIDGE</v>
      </c>
      <c r="D8649" s="1">
        <v>8648.89</v>
      </c>
    </row>
    <row r="8650" spans="1:4" x14ac:dyDescent="0.3">
      <c r="A8650" s="1" t="str">
        <f>"02500613900"</f>
        <v>02500613900</v>
      </c>
      <c r="B8650" s="1" t="str">
        <f>"MOALIM MOHAMED ABDULHAMID, YUSUF IFRAH ALI"</f>
        <v>MOALIM MOHAMED ABDULHAMID, YUSUF IFRAH ALI</v>
      </c>
      <c r="C8650" s="1" t="str">
        <f>"275 HIGHBURY CRESCEN IMPERIAL RISE PLAT#4 LOT 315"</f>
        <v>275 HIGHBURY CRESCEN IMPERIAL RISE PLAT#4 LOT 315</v>
      </c>
      <c r="D8650" s="1">
        <v>2613.4899999999998</v>
      </c>
    </row>
    <row r="8651" spans="1:4" x14ac:dyDescent="0.3">
      <c r="A8651" s="1" t="str">
        <f>"01025324900"</f>
        <v>01025324900</v>
      </c>
      <c r="B8651" s="1" t="str">
        <f>"MOBARD PROPERTIES LLC"</f>
        <v>MOBARD PROPERTIES LLC</v>
      </c>
      <c r="C8651" s="1" t="str">
        <f>"BETHEL GROVE OFFICE CONDOMINIUM UNIT 303-A"</f>
        <v>BETHEL GROVE OFFICE CONDOMINIUM UNIT 303-A</v>
      </c>
      <c r="D8651" s="1">
        <v>313.08999999999997</v>
      </c>
    </row>
    <row r="8652" spans="1:4" x14ac:dyDescent="0.3">
      <c r="A8652" s="1" t="str">
        <f>"01025324800"</f>
        <v>01025324800</v>
      </c>
      <c r="B8652" s="1" t="str">
        <f>"MOBARD PROPERTIES LLC"</f>
        <v>MOBARD PROPERTIES LLC</v>
      </c>
      <c r="C8652" s="1" t="str">
        <f>"BETHEL GROVE OFFICE CONDOMINIUM UNIT 302-A"</f>
        <v>BETHEL GROVE OFFICE CONDOMINIUM UNIT 302-A</v>
      </c>
      <c r="D8652" s="1">
        <v>330.7</v>
      </c>
    </row>
    <row r="8653" spans="1:4" x14ac:dyDescent="0.3">
      <c r="A8653" s="1" t="str">
        <f>"01006774100"</f>
        <v>01006774100</v>
      </c>
      <c r="B8653" s="1" t="str">
        <f>"MOBLEY ANDREW JASON, REDMOND SHANDESHA NICOLE"</f>
        <v>MOBLEY ANDREW JASON, REDMOND SHANDESHA NICOLE</v>
      </c>
      <c r="C8653" s="1" t="str">
        <f>"527 TOWNSEND AVE HILLTONIA LOT 91"</f>
        <v>527 TOWNSEND AVE HILLTONIA LOT 91</v>
      </c>
      <c r="D8653" s="1">
        <v>1980.02</v>
      </c>
    </row>
    <row r="8654" spans="1:4" x14ac:dyDescent="0.3">
      <c r="A8654" s="1" t="str">
        <f>"60014610200"</f>
        <v>60014610200</v>
      </c>
      <c r="B8654" s="1" t="str">
        <f>"MOBLEY GEORGE E"</f>
        <v>MOBLEY GEORGE E</v>
      </c>
      <c r="C8654" s="1" t="str">
        <f>"4718 LARKHALL LANE SCOTLAND LOT 10 "</f>
        <v xml:space="preserve">4718 LARKHALL LANE SCOTLAND LOT 10 </v>
      </c>
      <c r="D8654" s="1">
        <v>181.44</v>
      </c>
    </row>
    <row r="8655" spans="1:4" x14ac:dyDescent="0.3">
      <c r="A8655" s="1" t="str">
        <f>"56022281700"</f>
        <v>56022281700</v>
      </c>
      <c r="B8655" s="1" t="str">
        <f>"MOCK FAIRETTE L"</f>
        <v>MOCK FAIRETTE L</v>
      </c>
      <c r="C8655" s="1" t="str">
        <f>"0000 WHITCOMBE WAY SCIOTO WOODS SEC 7 LOT 411"</f>
        <v>0000 WHITCOMBE WAY SCIOTO WOODS SEC 7 LOT 411</v>
      </c>
      <c r="D8655" s="1">
        <v>9635.77</v>
      </c>
    </row>
    <row r="8656" spans="1:4" x14ac:dyDescent="0.3">
      <c r="A8656" s="1" t="str">
        <f>"01019044300"</f>
        <v>01019044300</v>
      </c>
      <c r="B8656" s="1" t="str">
        <f>"MOE RICHARD"</f>
        <v>MOE RICHARD</v>
      </c>
      <c r="C8656" s="1" t="str">
        <f>"EAST KOSSUTH SCHMIDTHOF CONDO UNIT 249-H&amp;PK SPACE4"</f>
        <v>EAST KOSSUTH SCHMIDTHOF CONDO UNIT 249-H&amp;PK SPACE4</v>
      </c>
      <c r="D8656" s="1">
        <v>128.97</v>
      </c>
    </row>
    <row r="8657" spans="1:4" x14ac:dyDescent="0.3">
      <c r="A8657" s="1" t="str">
        <f>"01019516500"</f>
        <v>01019516500</v>
      </c>
      <c r="B8657" s="1" t="str">
        <f>"MOEHRING REBECCA LEE, ZBACNIK LEWIS FRANK"</f>
        <v>MOEHRING REBECCA LEE, ZBACNIK LEWIS FRANK</v>
      </c>
      <c r="C8657" s="1" t="str">
        <f>"E BROAD ST PARK TOWERS CONDO UNIT 305"</f>
        <v>E BROAD ST PARK TOWERS CONDO UNIT 305</v>
      </c>
      <c r="D8657" s="1">
        <v>1771.94</v>
      </c>
    </row>
    <row r="8658" spans="1:4" x14ac:dyDescent="0.3">
      <c r="A8658" s="1" t="str">
        <f>"01006927300"</f>
        <v>01006927300</v>
      </c>
      <c r="B8658" s="1" t="str">
        <f>"MOEHRMAN MICHAEL E SU TR"</f>
        <v>MOEHRMAN MICHAEL E SU TR</v>
      </c>
      <c r="C8658" s="1" t="str">
        <f>"CRESCENT RD WILSHIRE HTS LOT 4 BLK 39"</f>
        <v>CRESCENT RD WILSHIRE HTS LOT 4 BLK 39</v>
      </c>
      <c r="D8658" s="1">
        <v>1271.55</v>
      </c>
    </row>
    <row r="8659" spans="1:4" x14ac:dyDescent="0.3">
      <c r="A8659" s="1" t="str">
        <f>"01007805100"</f>
        <v>01007805100</v>
      </c>
      <c r="B8659" s="1" t="str">
        <f>"MOEHRMAN MICHAEL E SU TR, MOEHRMAN BRADLEY S"</f>
        <v>MOEHRMAN MICHAEL E SU TR, MOEHRMAN BRADLEY S</v>
      </c>
      <c r="C8659" s="1" t="str">
        <f>"601 S WAYNE AVE WESTLAND LOT 76"</f>
        <v>601 S WAYNE AVE WESTLAND LOT 76</v>
      </c>
      <c r="D8659" s="1">
        <v>931.2</v>
      </c>
    </row>
    <row r="8660" spans="1:4" x14ac:dyDescent="0.3">
      <c r="A8660" s="1" t="str">
        <f>"01000272700"</f>
        <v>01000272700</v>
      </c>
      <c r="B8660" s="1" t="str">
        <f>"MOESSNER DANA"</f>
        <v>MOESSNER DANA</v>
      </c>
      <c r="C8660" s="1" t="str">
        <f>"215 MONROE AVE EAST GROVE ADDN PT LOT 66"</f>
        <v>215 MONROE AVE EAST GROVE ADDN PT LOT 66</v>
      </c>
      <c r="D8660" s="1">
        <v>228.61</v>
      </c>
    </row>
    <row r="8661" spans="1:4" x14ac:dyDescent="0.3">
      <c r="A8661" s="1" t="str">
        <f>"61021277200"</f>
        <v>61021277200</v>
      </c>
      <c r="B8661" s="1" t="str">
        <f>"MOFFITT ROBERT L IV"</f>
        <v>MOFFITT ROBERT L IV</v>
      </c>
      <c r="C8661" s="1" t="str">
        <f>"WORTHINGTON GLEN CONDOMINIUM 2ND AMD BLDG 24 UNIT 24E"</f>
        <v>WORTHINGTON GLEN CONDOMINIUM 2ND AMD BLDG 24 UNIT 24E</v>
      </c>
      <c r="D8661" s="1">
        <v>2500</v>
      </c>
    </row>
    <row r="8662" spans="1:4" x14ac:dyDescent="0.3">
      <c r="A8662" s="1" t="str">
        <f>"01012652200"</f>
        <v>01012652200</v>
      </c>
      <c r="B8662" s="1" t="str">
        <f>"MOHAMED ABDILLAHI A, DEGAS REAL ESTATE SOLUTIONS LLC"</f>
        <v>MOHAMED ABDILLAHI A, DEGAS REAL ESTATE SOLUTIONS LLC</v>
      </c>
      <c r="C8662" s="1" t="str">
        <f>"SIGSBEE AVE AMERICAN LOT 28"</f>
        <v>SIGSBEE AVE AMERICAN LOT 28</v>
      </c>
      <c r="D8662" s="1">
        <v>2839.5</v>
      </c>
    </row>
    <row r="8663" spans="1:4" x14ac:dyDescent="0.3">
      <c r="A8663" s="1" t="str">
        <f>"01023226900"</f>
        <v>01023226900</v>
      </c>
      <c r="B8663" s="1" t="str">
        <f>"MOHAMED FADUMO"</f>
        <v>MOHAMED FADUMO</v>
      </c>
      <c r="C8663" s="1" t="str">
        <f>"2922 BRIDGEWALK ST HICKORY RIDGE CONDO UNIT 13-2922"</f>
        <v>2922 BRIDGEWALK ST HICKORY RIDGE CONDO UNIT 13-2922</v>
      </c>
      <c r="D8663" s="1">
        <v>1576.55</v>
      </c>
    </row>
    <row r="8664" spans="1:4" x14ac:dyDescent="0.3">
      <c r="A8664" s="1" t="str">
        <f>"60021755400"</f>
        <v>60021755400</v>
      </c>
      <c r="B8664" s="1" t="str">
        <f>"MOHAMED ILLAN, JELLE SIYAD"</f>
        <v>MOHAMED ILLAN, JELLE SIYAD</v>
      </c>
      <c r="C8664" s="1" t="str">
        <f>"BIG WALNUTVIEW DRIVE WOODSTREAM SECTION 2 LOT 110"</f>
        <v>BIG WALNUTVIEW DRIVE WOODSTREAM SECTION 2 LOT 110</v>
      </c>
      <c r="D8664" s="1">
        <v>3535.96</v>
      </c>
    </row>
    <row r="8665" spans="1:4" x14ac:dyDescent="0.3">
      <c r="A8665" s="1" t="str">
        <f>"57025714800"</f>
        <v>57025714800</v>
      </c>
      <c r="B8665" s="1" t="str">
        <f>"MOHAMED LEYLA"</f>
        <v>MOHAMED LEYLA</v>
      </c>
      <c r="C8665" s="1" t="str">
        <f>"DOE RUN WESTMEADOW SECITON 3 LOT 106"</f>
        <v>DOE RUN WESTMEADOW SECITON 3 LOT 106</v>
      </c>
      <c r="D8665" s="1">
        <v>3077.73</v>
      </c>
    </row>
    <row r="8666" spans="1:4" x14ac:dyDescent="0.3">
      <c r="A8666" s="1" t="str">
        <f>"01018529500"</f>
        <v>01018529500</v>
      </c>
      <c r="B8666" s="1" t="str">
        <f>"MOHAMED MAHAD H"</f>
        <v>MOHAMED MAHAD H</v>
      </c>
      <c r="C8666" s="1" t="str">
        <f>"MORSETOWN CT BRENTWOOD CONDO UNIT 4221 BLDG 9"</f>
        <v>MORSETOWN CT BRENTWOOD CONDO UNIT 4221 BLDG 9</v>
      </c>
      <c r="D8666" s="1">
        <v>539.03</v>
      </c>
    </row>
    <row r="8667" spans="1:4" x14ac:dyDescent="0.3">
      <c r="A8667" s="1" t="str">
        <f>"02500428500"</f>
        <v>02500428500</v>
      </c>
      <c r="B8667" s="1" t="str">
        <f>"MOHAMMAD NOOR"</f>
        <v>MOHAMMAD NOOR</v>
      </c>
      <c r="C8667" s="1" t="str">
        <f>"3877 HINES RD REAR R17 T1 1/4T1 LOT 20 2.47 ACS"</f>
        <v>3877 HINES RD REAR R17 T1 1/4T1 LOT 20 2.47 ACS</v>
      </c>
      <c r="D8667" s="1">
        <v>1684.28</v>
      </c>
    </row>
    <row r="8668" spans="1:4" x14ac:dyDescent="0.3">
      <c r="A8668" s="1" t="str">
        <f>"27301277400"</f>
        <v>27301277400</v>
      </c>
      <c r="B8668" s="1" t="str">
        <f>"MOHAMMED AHMED H, ELGEHENI NEHAL A"</f>
        <v>MOHAMMED AHMED H, ELGEHENI NEHAL A</v>
      </c>
      <c r="C8668" s="1" t="str">
        <f>"RIVIERA SECTION 1 LOT 19"</f>
        <v>RIVIERA SECTION 1 LOT 19</v>
      </c>
      <c r="D8668" s="1">
        <v>983.1</v>
      </c>
    </row>
    <row r="8669" spans="1:4" x14ac:dyDescent="0.3">
      <c r="A8669" s="1" t="str">
        <f>"07000512300"</f>
        <v>07000512300</v>
      </c>
      <c r="B8669" s="1" t="str">
        <f>"MOHAMMED JEANNETTE R, MOHAMMED HAFIZ A"</f>
        <v>MOHAMMED JEANNETTE R, MOHAMMED HAFIZ A</v>
      </c>
      <c r="C8669" s="1" t="str">
        <f>"WICKLIFFE RD&amp;PT AL VAC EAST CLEFT 217 "</f>
        <v xml:space="preserve">WICKLIFFE RD&amp;PT AL VAC EAST CLEFT 217 </v>
      </c>
      <c r="D8669" s="1">
        <v>21.36</v>
      </c>
    </row>
    <row r="8670" spans="1:4" x14ac:dyDescent="0.3">
      <c r="A8670" s="1" t="str">
        <f>"01000480000"</f>
        <v>01000480000</v>
      </c>
      <c r="B8670" s="1" t="str">
        <f>"MOHAMMED KASHEED"</f>
        <v>MOHAMMED KASHEED</v>
      </c>
      <c r="C8670" s="1" t="str">
        <f>"2342 PALMETTO AVE ONGS LOT 76"</f>
        <v>2342 PALMETTO AVE ONGS LOT 76</v>
      </c>
      <c r="D8670" s="1">
        <v>7.97</v>
      </c>
    </row>
    <row r="8671" spans="1:4" x14ac:dyDescent="0.3">
      <c r="A8671" s="1" t="str">
        <f>"07000512200"</f>
        <v>07000512200</v>
      </c>
      <c r="B8671" s="1" t="str">
        <f>"MOHAMMED KASHEED"</f>
        <v>MOHAMMED KASHEED</v>
      </c>
      <c r="C8671" s="1" t="str">
        <f>"WICKLIFFE RD &amp; PT AL VAC EAST CLEFT LOT 216"</f>
        <v>WICKLIFFE RD &amp; PT AL VAC EAST CLEFT LOT 216</v>
      </c>
      <c r="D8671" s="1">
        <v>21.13</v>
      </c>
    </row>
    <row r="8672" spans="1:4" x14ac:dyDescent="0.3">
      <c r="A8672" s="1" t="str">
        <f>"01000017600"</f>
        <v>01000017600</v>
      </c>
      <c r="B8672" s="1" t="str">
        <f>"MOHAMMED KASHEED"</f>
        <v>MOHAMMED KASHEED</v>
      </c>
      <c r="C8672" s="1" t="str">
        <f>"58 N WISCONSIN AVE IRA SEELY LOT 9"</f>
        <v>58 N WISCONSIN AVE IRA SEELY LOT 9</v>
      </c>
      <c r="D8672" s="1">
        <v>4.8499999999999996</v>
      </c>
    </row>
    <row r="8673" spans="1:4" x14ac:dyDescent="0.3">
      <c r="A8673" s="1" t="str">
        <f>"01020798700"</f>
        <v>01020798700</v>
      </c>
      <c r="B8673" s="1" t="str">
        <f>"MOHAMMED KASHEED"</f>
        <v>MOHAMMED KASHEED</v>
      </c>
      <c r="C8673" s="1" t="str">
        <f>"RIVERWATCH TOWER CONDOMINIUM UNIT 1015"</f>
        <v>RIVERWATCH TOWER CONDOMINIUM UNIT 1015</v>
      </c>
      <c r="D8673" s="1">
        <v>6.32</v>
      </c>
    </row>
    <row r="8674" spans="1:4" x14ac:dyDescent="0.3">
      <c r="A8674" s="1" t="str">
        <f>"07000512100"</f>
        <v>07000512100</v>
      </c>
      <c r="B8674" s="1" t="str">
        <f>"MOHAMMED KASHEED"</f>
        <v>MOHAMMED KASHEED</v>
      </c>
      <c r="C8674" s="1" t="str">
        <f>"WICKLIFFE RD &amp; PT AL VAC EAST CLEFT LOT 215"</f>
        <v>WICKLIFFE RD &amp; PT AL VAC EAST CLEFT LOT 215</v>
      </c>
      <c r="D8674" s="1">
        <v>21.29</v>
      </c>
    </row>
    <row r="8675" spans="1:4" x14ac:dyDescent="0.3">
      <c r="A8675" s="1" t="str">
        <f>"07000512000"</f>
        <v>07000512000</v>
      </c>
      <c r="B8675" s="1" t="str">
        <f>"MOHAMMED KASHEED"</f>
        <v>MOHAMMED KASHEED</v>
      </c>
      <c r="C8675" s="1" t="str">
        <f>"WICKLIFFE RD &amp; PT AL CAC EAST CLEFT L 214"</f>
        <v>WICKLIFFE RD &amp; PT AL CAC EAST CLEFT L 214</v>
      </c>
      <c r="D8675" s="1">
        <v>20.37</v>
      </c>
    </row>
    <row r="8676" spans="1:4" x14ac:dyDescent="0.3">
      <c r="A8676" s="1" t="str">
        <f>"01015805000"</f>
        <v>01015805000</v>
      </c>
      <c r="B8676" s="1" t="str">
        <f>"MOHAMMED LAILA"</f>
        <v>MOHAMMED LAILA</v>
      </c>
      <c r="C8676" s="1" t="str">
        <f>"KIMBERLY VILLAS CONDOMINIUM PHASE 1 UNIT 12-A"</f>
        <v>KIMBERLY VILLAS CONDOMINIUM PHASE 1 UNIT 12-A</v>
      </c>
      <c r="D8676" s="1">
        <v>1197.48</v>
      </c>
    </row>
    <row r="8677" spans="1:4" x14ac:dyDescent="0.3">
      <c r="A8677" s="1" t="str">
        <f>"01030788000"</f>
        <v>01030788000</v>
      </c>
      <c r="B8677" s="1" t="str">
        <f>"MOHAMUD HALIMA, ABDULKADIR MOHAMED ABDIWELI"</f>
        <v>MOHAMUD HALIMA, ABDULKADIR MOHAMED ABDIWELI</v>
      </c>
      <c r="C8677" s="1" t="str">
        <f>"WALNUT WOODS EAST SECTION 2 LOT 29"</f>
        <v>WALNUT WOODS EAST SECTION 2 LOT 29</v>
      </c>
      <c r="D8677" s="1">
        <v>94.38</v>
      </c>
    </row>
    <row r="8678" spans="1:4" x14ac:dyDescent="0.3">
      <c r="A8678" s="1" t="str">
        <f>"60027720300"</f>
        <v>60027720300</v>
      </c>
      <c r="B8678" s="1" t="str">
        <f>"MOHAMUD SALIM SHEIK, SISTERS ACADEMY LLC, 1680 PROPERTYS LLC, ISSE AHMED A"</f>
        <v>MOHAMUD SALIM SHEIK, SISTERS ACADEMY LLC, 1680 PROPERTYS LLC, ISSE AHMED A</v>
      </c>
      <c r="C8678" s="1" t="str">
        <f>"NORTHSTONE OFFICE CONDOMINIUM UNIT 1680"</f>
        <v>NORTHSTONE OFFICE CONDOMINIUM UNIT 1680</v>
      </c>
      <c r="D8678" s="1">
        <v>3976.16</v>
      </c>
    </row>
    <row r="8679" spans="1:4" x14ac:dyDescent="0.3">
      <c r="A8679" s="1" t="str">
        <f>"14000495200"</f>
        <v>14000495200</v>
      </c>
      <c r="B8679" s="1" t="str">
        <f>"MOHAMUD SHEIKH FADUMA"</f>
        <v>MOHAMUD SHEIKH FADUMA</v>
      </c>
      <c r="C8679" s="1" t="str">
        <f>"898 JOYFUL ST ROSARY 2 LOT 35-6 BLK 8"</f>
        <v>898 JOYFUL ST ROSARY 2 LOT 35-6 BLK 8</v>
      </c>
      <c r="D8679" s="1">
        <v>1689.4</v>
      </c>
    </row>
    <row r="8680" spans="1:4" x14ac:dyDescent="0.3">
      <c r="A8680" s="1" t="str">
        <f>"01002120700"</f>
        <v>01002120700</v>
      </c>
      <c r="B8680" s="1" t="str">
        <f>"MOHAN ADELIA A, ROMAN ASHLEY B"</f>
        <v>MOHAN ADELIA A, ROMAN ASHLEY B</v>
      </c>
      <c r="C8680" s="1" t="str">
        <f>"35 N WARREN AVE WICKLOW 3RD LOT 982"</f>
        <v>35 N WARREN AVE WICKLOW 3RD LOT 982</v>
      </c>
      <c r="D8680" s="1">
        <v>59.86</v>
      </c>
    </row>
    <row r="8681" spans="1:4" x14ac:dyDescent="0.3">
      <c r="A8681" s="1" t="str">
        <f>"01009693200"</f>
        <v>01009693200</v>
      </c>
      <c r="B8681" s="1" t="str">
        <f>"MOHAPATRA CHANDAN"</f>
        <v>MOHAPATRA CHANDAN</v>
      </c>
      <c r="C8681" s="1" t="str">
        <f>"426 BASSWOOD RD ACRES .23 R22T4S10 LOT 6 SEC 17 URP"</f>
        <v>426 BASSWOOD RD ACRES .23 R22T4S10 LOT 6 SEC 17 URP</v>
      </c>
      <c r="D8681" s="1">
        <v>3214.07</v>
      </c>
    </row>
    <row r="8682" spans="1:4" x14ac:dyDescent="0.3">
      <c r="A8682" s="1" t="str">
        <f>"01015585200"</f>
        <v>01015585200</v>
      </c>
      <c r="B8682" s="1" t="str">
        <f>"MOHAPATRA CHANDAN"</f>
        <v>MOHAPATRA CHANDAN</v>
      </c>
      <c r="C8682" s="1" t="str">
        <f>"RUMA ROAD SOUTHERN PINES SEC NO 12 LOT 796"</f>
        <v>RUMA ROAD SOUTHERN PINES SEC NO 12 LOT 796</v>
      </c>
      <c r="D8682" s="1">
        <v>3101.53</v>
      </c>
    </row>
    <row r="8683" spans="1:4" x14ac:dyDescent="0.3">
      <c r="A8683" s="1" t="str">
        <f>"04001458800"</f>
        <v>04001458800</v>
      </c>
      <c r="B8683" s="1" t="str">
        <f>"MOHLER JOSEPH"</f>
        <v>MOHLER JOSEPH</v>
      </c>
      <c r="C8683" s="1" t="str">
        <f>"LINDON GROVEPORT RD SOUTHWEST ACRES 1 E 1/2 LOT 3"</f>
        <v>LINDON GROVEPORT RD SOUTHWEST ACRES 1 E 1/2 LOT 3</v>
      </c>
      <c r="D8683" s="1">
        <v>6528.36</v>
      </c>
    </row>
    <row r="8684" spans="1:4" x14ac:dyDescent="0.3">
      <c r="A8684" s="1" t="str">
        <f>"01011964700"</f>
        <v>01011964700</v>
      </c>
      <c r="B8684" s="1" t="str">
        <f>"MOHLER RICHARD HARLEY"</f>
        <v>MOHLER RICHARD HARLEY</v>
      </c>
      <c r="C8684" s="1" t="str">
        <f>"HILLGATE RD. HILLGATE LOT 65"</f>
        <v>HILLGATE RD. HILLGATE LOT 65</v>
      </c>
      <c r="D8684" s="1">
        <v>99.69</v>
      </c>
    </row>
    <row r="8685" spans="1:4" x14ac:dyDescent="0.3">
      <c r="A8685" s="1" t="str">
        <f>"04000466800"</f>
        <v>04000466800</v>
      </c>
      <c r="B8685" s="1" t="str">
        <f>"MOHR JOAN H"</f>
        <v>MOHR JOAN H</v>
      </c>
      <c r="C8685" s="1" t="str">
        <f>"2257 SALEM AVENUE PARK RIDGE NO 3 LOT 105"</f>
        <v>2257 SALEM AVENUE PARK RIDGE NO 3 LOT 105</v>
      </c>
      <c r="D8685" s="1">
        <v>4379.88</v>
      </c>
    </row>
    <row r="8686" spans="1:4" x14ac:dyDescent="0.3">
      <c r="A8686" s="1" t="str">
        <f>"13000216600"</f>
        <v>13000216600</v>
      </c>
      <c r="B8686" s="1" t="str">
        <f>"MOHR MORGAN"</f>
        <v>MOHR MORGAN</v>
      </c>
      <c r="C8686" s="1" t="str">
        <f>"SALE ROAD NORTH LINDEN 3 67 "</f>
        <v xml:space="preserve">SALE ROAD NORTH LINDEN 3 67 </v>
      </c>
      <c r="D8686" s="1">
        <v>616.16999999999996</v>
      </c>
    </row>
    <row r="8687" spans="1:4" x14ac:dyDescent="0.3">
      <c r="A8687" s="1" t="str">
        <f>"07001162400"</f>
        <v>07001162400</v>
      </c>
      <c r="B8687" s="1" t="str">
        <f>"MOINZADEH MARYAM TR"</f>
        <v>MOINZADEH MARYAM TR</v>
      </c>
      <c r="C8687" s="1" t="str">
        <f>"1487 LANGSTON DRIVE REEDBURY ADD EXT 3 LOT 34"</f>
        <v>1487 LANGSTON DRIVE REEDBURY ADD EXT 3 LOT 34</v>
      </c>
      <c r="D8687" s="1">
        <v>6696.92</v>
      </c>
    </row>
    <row r="8688" spans="1:4" x14ac:dyDescent="0.3">
      <c r="A8688" s="1" t="str">
        <f>"01012452900"</f>
        <v>01012452900</v>
      </c>
      <c r="B8688" s="1" t="str">
        <f>"MOJICA EDGAR"</f>
        <v>MOJICA EDGAR</v>
      </c>
      <c r="C8688" s="1" t="str">
        <f>"SHADY LANE RD WALNUT VILLAGE 2 LOT 166"</f>
        <v>SHADY LANE RD WALNUT VILLAGE 2 LOT 166</v>
      </c>
      <c r="D8688" s="1">
        <v>1438.81</v>
      </c>
    </row>
    <row r="8689" spans="1:4" x14ac:dyDescent="0.3">
      <c r="A8689" s="1" t="str">
        <f>"01012790600"</f>
        <v>01012790600</v>
      </c>
      <c r="B8689" s="1" t="str">
        <f>"MOJICA ZULMA"</f>
        <v>MOJICA ZULMA</v>
      </c>
      <c r="C8689" s="1" t="str">
        <f>"BERWYN LOT 32 "</f>
        <v xml:space="preserve">BERWYN LOT 32 </v>
      </c>
      <c r="D8689" s="1">
        <v>2959.13</v>
      </c>
    </row>
    <row r="8690" spans="1:4" x14ac:dyDescent="0.3">
      <c r="A8690" s="1" t="str">
        <f>"01002837900"</f>
        <v>01002837900</v>
      </c>
      <c r="B8690" s="1" t="str">
        <f>"MOKHTAR MEDHAT"</f>
        <v>MOKHTAR MEDHAT</v>
      </c>
      <c r="C8690" s="1" t="str">
        <f>"2721 E FIFTH AVE P H CASSADY PARCELS LOT 3 EX RECT SEC NS"</f>
        <v>2721 E FIFTH AVE P H CASSADY PARCELS LOT 3 EX RECT SEC NS</v>
      </c>
      <c r="D8690" s="1">
        <v>151.03</v>
      </c>
    </row>
    <row r="8691" spans="1:4" x14ac:dyDescent="0.3">
      <c r="A8691" s="1" t="str">
        <f>"01006822300"</f>
        <v>01006822300</v>
      </c>
      <c r="B8691" s="1" t="str">
        <f>"MOKHTAR MEDHAT"</f>
        <v>MOKHTAR MEDHAT</v>
      </c>
      <c r="C8691" s="1" t="str">
        <f>"FIFTH AVE P H CASSADY PARCELS LOT 1 EX IRR SEC NS"</f>
        <v>FIFTH AVE P H CASSADY PARCELS LOT 1 EX IRR SEC NS</v>
      </c>
      <c r="D8691" s="1">
        <v>215.64</v>
      </c>
    </row>
    <row r="8692" spans="1:4" x14ac:dyDescent="0.3">
      <c r="A8692" s="1" t="str">
        <f>"01006640500"</f>
        <v>01006640500</v>
      </c>
      <c r="B8692" s="1" t="str">
        <f>"MOKHTAR MEDHAT"</f>
        <v>MOKHTAR MEDHAT</v>
      </c>
      <c r="C8692" s="1" t="str">
        <f>"FIFTH AVE P H CASSADY PARCELS LOT 2 EX RECT SEC NS"</f>
        <v>FIFTH AVE P H CASSADY PARCELS LOT 2 EX RECT SEC NS</v>
      </c>
      <c r="D8692" s="1">
        <v>266.74</v>
      </c>
    </row>
    <row r="8693" spans="1:4" x14ac:dyDescent="0.3">
      <c r="A8693" s="1" t="str">
        <f>"01002716100"</f>
        <v>01002716100</v>
      </c>
      <c r="B8693" s="1" t="str">
        <f>"MOKHTAR MEDHAT TR"</f>
        <v>MOKHTAR MEDHAT TR</v>
      </c>
      <c r="C8693" s="1" t="str">
        <f>"2731 E 5TH AVE P H CASSADY PARCELS LOTS 5 &amp; 6 EX NE"</f>
        <v>2731 E 5TH AVE P H CASSADY PARCELS LOTS 5 &amp; 6 EX NE</v>
      </c>
      <c r="D8693" s="1">
        <v>1082.95</v>
      </c>
    </row>
    <row r="8694" spans="1:4" x14ac:dyDescent="0.3">
      <c r="A8694" s="1" t="str">
        <f>"22200530100"</f>
        <v>22200530100</v>
      </c>
      <c r="B8694" s="1" t="str">
        <f>"MOKHTARI ALVAND, LANTSMAN CHRISTINA"</f>
        <v>MOKHTARI ALVAND, LANTSMAN CHRISTINA</v>
      </c>
      <c r="C8694" s="1" t="str">
        <f>"WOODHAVEN LOT 10 "</f>
        <v xml:space="preserve">WOODHAVEN LOT 10 </v>
      </c>
      <c r="D8694" s="1">
        <v>3184.46</v>
      </c>
    </row>
    <row r="8695" spans="1:4" x14ac:dyDescent="0.3">
      <c r="A8695" s="1" t="str">
        <f>"01002933600"</f>
        <v>01002933600</v>
      </c>
      <c r="B8695" s="1" t="str">
        <f>"MOLLICA FUNDS LLC"</f>
        <v>MOLLICA FUNDS LLC</v>
      </c>
      <c r="C8695" s="1" t="str">
        <f>"1466 CLARA ST DAVIES CENTENNIAL PK LOT 10"</f>
        <v>1466 CLARA ST DAVIES CENTENNIAL PK LOT 10</v>
      </c>
      <c r="D8695" s="1">
        <v>751.28</v>
      </c>
    </row>
    <row r="8696" spans="1:4" x14ac:dyDescent="0.3">
      <c r="A8696" s="1" t="str">
        <f>"07001141600"</f>
        <v>07001141600</v>
      </c>
      <c r="B8696" s="1" t="str">
        <f>"MOLLICA JOSEPH P, MOLLICA LINDA S"</f>
        <v>MOLLICA JOSEPH P, MOLLICA LINDA S</v>
      </c>
      <c r="C8696" s="1" t="str">
        <f>"1376 CASTLETON RD N KNOLLS ARLINGTON SEC 4 LOT 40"</f>
        <v>1376 CASTLETON RD N KNOLLS ARLINGTON SEC 4 LOT 40</v>
      </c>
      <c r="D8696" s="1">
        <v>6049.89</v>
      </c>
    </row>
    <row r="8697" spans="1:4" x14ac:dyDescent="0.3">
      <c r="A8697" s="1" t="str">
        <f>"01008451700"</f>
        <v>01008451700</v>
      </c>
      <c r="B8697" s="1" t="str">
        <f>"MOLONEY WILLIAM TOD"</f>
        <v>MOLONEY WILLIAM TOD</v>
      </c>
      <c r="C8697" s="1" t="str">
        <f>"BEAUMONT RD HIGHLAND GARDENS LOT 67"</f>
        <v>BEAUMONT RD HIGHLAND GARDENS LOT 67</v>
      </c>
      <c r="D8697" s="1">
        <v>2722.78</v>
      </c>
    </row>
    <row r="8698" spans="1:4" x14ac:dyDescent="0.3">
      <c r="A8698" s="1" t="str">
        <f>"01007199700"</f>
        <v>01007199700</v>
      </c>
      <c r="B8698" s="1" t="str">
        <f>"MOLONEY WILLIAM TOD"</f>
        <v>MOLONEY WILLIAM TOD</v>
      </c>
      <c r="C8698" s="1" t="str">
        <f>"SHARON AVE 55FT MID PT LOT 108- 109 GLENMOUNT"</f>
        <v>SHARON AVE 55FT MID PT LOT 108- 109 GLENMOUNT</v>
      </c>
      <c r="D8698" s="1">
        <v>2382.46</v>
      </c>
    </row>
    <row r="8699" spans="1:4" x14ac:dyDescent="0.3">
      <c r="A8699" s="1" t="str">
        <f>"27300173100"</f>
        <v>27300173100</v>
      </c>
      <c r="B8699" s="1" t="str">
        <f>"MOLONEY WILLIAM TOD"</f>
        <v>MOLONEY WILLIAM TOD</v>
      </c>
      <c r="C8699" s="1" t="str">
        <f>"ACRES 1.049 ENTRY 2418 "</f>
        <v xml:space="preserve">ACRES 1.049 ENTRY 2418 </v>
      </c>
      <c r="D8699" s="1">
        <v>4927.67</v>
      </c>
    </row>
    <row r="8700" spans="1:4" x14ac:dyDescent="0.3">
      <c r="A8700" s="1" t="str">
        <f>"04000197800"</f>
        <v>04000197800</v>
      </c>
      <c r="B8700" s="1" t="str">
        <f>"MONAGHAN JACK M, MONAGHAN LOIS K"</f>
        <v>MONAGHAN JACK M, MONAGHAN LOIS K</v>
      </c>
      <c r="C8700" s="1" t="str">
        <f>"3076 KINGSTON AVE CARBROCK 2 "</f>
        <v xml:space="preserve">3076 KINGSTON AVE CARBROCK 2 </v>
      </c>
      <c r="D8700" s="1">
        <v>1398.69</v>
      </c>
    </row>
    <row r="8701" spans="1:4" x14ac:dyDescent="0.3">
      <c r="A8701" s="1" t="str">
        <f>"01002513800"</f>
        <v>01002513800</v>
      </c>
      <c r="B8701" s="1" t="str">
        <f>"MONCADA BALBINO RODRIGUEZ CUSTODIAN"</f>
        <v>MONCADA BALBINO RODRIGUEZ CUSTODIAN</v>
      </c>
      <c r="C8701" s="1" t="str">
        <f>"NASHOBA AVE GLENWOOD HTS LOT233"</f>
        <v>NASHOBA AVE GLENWOOD HTS LOT233</v>
      </c>
      <c r="D8701" s="1">
        <v>73.95</v>
      </c>
    </row>
    <row r="8702" spans="1:4" x14ac:dyDescent="0.3">
      <c r="A8702" s="1" t="str">
        <f>"01015309700"</f>
        <v>01015309700</v>
      </c>
      <c r="B8702" s="1" t="str">
        <f>"MONCRIEF JOYCE A"</f>
        <v>MONCRIEF JOYCE A</v>
      </c>
      <c r="C8702" s="1" t="str">
        <f>"EDENBURGH DR S BRITTANY HILLS SEC 2 LOT 144"</f>
        <v>EDENBURGH DR S BRITTANY HILLS SEC 2 LOT 144</v>
      </c>
      <c r="D8702" s="1">
        <v>586.01</v>
      </c>
    </row>
    <row r="8703" spans="1:4" x14ac:dyDescent="0.3">
      <c r="A8703" s="1" t="str">
        <f>"24000036700"</f>
        <v>24000036700</v>
      </c>
      <c r="B8703" s="1" t="str">
        <f>"MONDRAGON GARCIA ARTURO"</f>
        <v>MONDRAGON GARCIA ARTURO</v>
      </c>
      <c r="C8703" s="1" t="str">
        <f>"SMITH AVE 77 FTNS LITTLE FARMS L 5"</f>
        <v>SMITH AVE 77 FTNS LITTLE FARMS L 5</v>
      </c>
      <c r="D8703" s="1">
        <v>205.91</v>
      </c>
    </row>
    <row r="8704" spans="1:4" x14ac:dyDescent="0.3">
      <c r="A8704" s="1" t="str">
        <f>"60016906200"</f>
        <v>60016906200</v>
      </c>
      <c r="B8704" s="1" t="str">
        <f>"MONEBRAKE JODIE"</f>
        <v>MONEBRAKE JODIE</v>
      </c>
      <c r="C8704" s="1" t="str">
        <f>"CHIPPEWILL CONDM STAGE II BLDG 48 UNIT 2"</f>
        <v>CHIPPEWILL CONDM STAGE II BLDG 48 UNIT 2</v>
      </c>
      <c r="D8704" s="1">
        <v>205.59</v>
      </c>
    </row>
    <row r="8705" spans="1:4" x14ac:dyDescent="0.3">
      <c r="A8705" s="1" t="str">
        <f>"57015392000"</f>
        <v>57015392000</v>
      </c>
      <c r="B8705" s="1" t="str">
        <f>"MONESI ADRIAN"</f>
        <v>MONESI ADRIAN</v>
      </c>
      <c r="C8705" s="1" t="str">
        <f>"RIVERPOINT COURT RIVER BEND SEC 4 LOT 337"</f>
        <v>RIVERPOINT COURT RIVER BEND SEC 4 LOT 337</v>
      </c>
      <c r="D8705" s="1">
        <v>2687.66</v>
      </c>
    </row>
    <row r="8706" spans="1:4" x14ac:dyDescent="0.3">
      <c r="A8706" s="1" t="str">
        <f>"01002778800"</f>
        <v>01002778800</v>
      </c>
      <c r="B8706" s="1" t="str">
        <f>"MONEY TEAM COLUMBUS LLC"</f>
        <v>MONEY TEAM COLUMBUS LLC</v>
      </c>
      <c r="C8706" s="1" t="str">
        <f>"OLENTANGY RIVER RD WM NEIL EXRS LOT 8"</f>
        <v>OLENTANGY RIVER RD WM NEIL EXRS LOT 8</v>
      </c>
      <c r="D8706" s="1">
        <v>28077.25</v>
      </c>
    </row>
    <row r="8707" spans="1:4" x14ac:dyDescent="0.3">
      <c r="A8707" s="1" t="str">
        <f>"01009058100"</f>
        <v>01009058100</v>
      </c>
      <c r="B8707" s="1" t="str">
        <f>"MONK SAMUEL C"</f>
        <v>MONK SAMUEL C</v>
      </c>
      <c r="C8707" s="1" t="str">
        <f>"1051 JAMES RD EASTMINSTER LOT 358"</f>
        <v>1051 JAMES RD EASTMINSTER LOT 358</v>
      </c>
      <c r="D8707" s="1">
        <v>699.47</v>
      </c>
    </row>
    <row r="8708" spans="1:4" x14ac:dyDescent="0.3">
      <c r="A8708" s="1" t="str">
        <f>"07001438400"</f>
        <v>07001438400</v>
      </c>
      <c r="B8708" s="1" t="str">
        <f>"MONNIER CHRISTINA"</f>
        <v>MONNIER CHRISTINA</v>
      </c>
      <c r="C8708" s="1" t="str">
        <f>"1994 SUFFOLK ROAD CONDOMINIUM UNIT 2"</f>
        <v>1994 SUFFOLK ROAD CONDOMINIUM UNIT 2</v>
      </c>
      <c r="D8708" s="1">
        <v>272</v>
      </c>
    </row>
    <row r="8709" spans="1:4" x14ac:dyDescent="0.3">
      <c r="A8709" s="1" t="str">
        <f>"01001894200"</f>
        <v>01001894200</v>
      </c>
      <c r="B8709" s="1" t="str">
        <f>"MONROE ARTHUR L, MONROE BARBARA J"</f>
        <v>MONROE ARTHUR L, MONROE BARBARA J</v>
      </c>
      <c r="C8709" s="1" t="str">
        <f>"OAK SPRING STREET CONCORD SECTION 1 LOT 3 &amp; PT LOT 4"</f>
        <v>OAK SPRING STREET CONCORD SECTION 1 LOT 3 &amp; PT LOT 4</v>
      </c>
      <c r="D8709" s="1">
        <v>3268.86</v>
      </c>
    </row>
    <row r="8710" spans="1:4" x14ac:dyDescent="0.3">
      <c r="A8710" s="1" t="str">
        <f>"15000055000"</f>
        <v>15000055000</v>
      </c>
      <c r="B8710" s="1" t="str">
        <f>"MONROE HESTER M"</f>
        <v>MONROE HESTER M</v>
      </c>
      <c r="C8710" s="1" t="str">
        <f>"1960 DAVIS AVE WALNUT HTS LOT 152 &amp; W 1/2 LOT 153"</f>
        <v>1960 DAVIS AVE WALNUT HTS LOT 152 &amp; W 1/2 LOT 153</v>
      </c>
      <c r="D8710" s="1">
        <v>2279.3200000000002</v>
      </c>
    </row>
    <row r="8711" spans="1:4" x14ac:dyDescent="0.3">
      <c r="A8711" s="1" t="str">
        <f>"01003644500"</f>
        <v>01003644500</v>
      </c>
      <c r="B8711" s="1" t="str">
        <f>"MONROY ENRIQUE, MONROY JESSICA"</f>
        <v>MONROY ENRIQUE, MONROY JESSICA</v>
      </c>
      <c r="C8711" s="1" t="str">
        <f>"86 N BURGESS AVE CLAHANE HIGH PARK LOT 25-26"</f>
        <v>86 N BURGESS AVE CLAHANE HIGH PARK LOT 25-26</v>
      </c>
      <c r="D8711" s="1">
        <v>1020.12</v>
      </c>
    </row>
    <row r="8712" spans="1:4" x14ac:dyDescent="0.3">
      <c r="A8712" s="1" t="str">
        <f>"01006406400"</f>
        <v>01006406400</v>
      </c>
      <c r="B8712" s="1" t="str">
        <f>"MONROY FANNY SILVA"</f>
        <v>MONROY FANNY SILVA</v>
      </c>
      <c r="C8712" s="1" t="str">
        <f>"343 S*POWELL AVE CAMP CHASE HTS LOT 280"</f>
        <v>343 S*POWELL AVE CAMP CHASE HTS LOT 280</v>
      </c>
      <c r="D8712" s="1">
        <v>3199.88</v>
      </c>
    </row>
    <row r="8713" spans="1:4" x14ac:dyDescent="0.3">
      <c r="A8713" s="1" t="str">
        <f>"01005938100"</f>
        <v>01005938100</v>
      </c>
      <c r="B8713" s="1" t="str">
        <f>"MONROY SERGIO BLANCAS, ESQUEDA MARTA CORNEJO"</f>
        <v>MONROY SERGIO BLANCAS, ESQUEDA MARTA CORNEJO</v>
      </c>
      <c r="C8713" s="1" t="str">
        <f>"1532 ARLINGTON AVE WALDON LOT 29-30"</f>
        <v>1532 ARLINGTON AVE WALDON LOT 29-30</v>
      </c>
      <c r="D8713" s="1">
        <v>2931.82</v>
      </c>
    </row>
    <row r="8714" spans="1:4" x14ac:dyDescent="0.3">
      <c r="A8714" s="1" t="str">
        <f>"14300007800"</f>
        <v>14300007800</v>
      </c>
      <c r="B8714" s="1" t="str">
        <f>"MONSON BRYCE A, MONSON CHRISTY C"</f>
        <v>MONSON BRYCE A, MONSON CHRISTY C</v>
      </c>
      <c r="C8714" s="1" t="str">
        <f>"1370 CAMBRIDGE BLVD CAMBRIDGE PLACE LOT 37"</f>
        <v>1370 CAMBRIDGE BLVD CAMBRIDGE PLACE LOT 37</v>
      </c>
      <c r="D8714" s="1">
        <v>997.65</v>
      </c>
    </row>
    <row r="8715" spans="1:4" x14ac:dyDescent="0.3">
      <c r="A8715" s="1" t="str">
        <f>"01016210600"</f>
        <v>01016210600</v>
      </c>
      <c r="B8715" s="1" t="str">
        <f>"MONTANO JUAN MANUEL"</f>
        <v>MONTANO JUAN MANUEL</v>
      </c>
      <c r="C8715" s="1" t="str">
        <f>"ALICE RITA STREET ALICE RITA LOT 13"</f>
        <v>ALICE RITA STREET ALICE RITA LOT 13</v>
      </c>
      <c r="D8715" s="1">
        <v>1802.45</v>
      </c>
    </row>
    <row r="8716" spans="1:4" x14ac:dyDescent="0.3">
      <c r="A8716" s="1" t="str">
        <f>"01006545200"</f>
        <v>01006545200</v>
      </c>
      <c r="B8716" s="1" t="str">
        <f>"MONTEGO BAY INVESTMENTS LLC"</f>
        <v>MONTEGO BAY INVESTMENTS LLC</v>
      </c>
      <c r="C8716" s="1" t="str">
        <f>"S.OAKLEY AVE. EDGEWOOD PLC. LOT15"</f>
        <v>S.OAKLEY AVE. EDGEWOOD PLC. LOT15</v>
      </c>
      <c r="D8716" s="1">
        <v>763.82</v>
      </c>
    </row>
    <row r="8717" spans="1:4" x14ac:dyDescent="0.3">
      <c r="A8717" s="1" t="str">
        <f>"01003037900"</f>
        <v>01003037900</v>
      </c>
      <c r="B8717" s="1" t="str">
        <f>"MONTEGO BAY INVESTMENTS LLC"</f>
        <v>MONTEGO BAY INVESTMENTS LLC</v>
      </c>
      <c r="C8717" s="1" t="str">
        <f>"397 S WHEATLAND AVE ARLINGTON LOT 126"</f>
        <v>397 S WHEATLAND AVE ARLINGTON LOT 126</v>
      </c>
      <c r="D8717" s="1">
        <v>1126.6300000000001</v>
      </c>
    </row>
    <row r="8718" spans="1:4" x14ac:dyDescent="0.3">
      <c r="A8718" s="1" t="str">
        <f>"01002499400"</f>
        <v>01002499400</v>
      </c>
      <c r="B8718" s="1" t="str">
        <f>"MONTEMAYOR JON D, MONTEMAYOR KATHLEEN A"</f>
        <v>MONTEMAYOR JON D, MONTEMAYOR KATHLEEN A</v>
      </c>
      <c r="C8718" s="1" t="str">
        <f>"1344 EASTWOOD AVE EASTWOOD HTS LOT 52"</f>
        <v>1344 EASTWOOD AVE EASTWOOD HTS LOT 52</v>
      </c>
      <c r="D8718" s="1">
        <v>3654.61</v>
      </c>
    </row>
    <row r="8719" spans="1:4" x14ac:dyDescent="0.3">
      <c r="A8719" s="1" t="str">
        <f>"01004842700"</f>
        <v>01004842700</v>
      </c>
      <c r="B8719" s="1" t="str">
        <f>"MONTENEGRO MELVIN"</f>
        <v>MONTENEGRO MELVIN</v>
      </c>
      <c r="C8719" s="1" t="str">
        <f>"945 15TH AVE DREXEL PARK LOT 172"</f>
        <v>945 15TH AVE DREXEL PARK LOT 172</v>
      </c>
      <c r="D8719" s="1">
        <v>1070</v>
      </c>
    </row>
    <row r="8720" spans="1:4" x14ac:dyDescent="0.3">
      <c r="A8720" s="1" t="str">
        <f>"01009312300"</f>
        <v>01009312300</v>
      </c>
      <c r="B8720" s="1" t="str">
        <f>"MONTERROZA FIGUEROA ELMER S"</f>
        <v>MONTERROZA FIGUEROA ELMER S</v>
      </c>
      <c r="C8720" s="1" t="str">
        <f>"JAMES RD MAYFAIR LOT 44"</f>
        <v>JAMES RD MAYFAIR LOT 44</v>
      </c>
      <c r="D8720" s="1">
        <v>1392.05</v>
      </c>
    </row>
    <row r="8721" spans="1:4" x14ac:dyDescent="0.3">
      <c r="A8721" s="1" t="str">
        <f>"57016849700"</f>
        <v>57016849700</v>
      </c>
      <c r="B8721" s="1" t="str">
        <f>"MONTES NOEL, MARTINEZ MARIBEL"</f>
        <v>MONTES NOEL, MARTINEZ MARIBEL</v>
      </c>
      <c r="C8721" s="1" t="str">
        <f>"651 DEXTER AVE BURNSIDE HTS LOT 62"</f>
        <v>651 DEXTER AVE BURNSIDE HTS LOT 62</v>
      </c>
      <c r="D8721" s="1">
        <v>72.37</v>
      </c>
    </row>
    <row r="8722" spans="1:4" x14ac:dyDescent="0.3">
      <c r="A8722" s="1" t="str">
        <f>"02000047700"</f>
        <v>02000047700</v>
      </c>
      <c r="B8722" s="1" t="str">
        <f>"MONTGOMERY CURTIS, DEARDURFF MARIE KAY"</f>
        <v>MONTGOMERY CURTIS, DEARDURFF MARIE KAY</v>
      </c>
      <c r="C8722" s="1" t="str">
        <f>"2774 BELLWOOD AVE BELLWOOD LOT 515"</f>
        <v>2774 BELLWOOD AVE BELLWOOD LOT 515</v>
      </c>
      <c r="D8722" s="1">
        <v>2111.58</v>
      </c>
    </row>
    <row r="8723" spans="1:4" x14ac:dyDescent="0.3">
      <c r="A8723" s="1" t="str">
        <f>"61017702600"</f>
        <v>61017702600</v>
      </c>
      <c r="B8723" s="1" t="str">
        <f>"MONTGOMERY ERIC R, MONTGOMERY KIM R"</f>
        <v>MONTGOMERY ERIC R, MONTGOMERY KIM R</v>
      </c>
      <c r="C8723" s="1" t="str">
        <f>"SAMBERLY RD OLDE SAWMILL SEC 5 LOT 451"</f>
        <v>SAMBERLY RD OLDE SAWMILL SEC 5 LOT 451</v>
      </c>
      <c r="D8723" s="1">
        <v>1000</v>
      </c>
    </row>
    <row r="8724" spans="1:4" x14ac:dyDescent="0.3">
      <c r="A8724" s="1" t="str">
        <f>"01011249600"</f>
        <v>01011249600</v>
      </c>
      <c r="B8724" s="1" t="str">
        <f>"MONTONEY AMIE"</f>
        <v>MONTONEY AMIE</v>
      </c>
      <c r="C8724" s="1" t="str">
        <f>"WATKINS RD ACRES 1.990 R22 T4 S 1-12"</f>
        <v>WATKINS RD ACRES 1.990 R22 T4 S 1-12</v>
      </c>
      <c r="D8724" s="1">
        <v>2322.91</v>
      </c>
    </row>
    <row r="8725" spans="1:4" x14ac:dyDescent="0.3">
      <c r="A8725" s="1" t="str">
        <f>"01011283000"</f>
        <v>01011283000</v>
      </c>
      <c r="B8725" s="1" t="str">
        <f>"MONTOYA CANDIDO"</f>
        <v>MONTOYA CANDIDO</v>
      </c>
      <c r="C8725" s="1" t="str">
        <f>"SMITH RD R22 T5 S26 1/2S39 0.955 ACRE"</f>
        <v>SMITH RD R22 T5 S26 1/2S39 0.955 ACRE</v>
      </c>
      <c r="D8725" s="1">
        <v>3661.6</v>
      </c>
    </row>
    <row r="8726" spans="1:4" x14ac:dyDescent="0.3">
      <c r="A8726" s="1" t="str">
        <f>"27300903900"</f>
        <v>27300903900</v>
      </c>
      <c r="B8726" s="1" t="str">
        <f>"MONTOYA FRANK, MONTOYA MERRIGRACE"</f>
        <v>MONTOYA FRANK, MONTOYA MERRIGRACE</v>
      </c>
      <c r="C8726" s="1" t="str">
        <f>"VILLAGE AT INVERNESS CONDO 3RD AMD UNIT 3927"</f>
        <v>VILLAGE AT INVERNESS CONDO 3RD AMD UNIT 3927</v>
      </c>
      <c r="D8726" s="1">
        <v>7374.33</v>
      </c>
    </row>
    <row r="8727" spans="1:4" x14ac:dyDescent="0.3">
      <c r="A8727" s="1" t="str">
        <f>"24000464100"</f>
        <v>24000464100</v>
      </c>
      <c r="B8727" s="1" t="str">
        <f>"MONTOYA HERNANDEZ MARGARITA"</f>
        <v>MONTOYA HERNANDEZ MARGARITA</v>
      </c>
      <c r="C8727" s="1" t="str">
        <f>"CELINA RD LINCOLN VILLAGE S LOT 478"</f>
        <v>CELINA RD LINCOLN VILLAGE S LOT 478</v>
      </c>
      <c r="D8727" s="1">
        <v>1370.66</v>
      </c>
    </row>
    <row r="8728" spans="1:4" x14ac:dyDescent="0.3">
      <c r="A8728" s="1" t="str">
        <f>"01012215700"</f>
        <v>01012215700</v>
      </c>
      <c r="B8728" s="1" t="str">
        <f>"MONTOYA LOPEZ KAREN"</f>
        <v>MONTOYA LOPEZ KAREN</v>
      </c>
      <c r="C8728" s="1" t="str">
        <f>"GEORGIAN DR 21FT NS 29&amp;38FT SS 30 GEOGN HTS LOT 29-30"</f>
        <v>GEORGIAN DR 21FT NS 29&amp;38FT SS 30 GEOGN HTS LOT 29-30</v>
      </c>
      <c r="D8728" s="1">
        <v>1229.83</v>
      </c>
    </row>
    <row r="8729" spans="1:4" x14ac:dyDescent="0.3">
      <c r="A8729" s="1" t="str">
        <f>"01010147400"</f>
        <v>01010147400</v>
      </c>
      <c r="B8729" s="1" t="str">
        <f>"MONTOYA VERONICA"</f>
        <v>MONTOYA VERONICA</v>
      </c>
      <c r="C8729" s="1" t="str">
        <f>"VILARDO LANE VILARDO AMD PT LOTS 5 &amp; 6"</f>
        <v>VILARDO LANE VILARDO AMD PT LOTS 5 &amp; 6</v>
      </c>
      <c r="D8729" s="1">
        <v>2795.33</v>
      </c>
    </row>
    <row r="8730" spans="1:4" x14ac:dyDescent="0.3">
      <c r="A8730" s="1" t="str">
        <f>"52028756700"</f>
        <v>52028756700</v>
      </c>
      <c r="B8730" s="1" t="str">
        <f>"MOO MOO EAST BROAD LLC"</f>
        <v>MOO MOO EAST BROAD LLC</v>
      </c>
      <c r="C8730" s="1" t="str">
        <f>"E BROAD ST                R16 T1 1/4T3              1.170 ACRES              "</f>
        <v xml:space="preserve">E BROAD ST                R16 T1 1/4T3              1.170 ACRES              </v>
      </c>
      <c r="D8730" s="1">
        <v>23053.19</v>
      </c>
    </row>
    <row r="8731" spans="1:4" x14ac:dyDescent="0.3">
      <c r="A8731" s="1" t="str">
        <f>"01004436400"</f>
        <v>01004436400</v>
      </c>
      <c r="B8731" s="1" t="str">
        <f>"MOOBERRY LLC"</f>
        <v>MOOBERRY LLC</v>
      </c>
      <c r="C8731" s="1" t="str">
        <f>"MOOBERRY ST WILLIAM R. KENT'S SECOND ADD LOT 80    32.83' X 152.5'  VACANT LOT"</f>
        <v>MOOBERRY ST WILLIAM R. KENT'S SECOND ADD LOT 80    32.83' X 152.5'  VACANT LOT</v>
      </c>
      <c r="D8731" s="1">
        <v>11.04</v>
      </c>
    </row>
    <row r="8732" spans="1:4" x14ac:dyDescent="0.3">
      <c r="A8732" s="1" t="str">
        <f>"55015621600"</f>
        <v>55015621600</v>
      </c>
      <c r="B8732" s="1" t="str">
        <f>"MOODY JOANNE M"</f>
        <v>MOODY JOANNE M</v>
      </c>
      <c r="C8732" s="1" t="str">
        <f>"MANOR DRIVE IDLEWILD MANOR EXT LOT 80"</f>
        <v>MANOR DRIVE IDLEWILD MANOR EXT LOT 80</v>
      </c>
      <c r="D8732" s="1">
        <v>1449.11</v>
      </c>
    </row>
    <row r="8733" spans="1:4" x14ac:dyDescent="0.3">
      <c r="A8733" s="1" t="str">
        <f>"08000213600"</f>
        <v>08000213600</v>
      </c>
      <c r="B8733" s="1" t="str">
        <f>"MOON CHARLES A TTEE, MOON BRENDA G TTEE"</f>
        <v>MOON CHARLES A TTEE, MOON BRENDA G TTEE</v>
      </c>
      <c r="C8733" s="1" t="str">
        <f>"S STATE ST J C BRIGHT N S LOT 105"</f>
        <v>S STATE ST J C BRIGHT N S LOT 105</v>
      </c>
      <c r="D8733" s="1">
        <v>56.39</v>
      </c>
    </row>
    <row r="8734" spans="1:4" x14ac:dyDescent="0.3">
      <c r="A8734" s="1" t="str">
        <f>"08000002800"</f>
        <v>08000002800</v>
      </c>
      <c r="B8734" s="1" t="str">
        <f>"MOON CHARLES A TTEE, MOON BRENDA G TTEE"</f>
        <v>MOON CHARLES A TTEE, MOON BRENDA G TTEE</v>
      </c>
      <c r="C8734" s="1" t="str">
        <f>"133 S STATE ST J C BRIGHT   LOT 105 81.4' FRT"</f>
        <v>133 S STATE ST J C BRIGHT   LOT 105 81.4' FRT</v>
      </c>
      <c r="D8734" s="1">
        <v>305.89999999999998</v>
      </c>
    </row>
    <row r="8735" spans="1:4" x14ac:dyDescent="0.3">
      <c r="A8735" s="1" t="str">
        <f>"60016958900"</f>
        <v>60016958900</v>
      </c>
      <c r="B8735" s="1" t="str">
        <f>"MOON CHARLES A TTEE, MOON BRENDA G TTEE"</f>
        <v>MOON CHARLES A TTEE, MOON BRENDA G TTEE</v>
      </c>
      <c r="C8735" s="1" t="str">
        <f>"FOREST HILLS BLVD PINEWOOD COLONY LOTS 94-96 EX IRR SE COR"</f>
        <v>FOREST HILLS BLVD PINEWOOD COLONY LOTS 94-96 EX IRR SE COR</v>
      </c>
      <c r="D8735" s="1">
        <v>547.66</v>
      </c>
    </row>
    <row r="8736" spans="1:4" x14ac:dyDescent="0.3">
      <c r="A8736" s="1" t="str">
        <f>"01009242300"</f>
        <v>01009242300</v>
      </c>
      <c r="B8736" s="1" t="str">
        <f>"MOON DEIDRE A"</f>
        <v>MOON DEIDRE A</v>
      </c>
      <c r="C8736" s="1" t="str">
        <f>"12TH AVE CASSADY-PEAKE MEADOWS LOT 182"</f>
        <v>12TH AVE CASSADY-PEAKE MEADOWS LOT 182</v>
      </c>
      <c r="D8736" s="1">
        <v>1135.26</v>
      </c>
    </row>
    <row r="8737" spans="1:4" x14ac:dyDescent="0.3">
      <c r="A8737" s="1" t="str">
        <f>"08000035300"</f>
        <v>08000035300</v>
      </c>
      <c r="B8737" s="1" t="str">
        <f>"MOON PROPERTY MANAGEMENT LLC"</f>
        <v>MOON PROPERTY MANAGEMENT LLC</v>
      </c>
      <c r="C8737" s="1" t="str">
        <f>"93 95 N STATE ST 42 PERCHES "</f>
        <v xml:space="preserve">93 95 N STATE ST 42 PERCHES </v>
      </c>
      <c r="D8737" s="1">
        <v>513.79</v>
      </c>
    </row>
    <row r="8738" spans="1:4" x14ac:dyDescent="0.3">
      <c r="A8738" s="1" t="str">
        <f>"18400033000"</f>
        <v>18400033000</v>
      </c>
      <c r="B8738" s="1" t="str">
        <f>"MOONDESIGN LTD"</f>
        <v>MOONDESIGN LTD</v>
      </c>
      <c r="C8738" s="1" t="str">
        <f>"73 TRINE ST R20 T15 S30 0.185 ACRE"</f>
        <v>73 TRINE ST R20 T15 S30 0.185 ACRE</v>
      </c>
      <c r="D8738" s="1">
        <v>5847.79</v>
      </c>
    </row>
    <row r="8739" spans="1:4" x14ac:dyDescent="0.3">
      <c r="A8739" s="1" t="str">
        <f>"05000353400"</f>
        <v>05000353400</v>
      </c>
      <c r="B8739" s="1" t="str">
        <f>"MOORE ANN R"</f>
        <v>MOORE ANN R</v>
      </c>
      <c r="C8739" s="1" t="str">
        <f>"4951 WALLINGTON DR HAYDEN RUN VIL PHA 5 LOT 175"</f>
        <v>4951 WALLINGTON DR HAYDEN RUN VIL PHA 5 LOT 175</v>
      </c>
      <c r="D8739" s="1">
        <v>2992.22</v>
      </c>
    </row>
    <row r="8740" spans="1:4" x14ac:dyDescent="0.3">
      <c r="A8740" s="1" t="str">
        <f>"12000047700"</f>
        <v>12000047700</v>
      </c>
      <c r="B8740" s="1" t="str">
        <f>"MOORE ANTHONY ROBERT TTEE"</f>
        <v>MOORE ANTHONY ROBERT TTEE</v>
      </c>
      <c r="C8740" s="1" t="str">
        <f>"6999 FEDER RD ENTRY 3445 2.3304 ACRES"</f>
        <v>6999 FEDER RD ENTRY 3445 2.3304 ACRES</v>
      </c>
      <c r="D8740" s="1">
        <v>10172.4</v>
      </c>
    </row>
    <row r="8741" spans="1:4" x14ac:dyDescent="0.3">
      <c r="A8741" s="1" t="str">
        <f>"02501232700"</f>
        <v>02501232700</v>
      </c>
      <c r="B8741" s="1" t="str">
        <f>"MOORE BRAD A, MOORE JO ANN D"</f>
        <v>MOORE BRAD A, MOORE JO ANN D</v>
      </c>
      <c r="C8741" s="1" t="str">
        <f>"PARK AT HARRISON POND VILLAGES AT ROCKY FORK SECTION 11 LOT 385"</f>
        <v>PARK AT HARRISON POND VILLAGES AT ROCKY FORK SECTION 11 LOT 385</v>
      </c>
      <c r="D8741" s="1">
        <v>596.44000000000005</v>
      </c>
    </row>
    <row r="8742" spans="1:4" x14ac:dyDescent="0.3">
      <c r="A8742" s="1" t="str">
        <f>"01009244500"</f>
        <v>01009244500</v>
      </c>
      <c r="B8742" s="1" t="str">
        <f>"MOORE BRENDA"</f>
        <v>MOORE BRENDA</v>
      </c>
      <c r="C8742" s="1" t="str">
        <f>"12TH AVE CASSADY PEAKE MEADOW LOT 204"</f>
        <v>12TH AVE CASSADY PEAKE MEADOW LOT 204</v>
      </c>
      <c r="D8742" s="1">
        <v>1300</v>
      </c>
    </row>
    <row r="8743" spans="1:4" x14ac:dyDescent="0.3">
      <c r="A8743" s="1" t="str">
        <f>"01028041400"</f>
        <v>01028041400</v>
      </c>
      <c r="B8743" s="1" t="str">
        <f>"MOORE BRENT SHAMBLIN"</f>
        <v>MOORE BRENT SHAMBLIN</v>
      </c>
      <c r="C8743" s="1" t="str">
        <f>"THE FALLS AT HAYDEN RUN   CONDOMINIUM 1ST AMD       BLDG 7 UNIT 7-5543       "</f>
        <v xml:space="preserve">THE FALLS AT HAYDEN RUN   CONDOMINIUM 1ST AMD       BLDG 7 UNIT 7-5543       </v>
      </c>
      <c r="D8743" s="1">
        <v>2317.8200000000002</v>
      </c>
    </row>
    <row r="8744" spans="1:4" x14ac:dyDescent="0.3">
      <c r="A8744" s="1" t="str">
        <f>"18500148100"</f>
        <v>18500148100</v>
      </c>
      <c r="B8744" s="1" t="str">
        <f>"MOORE BRIAN K, RUSSELL LYNN A"</f>
        <v>MOORE BRIAN K, RUSSELL LYNN A</v>
      </c>
      <c r="C8744" s="1" t="str">
        <f>"GROVE POINTE DRIVE GROVE POINTE SEC 1 LOT 1"</f>
        <v>GROVE POINTE DRIVE GROVE POINTE SEC 1 LOT 1</v>
      </c>
      <c r="D8744" s="1">
        <v>475.95</v>
      </c>
    </row>
    <row r="8745" spans="1:4" x14ac:dyDescent="0.3">
      <c r="A8745" s="1" t="str">
        <f>"01013609200"</f>
        <v>01013609200</v>
      </c>
      <c r="B8745" s="1" t="str">
        <f>"MOORE CECIL E"</f>
        <v>MOORE CECIL E</v>
      </c>
      <c r="C8745" s="1" t="str">
        <f>"JAMESON DR WALNUT BLUFF 2 LOT 593"</f>
        <v>JAMESON DR WALNUT BLUFF 2 LOT 593</v>
      </c>
      <c r="D8745" s="1">
        <v>1100</v>
      </c>
    </row>
    <row r="8746" spans="1:4" x14ac:dyDescent="0.3">
      <c r="A8746" s="1" t="str">
        <f>"10000522000"</f>
        <v>10000522000</v>
      </c>
      <c r="B8746" s="1" t="str">
        <f>"MOORE CHARLES W, MOORE KAREN K"</f>
        <v>MOORE CHARLES W, MOORE KAREN K</v>
      </c>
      <c r="C8746" s="1" t="str">
        <f>"6793 HIGHLAND PL EAST WORTHINGTON EST LOT 52"</f>
        <v>6793 HIGHLAND PL EAST WORTHINGTON EST LOT 52</v>
      </c>
      <c r="D8746" s="1">
        <v>417.82</v>
      </c>
    </row>
    <row r="8747" spans="1:4" x14ac:dyDescent="0.3">
      <c r="A8747" s="1" t="str">
        <f>"01013037500"</f>
        <v>01013037500</v>
      </c>
      <c r="B8747" s="1" t="str">
        <f>"MOORE CHELSEA, NORRIS JENNIFER"</f>
        <v>MOORE CHELSEA, NORRIS JENNIFER</v>
      </c>
      <c r="C8747" s="1" t="str">
        <f>"6138 ENDICOTT RD KARL MEADOWS LOT 172"</f>
        <v>6138 ENDICOTT RD KARL MEADOWS LOT 172</v>
      </c>
      <c r="D8747" s="1">
        <v>1833</v>
      </c>
    </row>
    <row r="8748" spans="1:4" x14ac:dyDescent="0.3">
      <c r="A8748" s="1" t="str">
        <f>"01003950100"</f>
        <v>01003950100</v>
      </c>
      <c r="B8748" s="1" t="str">
        <f>"MOORE DELORES B"</f>
        <v>MOORE DELORES B</v>
      </c>
      <c r="C8748" s="1" t="str">
        <f>"1366 BERKELEY ROAD BLOOMFIELD HEIGHTS LOT 2 &amp; 1.094 ACRES"</f>
        <v>1366 BERKELEY ROAD BLOOMFIELD HEIGHTS LOT 2 &amp; 1.094 ACRES</v>
      </c>
      <c r="D8748" s="1">
        <v>650</v>
      </c>
    </row>
    <row r="8749" spans="1:4" x14ac:dyDescent="0.3">
      <c r="A8749" s="1" t="str">
        <f>"23000133700"</f>
        <v>23000133700</v>
      </c>
      <c r="B8749" s="1" t="str">
        <f>"MOORE DENNIS L, RUSSELL PAULA M"</f>
        <v>MOORE DENNIS L, RUSSELL PAULA M</v>
      </c>
      <c r="C8749" s="1" t="str">
        <f>"8015 RUSH ST J L MOORE 77'ES RES 5 &amp; 60'VAC ST"</f>
        <v>8015 RUSH ST J L MOORE 77'ES RES 5 &amp; 60'VAC ST</v>
      </c>
      <c r="D8749" s="1">
        <v>4302.58</v>
      </c>
    </row>
    <row r="8750" spans="1:4" x14ac:dyDescent="0.3">
      <c r="A8750" s="1" t="str">
        <f>"57021282900"</f>
        <v>57021282900</v>
      </c>
      <c r="B8750" s="1" t="str">
        <f>"MOORE EARL, MOORE OLA J"</f>
        <v>MOORE EARL, MOORE OLA J</v>
      </c>
      <c r="C8750" s="1" t="str">
        <f>"GINSENG COURT LAUREL GREENE SEC 6 LOT 761"</f>
        <v>GINSENG COURT LAUREL GREENE SEC 6 LOT 761</v>
      </c>
      <c r="D8750" s="1">
        <v>2954.91</v>
      </c>
    </row>
    <row r="8751" spans="1:4" x14ac:dyDescent="0.3">
      <c r="A8751" s="1" t="str">
        <f>"06000794300"</f>
        <v>06000794300</v>
      </c>
      <c r="B8751" s="1" t="str">
        <f>"MOORE GILBERT H III, MOORE JONI LEE"</f>
        <v>MOORE GILBERT H III, MOORE JONI LEE</v>
      </c>
      <c r="C8751" s="1" t="str">
        <f>"7781 REDMAN LANE REDMAN CONDO 5TH AMD BLDG 15 UNIT 7781"</f>
        <v>7781 REDMAN LANE REDMAN CONDO 5TH AMD BLDG 15 UNIT 7781</v>
      </c>
      <c r="D8751" s="1">
        <v>211.83</v>
      </c>
    </row>
    <row r="8752" spans="1:4" x14ac:dyDescent="0.3">
      <c r="A8752" s="1" t="str">
        <f>"57015972000"</f>
        <v>57015972000</v>
      </c>
      <c r="B8752" s="1" t="str">
        <f>"MOORE JAMES A TTEE"</f>
        <v>MOORE JAMES A TTEE</v>
      </c>
      <c r="C8752" s="1" t="str">
        <f>"OAK GALE LANE CHERRY CREEK SEC 2 LOT 135"</f>
        <v>OAK GALE LANE CHERRY CREEK SEC 2 LOT 135</v>
      </c>
      <c r="D8752" s="1">
        <v>883.69</v>
      </c>
    </row>
    <row r="8753" spans="1:4" x14ac:dyDescent="0.3">
      <c r="A8753" s="1" t="str">
        <f>"14000274700"</f>
        <v>14000274700</v>
      </c>
      <c r="B8753" s="1" t="str">
        <f>"MOORE JAMES L, MOORE TRACY L"</f>
        <v>MOORE JAMES L, MOORE TRACY L</v>
      </c>
      <c r="C8753" s="1" t="str">
        <f>"95 COOLIDGE AVE BROADLAWN LOT 36 "</f>
        <v xml:space="preserve">95 COOLIDGE AVE BROADLAWN LOT 36 </v>
      </c>
      <c r="D8753" s="1">
        <v>115.8</v>
      </c>
    </row>
    <row r="8754" spans="1:4" x14ac:dyDescent="0.3">
      <c r="A8754" s="1" t="str">
        <f>"57023495700"</f>
        <v>57023495700</v>
      </c>
      <c r="B8754" s="1" t="str">
        <f>"MOORE JASON, MOORE KATRINA"</f>
        <v>MOORE JASON, MOORE KATRINA</v>
      </c>
      <c r="C8754" s="1" t="str">
        <f>"QUEENS MEADOW LANE KINGSBURY SECTION 2 LOT 138"</f>
        <v>QUEENS MEADOW LANE KINGSBURY SECTION 2 LOT 138</v>
      </c>
      <c r="D8754" s="1">
        <v>1605.48</v>
      </c>
    </row>
    <row r="8755" spans="1:4" x14ac:dyDescent="0.3">
      <c r="A8755" s="1" t="str">
        <f>"16000210500"</f>
        <v>16000210500</v>
      </c>
      <c r="B8755" s="1" t="str">
        <f>"MOORE JESSE D, MOORE NICHOL M"</f>
        <v>MOORE JESSE D, MOORE NICHOL M</v>
      </c>
      <c r="C8755" s="1" t="str">
        <f>"1320 HINER RD ENTRY 1108-6115 9.001 ACRES"</f>
        <v>1320 HINER RD ENTRY 1108-6115 9.001 ACRES</v>
      </c>
      <c r="D8755" s="1">
        <v>627.12</v>
      </c>
    </row>
    <row r="8756" spans="1:4" x14ac:dyDescent="0.3">
      <c r="A8756" s="1" t="str">
        <f>"16000130700"</f>
        <v>16000130700</v>
      </c>
      <c r="B8756" s="1" t="str">
        <f>"MOORE JESSE, MOORE NICHOL"</f>
        <v>MOORE JESSE, MOORE NICHOL</v>
      </c>
      <c r="C8756" s="1" t="str">
        <f>"HINER RD ENTRY 1108-6115 14.222 ACRES"</f>
        <v>HINER RD ENTRY 1108-6115 14.222 ACRES</v>
      </c>
      <c r="D8756" s="1">
        <v>479.51</v>
      </c>
    </row>
    <row r="8757" spans="1:4" x14ac:dyDescent="0.3">
      <c r="A8757" s="1" t="str">
        <f>"01016749000"</f>
        <v>01016749000</v>
      </c>
      <c r="B8757" s="1" t="str">
        <f>"MOORE KAREN D, EATON DARLENE R, EATON STEVEN, EATON JEFFERY B"</f>
        <v>MOORE KAREN D, EATON DARLENE R, EATON STEVEN, EATON JEFFERY B</v>
      </c>
      <c r="C8757" s="1" t="str">
        <f>"2034 JERMAIN DR ARLINGTON PARK AMVET SEC LOT 39"</f>
        <v>2034 JERMAIN DR ARLINGTON PARK AMVET SEC LOT 39</v>
      </c>
      <c r="D8757" s="1">
        <v>734.14</v>
      </c>
    </row>
    <row r="8758" spans="1:4" x14ac:dyDescent="0.3">
      <c r="A8758" s="1" t="str">
        <f>"04001023800"</f>
        <v>04001023800</v>
      </c>
      <c r="B8758" s="1" t="str">
        <f>"MOORE KATHLEEN JOAN"</f>
        <v>MOORE KATHLEEN JOAN</v>
      </c>
      <c r="C8758" s="1" t="str">
        <f>"RAVINE AT QUAIL CREEK CONDOMINIUM 3RD AMD UNIT 15-5778"</f>
        <v>RAVINE AT QUAIL CREEK CONDOMINIUM 3RD AMD UNIT 15-5778</v>
      </c>
      <c r="D8758" s="1">
        <v>190.28</v>
      </c>
    </row>
    <row r="8759" spans="1:4" x14ac:dyDescent="0.3">
      <c r="A8759" s="1" t="str">
        <f>"01016160500"</f>
        <v>01016160500</v>
      </c>
      <c r="B8759" s="1" t="str">
        <f>"MOORE KATHRYN A"</f>
        <v>MOORE KATHRYN A</v>
      </c>
      <c r="C8759" s="1" t="str">
        <f>"WINDING CREEK CONDOMINIUM LOT E-3"</f>
        <v>WINDING CREEK CONDOMINIUM LOT E-3</v>
      </c>
      <c r="D8759" s="1">
        <v>645.70000000000005</v>
      </c>
    </row>
    <row r="8760" spans="1:4" x14ac:dyDescent="0.3">
      <c r="A8760" s="1" t="str">
        <f>"01000235300"</f>
        <v>01000235300</v>
      </c>
      <c r="B8760" s="1" t="str">
        <f>"MOORE KEITH D"</f>
        <v>MOORE KEITH D</v>
      </c>
      <c r="C8760" s="1" t="str">
        <f>"1144 FOREST ST AUBURNDALE LOT 130"</f>
        <v>1144 FOREST ST AUBURNDALE LOT 130</v>
      </c>
      <c r="D8760" s="1">
        <v>4444.2299999999996</v>
      </c>
    </row>
    <row r="8761" spans="1:4" x14ac:dyDescent="0.3">
      <c r="A8761" s="1" t="str">
        <f>"01010835500"</f>
        <v>01010835500</v>
      </c>
      <c r="B8761" s="1" t="str">
        <f>"MOORE KIMBERLY W"</f>
        <v>MOORE KIMBERLY W</v>
      </c>
      <c r="C8761" s="1" t="str">
        <f>"HIGHLAND DR MARBURN SUBD 75'ES LOT 101"</f>
        <v>HIGHLAND DR MARBURN SUBD 75'ES LOT 101</v>
      </c>
      <c r="D8761" s="1">
        <v>60.14</v>
      </c>
    </row>
    <row r="8762" spans="1:4" x14ac:dyDescent="0.3">
      <c r="A8762" s="1" t="str">
        <f>"11000040600"</f>
        <v>11000040600</v>
      </c>
      <c r="B8762" s="1" t="str">
        <f>"MOORE KINGA"</f>
        <v>MOORE KINGA</v>
      </c>
      <c r="C8762" s="1" t="str">
        <f>"WALNUT VIEW BLVD CHILCOTES INGLESIDE 4 BLK D"</f>
        <v>WALNUT VIEW BLVD CHILCOTES INGLESIDE 4 BLK D</v>
      </c>
      <c r="D8762" s="1">
        <v>11.12</v>
      </c>
    </row>
    <row r="8763" spans="1:4" x14ac:dyDescent="0.3">
      <c r="A8763" s="1" t="str">
        <f>"01014796400"</f>
        <v>01014796400</v>
      </c>
      <c r="B8763" s="1" t="str">
        <f>"MOORE MARIA T"</f>
        <v>MOORE MARIA T</v>
      </c>
      <c r="C8763" s="1" t="str">
        <f>"PEBBLE LANE GABLES SOUTH LOT 17"</f>
        <v>PEBBLE LANE GABLES SOUTH LOT 17</v>
      </c>
      <c r="D8763" s="1">
        <v>275.51</v>
      </c>
    </row>
    <row r="8764" spans="1:4" x14ac:dyDescent="0.3">
      <c r="A8764" s="1" t="str">
        <f>"01004216400"</f>
        <v>01004216400</v>
      </c>
      <c r="B8764" s="1" t="str">
        <f>"MOORE MARKEY L"</f>
        <v>MOORE MARKEY L</v>
      </c>
      <c r="C8764" s="1" t="str">
        <f>"1577 RICHMOND AVE SMITHS WOODLAND PK SUB 23"</f>
        <v>1577 RICHMOND AVE SMITHS WOODLAND PK SUB 23</v>
      </c>
      <c r="D8764" s="1">
        <v>2930.84</v>
      </c>
    </row>
    <row r="8765" spans="1:4" x14ac:dyDescent="0.3">
      <c r="A8765" s="1" t="str">
        <f>"60020068000"</f>
        <v>60020068000</v>
      </c>
      <c r="B8765" s="1" t="str">
        <f>"MOORE MI SUK"</f>
        <v>MOORE MI SUK</v>
      </c>
      <c r="C8765" s="1" t="str">
        <f>"TRINDEL WAY PARKRIDGE VIL SEC 4 LOT 598"</f>
        <v>TRINDEL WAY PARKRIDGE VIL SEC 4 LOT 598</v>
      </c>
      <c r="D8765" s="1">
        <v>4295.8100000000004</v>
      </c>
    </row>
    <row r="8766" spans="1:4" x14ac:dyDescent="0.3">
      <c r="A8766" s="1" t="str">
        <f>"61020227400"</f>
        <v>61020227400</v>
      </c>
      <c r="B8766" s="1" t="str">
        <f>"MOORE MICHELE L"</f>
        <v>MOORE MICHELE L</v>
      </c>
      <c r="C8766" s="1" t="str">
        <f>"WORTHINGTON WOODS WEST CONDO 6 UNIT C-4"</f>
        <v>WORTHINGTON WOODS WEST CONDO 6 UNIT C-4</v>
      </c>
      <c r="D8766" s="1">
        <v>4174.12</v>
      </c>
    </row>
    <row r="8767" spans="1:4" x14ac:dyDescent="0.3">
      <c r="A8767" s="1" t="str">
        <f>"01015682000"</f>
        <v>01015682000</v>
      </c>
      <c r="B8767" s="1" t="str">
        <f>"MOORE ROBERT E, MOORE JACQUELINE T"</f>
        <v>MOORE ROBERT E, MOORE JACQUELINE T</v>
      </c>
      <c r="C8767" s="1" t="str">
        <f>"FERNTREE ROAD CUMBERLAND RIDGE SEC 2 LOT 280"</f>
        <v>FERNTREE ROAD CUMBERLAND RIDGE SEC 2 LOT 280</v>
      </c>
      <c r="D8767" s="1">
        <v>234.43</v>
      </c>
    </row>
    <row r="8768" spans="1:4" x14ac:dyDescent="0.3">
      <c r="A8768" s="1" t="str">
        <f>"54524776700"</f>
        <v>54524776700</v>
      </c>
      <c r="B8768" s="1" t="str">
        <f>"MOORE SHARON A"</f>
        <v>MOORE SHARON A</v>
      </c>
      <c r="C8768" s="1" t="str">
        <f>"THE NEW ALBANY VILLAGE CONDOMINIUM 3RD AMD BLDG 1 UNIT 5827"</f>
        <v>THE NEW ALBANY VILLAGE CONDOMINIUM 3RD AMD BLDG 1 UNIT 5827</v>
      </c>
      <c r="D8768" s="1">
        <v>5238.43</v>
      </c>
    </row>
    <row r="8769" spans="1:4" x14ac:dyDescent="0.3">
      <c r="A8769" s="1" t="str">
        <f>"01011035300"</f>
        <v>01011035300</v>
      </c>
      <c r="B8769" s="1" t="str">
        <f>"MOORE STEPHEN J, MOORE LEEANNA"</f>
        <v>MOORE STEPHEN J, MOORE LEEANNA</v>
      </c>
      <c r="C8769" s="1" t="str">
        <f>"LINCOLN AVE &amp; PT AL VAC CHASELAND"</f>
        <v>LINCOLN AVE &amp; PT AL VAC CHASELAND</v>
      </c>
      <c r="D8769" s="1">
        <v>595.66999999999996</v>
      </c>
    </row>
    <row r="8770" spans="1:4" x14ac:dyDescent="0.3">
      <c r="A8770" s="1" t="str">
        <f>"01011043200"</f>
        <v>01011043200</v>
      </c>
      <c r="B8770" s="1" t="str">
        <f>"MOORE STEPHEN J, MOORE LEEANNA"</f>
        <v>MOORE STEPHEN J, MOORE LEEANNA</v>
      </c>
      <c r="C8770" s="1" t="str">
        <f>"LINCOLN AVE CHASELAND LOT 182"</f>
        <v>LINCOLN AVE CHASELAND LOT 182</v>
      </c>
      <c r="D8770" s="1">
        <v>298.33999999999997</v>
      </c>
    </row>
    <row r="8771" spans="1:4" x14ac:dyDescent="0.3">
      <c r="A8771" s="1" t="str">
        <f>"01011317200"</f>
        <v>01011317200</v>
      </c>
      <c r="B8771" s="1" t="str">
        <f>"MOORE TONA L"</f>
        <v>MOORE TONA L</v>
      </c>
      <c r="C8771" s="1" t="str">
        <f>"MOLER RD COURT SUB LOT 3"</f>
        <v>MOLER RD COURT SUB LOT 3</v>
      </c>
      <c r="D8771" s="1">
        <v>3349.06</v>
      </c>
    </row>
    <row r="8772" spans="1:4" x14ac:dyDescent="0.3">
      <c r="A8772" s="1" t="str">
        <f>"01002937800"</f>
        <v>01002937800</v>
      </c>
      <c r="B8772" s="1" t="str">
        <f>"MOORE WESLEY D"</f>
        <v>MOORE WESLEY D</v>
      </c>
      <c r="C8772" s="1" t="str">
        <f>"2917 SIXTH AVE E CASSADYS 5TH AVE LOT 177"</f>
        <v>2917 SIXTH AVE E CASSADYS 5TH AVE LOT 177</v>
      </c>
      <c r="D8772" s="1">
        <v>86.34</v>
      </c>
    </row>
    <row r="8773" spans="1:4" x14ac:dyDescent="0.3">
      <c r="A8773" s="1" t="str">
        <f>"01001824400"</f>
        <v>01001824400</v>
      </c>
      <c r="B8773" s="1" t="str">
        <f>"MOORE WESLEY D"</f>
        <v>MOORE WESLEY D</v>
      </c>
      <c r="C8773" s="1" t="str">
        <f>"2916 FIFTH AVE CASSADYS 5TH AVE LOT 237"</f>
        <v>2916 FIFTH AVE CASSADYS 5TH AVE LOT 237</v>
      </c>
      <c r="D8773" s="1">
        <v>18.66</v>
      </c>
    </row>
    <row r="8774" spans="1:4" x14ac:dyDescent="0.3">
      <c r="A8774" s="1" t="str">
        <f>"01007930400"</f>
        <v>01007930400</v>
      </c>
      <c r="B8774" s="1" t="str">
        <f>"MOORE WESLEY D"</f>
        <v>MOORE WESLEY D</v>
      </c>
      <c r="C8774" s="1" t="str">
        <f>"2921 E 6TH AVE CASSADYS 5TH AVE LOT 178"</f>
        <v>2921 E 6TH AVE CASSADYS 5TH AVE LOT 178</v>
      </c>
      <c r="D8774" s="1">
        <v>13.76</v>
      </c>
    </row>
    <row r="8775" spans="1:4" x14ac:dyDescent="0.3">
      <c r="A8775" s="1" t="str">
        <f>"01006636300"</f>
        <v>01006636300</v>
      </c>
      <c r="B8775" s="1" t="str">
        <f>"MOORE WESLEY D"</f>
        <v>MOORE WESLEY D</v>
      </c>
      <c r="C8775" s="1" t="str">
        <f>"2837 E FIFTH AVE E COLUMBUS LOT 452"</f>
        <v>2837 E FIFTH AVE E COLUMBUS LOT 452</v>
      </c>
      <c r="D8775" s="1">
        <v>1717.78</v>
      </c>
    </row>
    <row r="8776" spans="1:4" x14ac:dyDescent="0.3">
      <c r="A8776" s="1" t="str">
        <f>"01006226400"</f>
        <v>01006226400</v>
      </c>
      <c r="B8776" s="1" t="str">
        <f>"MOORE WESLEY D"</f>
        <v>MOORE WESLEY D</v>
      </c>
      <c r="C8776" s="1" t="str">
        <f>"6TH AVE CASSADYS 5TH AVE LOT 179-180"</f>
        <v>6TH AVE CASSADYS 5TH AVE LOT 179-180</v>
      </c>
      <c r="D8776" s="1">
        <v>84.56</v>
      </c>
    </row>
    <row r="8777" spans="1:4" x14ac:dyDescent="0.3">
      <c r="A8777" s="1" t="str">
        <f>"01006745100"</f>
        <v>01006745100</v>
      </c>
      <c r="B8777" s="1" t="str">
        <f>"MOORE WESLEY D"</f>
        <v>MOORE WESLEY D</v>
      </c>
      <c r="C8777" s="1" t="str">
        <f>"2906-2908 E 5TH AVE CASSADYS 5TH AVE LOT 238-239"</f>
        <v>2906-2908 E 5TH AVE CASSADYS 5TH AVE LOT 238-239</v>
      </c>
      <c r="D8777" s="1">
        <v>173.06</v>
      </c>
    </row>
    <row r="8778" spans="1:4" x14ac:dyDescent="0.3">
      <c r="A8778" s="1" t="str">
        <f>"01016934800"</f>
        <v>01016934800</v>
      </c>
      <c r="B8778" s="1" t="str">
        <f>"MOORE WILLIAM R, MOORE SALLY A"</f>
        <v>MOORE WILLIAM R, MOORE SALLY A</v>
      </c>
      <c r="C8778" s="1" t="str">
        <f>"FALCON BRIDGE DRIVE WALNUT BLUFF NO 5 SEC ONE LOT 1110"</f>
        <v>FALCON BRIDGE DRIVE WALNUT BLUFF NO 5 SEC ONE LOT 1110</v>
      </c>
      <c r="D8778" s="1">
        <v>3046.47</v>
      </c>
    </row>
    <row r="8779" spans="1:4" x14ac:dyDescent="0.3">
      <c r="A8779" s="1" t="str">
        <f>"07001258900"</f>
        <v>07001258900</v>
      </c>
      <c r="B8779" s="1" t="str">
        <f>"MOORE WILLIAM W II TR, MOORE PENELOPE A TR"</f>
        <v>MOORE WILLIAM W II TR, MOORE PENELOPE A TR</v>
      </c>
      <c r="C8779" s="1" t="str">
        <f>"TROUVILLE KENNY COND UNIT K33-L GAR KG33-L"</f>
        <v>TROUVILLE KENNY COND UNIT K33-L GAR KG33-L</v>
      </c>
      <c r="D8779" s="1">
        <v>401.72</v>
      </c>
    </row>
    <row r="8780" spans="1:4" x14ac:dyDescent="0.3">
      <c r="A8780" s="1" t="str">
        <f>"02000423600"</f>
        <v>02000423600</v>
      </c>
      <c r="B8780" s="1" t="str">
        <f>"MOORE WILLIAM WINFRED III, MCELROY AMANDA COULTER"</f>
        <v>MOORE WILLIAM WINFRED III, MCELROY AMANDA COULTER</v>
      </c>
      <c r="C8780" s="1" t="str">
        <f>"104 S COLUMBIA AVE BULLITT PARK AMD 6 BLK 19"</f>
        <v>104 S COLUMBIA AVE BULLITT PARK AMD 6 BLK 19</v>
      </c>
      <c r="D8780" s="1">
        <v>20945.060000000001</v>
      </c>
    </row>
    <row r="8781" spans="1:4" x14ac:dyDescent="0.3">
      <c r="A8781" s="1" t="str">
        <f>"60021418400"</f>
        <v>60021418400</v>
      </c>
      <c r="B8781" s="1" t="str">
        <f>"MOORELAND MICHAEL D, MOORELAND CHELSEA A"</f>
        <v>MOORELAND MICHAEL D, MOORELAND CHELSEA A</v>
      </c>
      <c r="C8781" s="1" t="str">
        <f>"WOODLANDS CONDOMINIUM 3RD AMD BLDG 7 UNIT 7-2695"</f>
        <v>WOODLANDS CONDOMINIUM 3RD AMD BLDG 7 UNIT 7-2695</v>
      </c>
      <c r="D8781" s="1">
        <v>1589.16</v>
      </c>
    </row>
    <row r="8782" spans="1:4" x14ac:dyDescent="0.3">
      <c r="A8782" s="1" t="str">
        <f>"01004665600"</f>
        <v>01004665600</v>
      </c>
      <c r="B8782" s="1" t="str">
        <f>"MOORE-ROBERTS MARGENETT, ROBERTS ANDREW B"</f>
        <v>MOORE-ROBERTS MARGENETT, ROBERTS ANDREW B</v>
      </c>
      <c r="C8782" s="1" t="str">
        <f>"1197 E WHITTIER ST SUDER AMD LOT 328"</f>
        <v>1197 E WHITTIER ST SUDER AMD LOT 328</v>
      </c>
      <c r="D8782" s="1">
        <v>311.25</v>
      </c>
    </row>
    <row r="8783" spans="1:4" x14ac:dyDescent="0.3">
      <c r="A8783" s="1" t="str">
        <f>"01013346400"</f>
        <v>01013346400</v>
      </c>
      <c r="B8783" s="1" t="str">
        <f>"MOORMAN PAUL E SR, MOORMAN SHIRLEY A"</f>
        <v>MOORMAN PAUL E SR, MOORMAN SHIRLEY A</v>
      </c>
      <c r="C8783" s="1" t="str">
        <f>"ORSON DR SOUTHFIELD 3 LOT 363"</f>
        <v>ORSON DR SOUTHFIELD 3 LOT 363</v>
      </c>
      <c r="D8783" s="1">
        <v>264.14999999999998</v>
      </c>
    </row>
    <row r="8784" spans="1:4" x14ac:dyDescent="0.3">
      <c r="A8784" s="1" t="str">
        <f>"01007135400"</f>
        <v>01007135400</v>
      </c>
      <c r="B8784" s="1" t="str">
        <f>"MOOSE AND BOMBER LLC"</f>
        <v>MOOSE AND BOMBER LLC</v>
      </c>
      <c r="C8784" s="1" t="str">
        <f>"20 RICHARDS ROAD DOMINION PARK LOT 25"</f>
        <v>20 RICHARDS ROAD DOMINION PARK LOT 25</v>
      </c>
      <c r="D8784" s="1">
        <v>2995.65</v>
      </c>
    </row>
    <row r="8785" spans="1:4" x14ac:dyDescent="0.3">
      <c r="A8785" s="1" t="str">
        <f>"01026901000"</f>
        <v>01026901000</v>
      </c>
      <c r="B8785" s="1" t="str">
        <f>"MOOSE AND BOMBER LLC"</f>
        <v>MOOSE AND BOMBER LLC</v>
      </c>
      <c r="C8785" s="1" t="str">
        <f>"1492 S HIGH ST C SEIBERT SUB 80'NL, 80.42'SL WS LOT 8"</f>
        <v>1492 S HIGH ST C SEIBERT SUB 80'NL, 80.42'SL WS LOT 8</v>
      </c>
      <c r="D8785" s="1">
        <v>340.76</v>
      </c>
    </row>
    <row r="8786" spans="1:4" x14ac:dyDescent="0.3">
      <c r="A8786" s="1" t="str">
        <f>"01005689200"</f>
        <v>01005689200</v>
      </c>
      <c r="B8786" s="1" t="str">
        <f>"MOOSE AND BOMBER LLC"</f>
        <v>MOOSE AND BOMBER LLC</v>
      </c>
      <c r="C8786" s="1" t="str">
        <f>"1460 S HIGH ST C SIEBERTS LOT 2"</f>
        <v>1460 S HIGH ST C SIEBERTS LOT 2</v>
      </c>
      <c r="D8786" s="1">
        <v>1679.9</v>
      </c>
    </row>
    <row r="8787" spans="1:4" x14ac:dyDescent="0.3">
      <c r="A8787" s="1" t="str">
        <f>"01001634200"</f>
        <v>01001634200</v>
      </c>
      <c r="B8787" s="1" t="str">
        <f>"MOOSE AND BOMBER LLC"</f>
        <v>MOOSE AND BOMBER LLC</v>
      </c>
      <c r="C8787" s="1" t="str">
        <f>"1490 S HIGH ST C SIEBERT LOT 7"</f>
        <v>1490 S HIGH ST C SIEBERT LOT 7</v>
      </c>
      <c r="D8787" s="1">
        <v>2059.56</v>
      </c>
    </row>
    <row r="8788" spans="1:4" x14ac:dyDescent="0.3">
      <c r="A8788" s="1" t="str">
        <f>"01000147800"</f>
        <v>01000147800</v>
      </c>
      <c r="B8788" s="1" t="str">
        <f>"MOOSE AND BOMBER LLC"</f>
        <v>MOOSE AND BOMBER LLC</v>
      </c>
      <c r="C8788" s="1" t="str">
        <f>"457-461 MORRILL AVE TUSSING PARCELS PT LOT 17 ALL 18"</f>
        <v>457-461 MORRILL AVE TUSSING PARCELS PT LOT 17 ALL 18</v>
      </c>
      <c r="D8788" s="1">
        <v>1374.41</v>
      </c>
    </row>
    <row r="8789" spans="1:4" x14ac:dyDescent="0.3">
      <c r="A8789" s="1" t="str">
        <f>"24000349900"</f>
        <v>24000349900</v>
      </c>
      <c r="B8789" s="1" t="str">
        <f>"MOOSE TONYA"</f>
        <v>MOOSE TONYA</v>
      </c>
      <c r="C8789" s="1" t="str">
        <f>"YARMOUTH LANE LINCOLN VILLAGE 359 "</f>
        <v xml:space="preserve">YARMOUTH LANE LINCOLN VILLAGE 359 </v>
      </c>
      <c r="D8789" s="1">
        <v>3055.29</v>
      </c>
    </row>
    <row r="8790" spans="1:4" x14ac:dyDescent="0.3">
      <c r="A8790" s="1" t="str">
        <f>"01002934500"</f>
        <v>01002934500</v>
      </c>
      <c r="B8790" s="1" t="str">
        <f>"MOOSE WATCH HOLDINGS OH LLC"</f>
        <v>MOOSE WATCH HOLDINGS OH LLC</v>
      </c>
      <c r="C8790" s="1" t="str">
        <f>"33-35 S MONROE AVE S BARTLETT LOT 57"</f>
        <v>33-35 S MONROE AVE S BARTLETT LOT 57</v>
      </c>
      <c r="D8790" s="1">
        <v>19428.05</v>
      </c>
    </row>
    <row r="8791" spans="1:4" x14ac:dyDescent="0.3">
      <c r="A8791" s="1" t="str">
        <f>"18500062700"</f>
        <v>18500062700</v>
      </c>
      <c r="B8791" s="1" t="str">
        <f>"MORA LEONEL HERNANDEZ"</f>
        <v>MORA LEONEL HERNANDEZ</v>
      </c>
      <c r="C8791" s="1" t="str">
        <f>"KINSEL AVE ALL 39 &amp; 17.5FT N E S 40 SUNRISE 39-40"</f>
        <v>KINSEL AVE ALL 39 &amp; 17.5FT N E S 40 SUNRISE 39-40</v>
      </c>
      <c r="D8791" s="1">
        <v>1448.33</v>
      </c>
    </row>
    <row r="8792" spans="1:4" x14ac:dyDescent="0.3">
      <c r="A8792" s="1" t="str">
        <f>"23000158900"</f>
        <v>23000158900</v>
      </c>
      <c r="B8792" s="1" t="str">
        <f>"MORA TORRES JOSE RAFAEL"</f>
        <v>MORA TORRES JOSE RAFAEL</v>
      </c>
      <c r="C8792" s="1" t="str">
        <f>"CCC HIGHWAY .552 ACRE JOHN DEAN FARM L 28"</f>
        <v>CCC HIGHWAY .552 ACRE JOHN DEAN FARM L 28</v>
      </c>
      <c r="D8792" s="1">
        <v>2639.99</v>
      </c>
    </row>
    <row r="8793" spans="1:4" x14ac:dyDescent="0.3">
      <c r="A8793" s="1" t="str">
        <f>"23000159000"</f>
        <v>23000159000</v>
      </c>
      <c r="B8793" s="1" t="str">
        <f>"MORA TORRES JOSE RAFAEL"</f>
        <v>MORA TORRES JOSE RAFAEL</v>
      </c>
      <c r="C8793" s="1" t="str">
        <f>"CCC HIGHWAY .5524 ACRE JOHN DEAN FARM L 29"</f>
        <v>CCC HIGHWAY .5524 ACRE JOHN DEAN FARM L 29</v>
      </c>
      <c r="D8793" s="1">
        <v>770.01</v>
      </c>
    </row>
    <row r="8794" spans="1:4" x14ac:dyDescent="0.3">
      <c r="A8794" s="1" t="str">
        <f>"24000001800"</f>
        <v>24000001800</v>
      </c>
      <c r="B8794" s="1" t="str">
        <f>"MORAITIS LAND CO LLC, LEEDS REAL ESTATE, EDGEHILL REAL ESTATE, INVESTMENTS LLC, INVESTMENTS LLC"</f>
        <v>MORAITIS LAND CO LLC, LEEDS REAL ESTATE, EDGEHILL REAL ESTATE, INVESTMENTS LLC, INVESTMENTS LLC</v>
      </c>
      <c r="C8794" s="1" t="str">
        <f>"W BROAD ST           VMS 6214-2887-14699       180.273 ACRES            "</f>
        <v xml:space="preserve">W BROAD ST           VMS 6214-2887-14699       180.273 ACRES            </v>
      </c>
      <c r="D8794" s="1">
        <v>365.79</v>
      </c>
    </row>
    <row r="8795" spans="1:4" x14ac:dyDescent="0.3">
      <c r="A8795" s="1" t="str">
        <f>"56020523400"</f>
        <v>56020523400</v>
      </c>
      <c r="B8795" s="1" t="str">
        <f>"MORALES JOSEFINA B"</f>
        <v>MORALES JOSEFINA B</v>
      </c>
      <c r="C8795" s="1" t="str">
        <f>"INVERARY DRIVE GOLFVIEW WOODS SEC 9 LOT 419"</f>
        <v>INVERARY DRIVE GOLFVIEW WOODS SEC 9 LOT 419</v>
      </c>
      <c r="D8795" s="1">
        <v>2939.31</v>
      </c>
    </row>
    <row r="8796" spans="1:4" x14ac:dyDescent="0.3">
      <c r="A8796" s="1" t="str">
        <f>"01000452400"</f>
        <v>01000452400</v>
      </c>
      <c r="B8796" s="1" t="str">
        <f>"MORALES MARIA GUADALUPE"</f>
        <v>MORALES MARIA GUADALUPE</v>
      </c>
      <c r="C8796" s="1" t="str">
        <f>"700 ROSS AVE FAIRMONT SUBD LOT 44"</f>
        <v>700 ROSS AVE FAIRMONT SUBD LOT 44</v>
      </c>
      <c r="D8796" s="1">
        <v>660.34</v>
      </c>
    </row>
    <row r="8797" spans="1:4" x14ac:dyDescent="0.3">
      <c r="A8797" s="1" t="str">
        <f>"01009293300"</f>
        <v>01009293300</v>
      </c>
      <c r="B8797" s="1" t="str">
        <f>"MORALES RUBEN"</f>
        <v>MORALES RUBEN</v>
      </c>
      <c r="C8797" s="1" t="str">
        <f>"N JAMES RD 24FT.S.L. 26&amp;20FT.N.S.L.25BROA DLEIGH EAST 24 26"</f>
        <v>N JAMES RD 24FT.S.L. 26&amp;20FT.N.S.L.25BROA DLEIGH EAST 24 26</v>
      </c>
      <c r="D8797" s="1">
        <v>1365.03</v>
      </c>
    </row>
    <row r="8798" spans="1:4" x14ac:dyDescent="0.3">
      <c r="A8798" s="1" t="str">
        <f>"01005294600"</f>
        <v>01005294600</v>
      </c>
      <c r="B8798" s="1" t="str">
        <f>"MORALES YISEL HERNANDEZ"</f>
        <v>MORALES YISEL HERNANDEZ</v>
      </c>
      <c r="C8798" s="1" t="str">
        <f>"13TH AVE SCHNEIDERS 12TH AVE LOT 72"</f>
        <v>13TH AVE SCHNEIDERS 12TH AVE LOT 72</v>
      </c>
      <c r="D8798" s="1">
        <v>45.88</v>
      </c>
    </row>
    <row r="8799" spans="1:4" x14ac:dyDescent="0.3">
      <c r="A8799" s="1" t="str">
        <f>"01013112000"</f>
        <v>01013112000</v>
      </c>
      <c r="B8799" s="1" t="str">
        <f>"MORAN EDWARD N, MORAN LYNN L"</f>
        <v>MORAN EDWARD N, MORAN LYNN L</v>
      </c>
      <c r="C8799" s="1" t="str">
        <f>"ROYS AVE WILSHIRE WEST LOT 4"</f>
        <v>ROYS AVE WILSHIRE WEST LOT 4</v>
      </c>
      <c r="D8799" s="1">
        <v>1802.79</v>
      </c>
    </row>
    <row r="8800" spans="1:4" x14ac:dyDescent="0.3">
      <c r="A8800" s="1" t="str">
        <f>"01013169200"</f>
        <v>01013169200</v>
      </c>
      <c r="B8800" s="1" t="str">
        <f>"MORAN PROPERTY MANAGEMENT LLC"</f>
        <v>MORAN PROPERTY MANAGEMENT LLC</v>
      </c>
      <c r="C8800" s="1" t="str">
        <f>"JONATHAN DR RADCLIFF LOT 136"</f>
        <v>JONATHAN DR RADCLIFF LOT 136</v>
      </c>
      <c r="D8800" s="1">
        <v>1486.91</v>
      </c>
    </row>
    <row r="8801" spans="1:4" x14ac:dyDescent="0.3">
      <c r="A8801" s="1" t="str">
        <f>"01023166700"</f>
        <v>01023166700</v>
      </c>
      <c r="B8801" s="1" t="str">
        <f>"MORAN PROPERTY MANAGEMENT LLC"</f>
        <v>MORAN PROPERTY MANAGEMENT LLC</v>
      </c>
      <c r="C8801" s="1" t="str">
        <f>"CHATTERLY LANE ANDOVER SECTION 1 LOT 100"</f>
        <v>CHATTERLY LANE ANDOVER SECTION 1 LOT 100</v>
      </c>
      <c r="D8801" s="1">
        <v>1176.6400000000001</v>
      </c>
    </row>
    <row r="8802" spans="1:4" x14ac:dyDescent="0.3">
      <c r="A8802" s="1" t="str">
        <f>"02500934600"</f>
        <v>02500934600</v>
      </c>
      <c r="B8802" s="1" t="str">
        <f>"MORAN SUSAN G"</f>
        <v>MORAN SUSAN G</v>
      </c>
      <c r="C8802" s="1" t="str">
        <f>"WOODSIDE LAKE DRIVE WOODSIDE GREEN SOUTH SECTION 3 LOT 167"</f>
        <v>WOODSIDE LAKE DRIVE WOODSIDE GREEN SOUTH SECTION 3 LOT 167</v>
      </c>
      <c r="D8802" s="1">
        <v>3331.47</v>
      </c>
    </row>
    <row r="8803" spans="1:4" x14ac:dyDescent="0.3">
      <c r="A8803" s="1" t="str">
        <f>"16000294200"</f>
        <v>16000294200</v>
      </c>
      <c r="B8803" s="1" t="str">
        <f>"MORBITZER JASON"</f>
        <v>MORBITZER JASON</v>
      </c>
      <c r="C8803" s="1" t="str">
        <f>"JACKSON PI ENTRY 478 1.174 ACRES"</f>
        <v>JACKSON PI ENTRY 478 1.174 ACRES</v>
      </c>
      <c r="D8803" s="1">
        <v>1672.13</v>
      </c>
    </row>
    <row r="8804" spans="1:4" x14ac:dyDescent="0.3">
      <c r="A8804" s="1" t="str">
        <f>"18500225800"</f>
        <v>18500225800</v>
      </c>
      <c r="B8804" s="1" t="str">
        <f>"MOREHART JENI J"</f>
        <v>MOREHART JENI J</v>
      </c>
      <c r="C8804" s="1" t="str">
        <f>"SHELLBARK COURT HICKORY GROVE SECTION 1 LOT 13"</f>
        <v>SHELLBARK COURT HICKORY GROVE SECTION 1 LOT 13</v>
      </c>
      <c r="D8804" s="1">
        <v>5003.78</v>
      </c>
    </row>
    <row r="8805" spans="1:4" x14ac:dyDescent="0.3">
      <c r="A8805" s="1" t="str">
        <f>"01005997000"</f>
        <v>01005997000</v>
      </c>
      <c r="B8805" s="1" t="str">
        <f>"MORENO EDGAR"</f>
        <v>MORENO EDGAR</v>
      </c>
      <c r="C8805" s="1" t="str">
        <f>"1587 ABERDEEN AVE LINDEN LOT 479"</f>
        <v>1587 ABERDEEN AVE LINDEN LOT 479</v>
      </c>
      <c r="D8805" s="1">
        <v>294.64999999999998</v>
      </c>
    </row>
    <row r="8806" spans="1:4" x14ac:dyDescent="0.3">
      <c r="A8806" s="1" t="str">
        <f>"61018486000"</f>
        <v>61018486000</v>
      </c>
      <c r="B8806" s="1" t="str">
        <f>"MORENO LISBETH A"</f>
        <v>MORENO LISBETH A</v>
      </c>
      <c r="C8806" s="1" t="str">
        <f>"SUMMIT ROW BLVD RESB LTS SMOKY RIDGE ESTATES 3 LOTS 512-3"</f>
        <v>SUMMIT ROW BLVD RESB LTS SMOKY RIDGE ESTATES 3 LOTS 512-3</v>
      </c>
      <c r="D8806" s="1">
        <v>167.35</v>
      </c>
    </row>
    <row r="8807" spans="1:4" x14ac:dyDescent="0.3">
      <c r="A8807" s="1" t="str">
        <f>"51014605700"</f>
        <v>51014605700</v>
      </c>
      <c r="B8807" s="1" t="str">
        <f>"MORENOS BUILDER LLC"</f>
        <v>MORENOS BUILDER LLC</v>
      </c>
      <c r="C8807" s="1" t="str">
        <f>"915 HIGBEE DR S SOUTHERN PINES SEC 8 LOT 576"</f>
        <v>915 HIGBEE DR S SOUTHERN PINES SEC 8 LOT 576</v>
      </c>
      <c r="D8807" s="1">
        <v>730.63</v>
      </c>
    </row>
    <row r="8808" spans="1:4" x14ac:dyDescent="0.3">
      <c r="A8808" s="1" t="str">
        <f>"01002901800"</f>
        <v>01002901800</v>
      </c>
      <c r="B8808" s="1" t="str">
        <f>"MORGAN BRUCE P"</f>
        <v>MORGAN BRUCE P</v>
      </c>
      <c r="C8808" s="1" t="str">
        <f>"363 S OGDEN AVE WICKLOW LOT 172"</f>
        <v>363 S OGDEN AVE WICKLOW LOT 172</v>
      </c>
      <c r="D8808" s="1">
        <v>83.54</v>
      </c>
    </row>
    <row r="8809" spans="1:4" x14ac:dyDescent="0.3">
      <c r="A8809" s="1" t="str">
        <f>"01005115300"</f>
        <v>01005115300</v>
      </c>
      <c r="B8809" s="1" t="str">
        <f>"MORGAN BRUCE P"</f>
        <v>MORGAN BRUCE P</v>
      </c>
      <c r="C8809" s="1" t="str">
        <f>"RICHARDSON AVE BRONX LOT 139"</f>
        <v>RICHARDSON AVE BRONX LOT 139</v>
      </c>
      <c r="D8809" s="1">
        <v>128.16999999999999</v>
      </c>
    </row>
    <row r="8810" spans="1:4" x14ac:dyDescent="0.3">
      <c r="A8810" s="1" t="str">
        <f>"01003745500"</f>
        <v>01003745500</v>
      </c>
      <c r="B8810" s="1" t="str">
        <f>"MORGAN BRUCE P"</f>
        <v>MORGAN BRUCE P</v>
      </c>
      <c r="C8810" s="1" t="str">
        <f>"289 DAVIS AVE MARTINS WESTERN PT LOTS 194-195"</f>
        <v>289 DAVIS AVE MARTINS WESTERN PT LOTS 194-195</v>
      </c>
      <c r="D8810" s="1">
        <v>62.46</v>
      </c>
    </row>
    <row r="8811" spans="1:4" x14ac:dyDescent="0.3">
      <c r="A8811" s="1" t="str">
        <f>"18000121700"</f>
        <v>18000121700</v>
      </c>
      <c r="B8811" s="1" t="str">
        <f>"MORGAN COLE BENNETT, MORGAN BETHANN KLINGLER"</f>
        <v>MORGAN COLE BENNETT, MORGAN BETHANN KLINGLER</v>
      </c>
      <c r="C8811" s="1" t="str">
        <f>"3646 HAMILTON RD ASBURY MANOR LOT 7"</f>
        <v>3646 HAMILTON RD ASBURY MANOR LOT 7</v>
      </c>
      <c r="D8811" s="1">
        <v>2275.13</v>
      </c>
    </row>
    <row r="8812" spans="1:4" x14ac:dyDescent="0.3">
      <c r="A8812" s="1" t="str">
        <f>"23000124700"</f>
        <v>23000124700</v>
      </c>
      <c r="B8812" s="1" t="str">
        <f>"MORGAN DALE"</f>
        <v>MORGAN DALE</v>
      </c>
      <c r="C8812" s="1" t="str">
        <f>"RIVER ST J L MOORE 93 "</f>
        <v xml:space="preserve">RIVER ST J L MOORE 93 </v>
      </c>
      <c r="D8812" s="1">
        <v>595.98</v>
      </c>
    </row>
    <row r="8813" spans="1:4" x14ac:dyDescent="0.3">
      <c r="A8813" s="1" t="str">
        <f>"01011199900"</f>
        <v>01011199900</v>
      </c>
      <c r="B8813" s="1" t="str">
        <f>"MORGAN EDWARD"</f>
        <v>MORGAN EDWARD</v>
      </c>
      <c r="C8813" s="1" t="str">
        <f>"AUGMONT AVE CLARFIELD LOT 81"</f>
        <v>AUGMONT AVE CLARFIELD LOT 81</v>
      </c>
      <c r="D8813" s="1">
        <v>1075.5899999999999</v>
      </c>
    </row>
    <row r="8814" spans="1:4" x14ac:dyDescent="0.3">
      <c r="A8814" s="1" t="str">
        <f>"01029978800"</f>
        <v>01029978800</v>
      </c>
      <c r="B8814" s="1" t="str">
        <f>"MORGAN JAMES R JR, ANDERSON CYNTHIA G"</f>
        <v>MORGAN JAMES R JR, ANDERSON CYNTHIA G</v>
      </c>
      <c r="C8814" s="1" t="str">
        <f>"RETREAT AT WARNER CONDOMINIUM 5TH AMD UNIT 7"</f>
        <v>RETREAT AT WARNER CONDOMINIUM 5TH AMD UNIT 7</v>
      </c>
      <c r="D8814" s="1">
        <v>293.7</v>
      </c>
    </row>
    <row r="8815" spans="1:4" x14ac:dyDescent="0.3">
      <c r="A8815" s="1" t="str">
        <f>"02000033400"</f>
        <v>02000033400</v>
      </c>
      <c r="B8815" s="1" t="str">
        <f>"MORGAN MIRANDA E TTEE"</f>
        <v>MORGAN MIRANDA E TTEE</v>
      </c>
      <c r="C8815" s="1" t="str">
        <f>"271 COLUMBIA AVE BULLITT PK AMD LOT 15 BLK 11"</f>
        <v>271 COLUMBIA AVE BULLITT PK AMD LOT 15 BLK 11</v>
      </c>
      <c r="D8815" s="1">
        <v>16646.740000000002</v>
      </c>
    </row>
    <row r="8816" spans="1:4" x14ac:dyDescent="0.3">
      <c r="A8816" s="1" t="str">
        <f>"59021213600"</f>
        <v>59021213600</v>
      </c>
      <c r="B8816" s="1" t="str">
        <f>"MORGAN MOLLY"</f>
        <v>MORGAN MOLLY</v>
      </c>
      <c r="C8816" s="1" t="str">
        <f>"GRAYSTONE MANOR CONDOMINIUM BLDG 4 UNIT 3962"</f>
        <v>GRAYSTONE MANOR CONDOMINIUM BLDG 4 UNIT 3962</v>
      </c>
      <c r="D8816" s="1">
        <v>4669.0600000000004</v>
      </c>
    </row>
    <row r="8817" spans="1:4" x14ac:dyDescent="0.3">
      <c r="A8817" s="1" t="str">
        <f>"01007442000"</f>
        <v>01007442000</v>
      </c>
      <c r="B8817" s="1" t="str">
        <f>"MORGAN RAYNA J TR"</f>
        <v>MORGAN RAYNA J TR</v>
      </c>
      <c r="C8817" s="1" t="str">
        <f>"WELDON AVE CREST LINDEN LOT 18"</f>
        <v>WELDON AVE CREST LINDEN LOT 18</v>
      </c>
      <c r="D8817" s="1">
        <v>949.66</v>
      </c>
    </row>
    <row r="8818" spans="1:4" x14ac:dyDescent="0.3">
      <c r="A8818" s="1" t="str">
        <f>"01008277600"</f>
        <v>01008277600</v>
      </c>
      <c r="B8818" s="1" t="str">
        <f>"MORGAN RAYNA J TR"</f>
        <v>MORGAN RAYNA J TR</v>
      </c>
      <c r="C8818" s="1" t="str">
        <f>"ACTON ROAD EDGEMONT GARDENS LOT 135"</f>
        <v>ACTON ROAD EDGEMONT GARDENS LOT 135</v>
      </c>
      <c r="D8818" s="1">
        <v>554.1</v>
      </c>
    </row>
    <row r="8819" spans="1:4" x14ac:dyDescent="0.3">
      <c r="A8819" s="1" t="str">
        <f>"01007441900"</f>
        <v>01007441900</v>
      </c>
      <c r="B8819" s="1" t="str">
        <f>"MORGAN RAYNA J TR"</f>
        <v>MORGAN RAYNA J TR</v>
      </c>
      <c r="C8819" s="1" t="str">
        <f>"WELDON AVE CREST LINDEN LOT 17"</f>
        <v>WELDON AVE CREST LINDEN LOT 17</v>
      </c>
      <c r="D8819" s="1">
        <v>1012.61</v>
      </c>
    </row>
    <row r="8820" spans="1:4" x14ac:dyDescent="0.3">
      <c r="A8820" s="1" t="str">
        <f>"01008733800"</f>
        <v>01008733800</v>
      </c>
      <c r="B8820" s="1" t="str">
        <f>"MORGAN RAYNA J TR"</f>
        <v>MORGAN RAYNA J TR</v>
      </c>
      <c r="C8820" s="1" t="str">
        <f>"WELDON AVE CREST LINDEN LOT 35"</f>
        <v>WELDON AVE CREST LINDEN LOT 35</v>
      </c>
      <c r="D8820" s="1">
        <v>757.13</v>
      </c>
    </row>
    <row r="8821" spans="1:4" x14ac:dyDescent="0.3">
      <c r="A8821" s="1" t="str">
        <f>"01007442100"</f>
        <v>01007442100</v>
      </c>
      <c r="B8821" s="1" t="str">
        <f>"MORGAN RAYNA J TR"</f>
        <v>MORGAN RAYNA J TR</v>
      </c>
      <c r="C8821" s="1" t="str">
        <f>"1688 WELDON AVE &amp; 2965 GREENWICH ST CREST LINDEN LOT 19"</f>
        <v>1688 WELDON AVE &amp; 2965 GREENWICH ST CREST LINDEN LOT 19</v>
      </c>
      <c r="D8821" s="1">
        <v>2165.48</v>
      </c>
    </row>
    <row r="8822" spans="1:4" x14ac:dyDescent="0.3">
      <c r="A8822" s="1" t="str">
        <f>"01007441800"</f>
        <v>01007441800</v>
      </c>
      <c r="B8822" s="1" t="str">
        <f>"MORGAN RAYNA J. TR"</f>
        <v>MORGAN RAYNA J. TR</v>
      </c>
      <c r="C8822" s="1" t="str">
        <f>"1722 WELDON AVE CREST-LINDEN ADD LOT 15"</f>
        <v>1722 WELDON AVE CREST-LINDEN ADD LOT 15</v>
      </c>
      <c r="D8822" s="1">
        <v>1917.13</v>
      </c>
    </row>
    <row r="8823" spans="1:4" x14ac:dyDescent="0.3">
      <c r="A8823" s="1" t="str">
        <f>"18000498900"</f>
        <v>18000498900</v>
      </c>
      <c r="B8823" s="1" t="str">
        <f>"MORGAN RONALD R III"</f>
        <v>MORGAN RONALD R III</v>
      </c>
      <c r="C8823" s="1" t="str">
        <f>"EBRIGHT RD 21-11-22 .927 AC"</f>
        <v>EBRIGHT RD 21-11-22 .927 AC</v>
      </c>
      <c r="D8823" s="1">
        <v>213.15</v>
      </c>
    </row>
    <row r="8824" spans="1:4" x14ac:dyDescent="0.3">
      <c r="A8824" s="1" t="str">
        <f>"01013258400"</f>
        <v>01013258400</v>
      </c>
      <c r="B8824" s="1" t="str">
        <f>"MORGAN SANDRA"</f>
        <v>MORGAN SANDRA</v>
      </c>
      <c r="C8824" s="1" t="str">
        <f>"SALING DR WOODWARD PK LOT 182"</f>
        <v>SALING DR WOODWARD PK LOT 182</v>
      </c>
      <c r="D8824" s="1">
        <v>3918.97</v>
      </c>
    </row>
    <row r="8825" spans="1:4" x14ac:dyDescent="0.3">
      <c r="A8825" s="1" t="str">
        <f>"07001377600"</f>
        <v>07001377600</v>
      </c>
      <c r="B8825" s="1" t="str">
        <f>"MORGAN SCOTT, MORGAN ERIN"</f>
        <v>MORGAN SCOTT, MORGAN ERIN</v>
      </c>
      <c r="C8825" s="1" t="str">
        <f>"ATLEE CT CONCORD VIL CONDO UNIT 5"</f>
        <v>ATLEE CT CONCORD VIL CONDO UNIT 5</v>
      </c>
      <c r="D8825" s="1">
        <v>337.74</v>
      </c>
    </row>
    <row r="8826" spans="1:4" x14ac:dyDescent="0.3">
      <c r="A8826" s="1" t="str">
        <f>"01010628000"</f>
        <v>01010628000</v>
      </c>
      <c r="B8826" s="1" t="str">
        <f>"MORILLO MATOS AUSTRIA E"</f>
        <v>MORILLO MATOS AUSTRIA E</v>
      </c>
      <c r="C8826" s="1" t="str">
        <f>"SHADY LANE RD LEA-GARDENS LOT 179"</f>
        <v>SHADY LANE RD LEA-GARDENS LOT 179</v>
      </c>
      <c r="D8826" s="1">
        <v>1559.15</v>
      </c>
    </row>
    <row r="8827" spans="1:4" x14ac:dyDescent="0.3">
      <c r="A8827" s="1" t="str">
        <f>"23000178000"</f>
        <v>23000178000</v>
      </c>
      <c r="B8827" s="1" t="str">
        <f>"MORITZ ROBERT A, MORITZ JUDITH C"</f>
        <v>MORITZ ROBERT A, MORITZ JUDITH C</v>
      </c>
      <c r="C8827" s="1" t="str">
        <f>"5543 PHEASANT DR TIMBERLAKE 2 LOT 48"</f>
        <v>5543 PHEASANT DR TIMBERLAKE 2 LOT 48</v>
      </c>
      <c r="D8827" s="1">
        <v>5547.14</v>
      </c>
    </row>
    <row r="8828" spans="1:4" x14ac:dyDescent="0.3">
      <c r="A8828" s="1" t="str">
        <f>"01005737300"</f>
        <v>01005737300</v>
      </c>
      <c r="B8828" s="1" t="str">
        <f>"MORNING GLORY MINISTRIES"</f>
        <v>MORNING GLORY MINISTRIES</v>
      </c>
      <c r="C8828" s="1" t="str">
        <f>"447 FAIRWOOD AVE MORRISON PK LOT 22-3"</f>
        <v>447 FAIRWOOD AVE MORRISON PK LOT 22-3</v>
      </c>
      <c r="D8828" s="1">
        <v>3546.38</v>
      </c>
    </row>
    <row r="8829" spans="1:4" x14ac:dyDescent="0.3">
      <c r="A8829" s="1" t="str">
        <f>"01000821700"</f>
        <v>01000821700</v>
      </c>
      <c r="B8829" s="1" t="str">
        <f>"MORNING GLORY MINISTRIES"</f>
        <v>MORNING GLORY MINISTRIES</v>
      </c>
      <c r="C8829" s="1" t="str">
        <f>"436-38 STODDARD AVE MORRISON PARK LOT 48-49"</f>
        <v>436-38 STODDARD AVE MORRISON PARK LOT 48-49</v>
      </c>
      <c r="D8829" s="1">
        <v>1003.51</v>
      </c>
    </row>
    <row r="8830" spans="1:4" x14ac:dyDescent="0.3">
      <c r="A8830" s="1" t="str">
        <f>"01012416200"</f>
        <v>01012416200</v>
      </c>
      <c r="B8830" s="1" t="str">
        <f>"MORNY ASHLEY"</f>
        <v>MORNY ASHLEY</v>
      </c>
      <c r="C8830" s="1" t="str">
        <f>"WESTMOOR CT VALLEYVIEW HTS 2 LOT 116"</f>
        <v>WESTMOOR CT VALLEYVIEW HTS 2 LOT 116</v>
      </c>
      <c r="D8830" s="1">
        <v>1670.82</v>
      </c>
    </row>
    <row r="8831" spans="1:4" x14ac:dyDescent="0.3">
      <c r="A8831" s="1" t="str">
        <f>"57026057600"</f>
        <v>57026057600</v>
      </c>
      <c r="B8831" s="1" t="str">
        <f>"MOROZOV VLADIMIR, MOROZOVA TATIANA"</f>
        <v>MOROZOV VLADIMIR, MOROZOVA TATIANA</v>
      </c>
      <c r="C8831" s="1" t="str">
        <f>"ARDEN FOREST LANE FOREST GROVE LOT 2"</f>
        <v>ARDEN FOREST LANE FOREST GROVE LOT 2</v>
      </c>
      <c r="D8831" s="1">
        <v>1597.07</v>
      </c>
    </row>
    <row r="8832" spans="1:4" x14ac:dyDescent="0.3">
      <c r="A8832" s="1" t="str">
        <f>"01006851000"</f>
        <v>01006851000</v>
      </c>
      <c r="B8832" s="1" t="str">
        <f>"MORQUECHO CRISTIAN"</f>
        <v>MORQUECHO CRISTIAN</v>
      </c>
      <c r="C8832" s="1" t="str">
        <f>"WILSHIRE HTS LOT 6 BLK 9 "</f>
        <v xml:space="preserve">WILSHIRE HTS LOT 6 BLK 9 </v>
      </c>
      <c r="D8832" s="1">
        <v>1790.76</v>
      </c>
    </row>
    <row r="8833" spans="1:4" x14ac:dyDescent="0.3">
      <c r="A8833" s="1" t="str">
        <f>"08000471100"</f>
        <v>08000471100</v>
      </c>
      <c r="B8833" s="1" t="str">
        <f>"MORRIS CURTIS F, MORRIS NANCY E"</f>
        <v>MORRIS CURTIS F, MORRIS NANCY E</v>
      </c>
      <c r="C8833" s="1" t="str">
        <f>"777 W MAIN ST ANNEHURST VILLAGE 9 LOT 497"</f>
        <v>777 W MAIN ST ANNEHURST VILLAGE 9 LOT 497</v>
      </c>
      <c r="D8833" s="1">
        <v>292.72000000000003</v>
      </c>
    </row>
    <row r="8834" spans="1:4" x14ac:dyDescent="0.3">
      <c r="A8834" s="1" t="str">
        <f>"18400135700"</f>
        <v>18400135700</v>
      </c>
      <c r="B8834" s="1" t="str">
        <f>"MORRIS DAVID S, MORRIS JANET F"</f>
        <v>MORRIS DAVID S, MORRIS JANET F</v>
      </c>
      <c r="C8834" s="1" t="str">
        <f>"CHESTERVILLE DRIVE WINCHESTER VIL SEC 1 RESERVE B=0.279 ACRE"</f>
        <v>CHESTERVILLE DRIVE WINCHESTER VIL SEC 1 RESERVE B=0.279 ACRE</v>
      </c>
      <c r="D8834" s="1">
        <v>6521.04</v>
      </c>
    </row>
    <row r="8835" spans="1:4" x14ac:dyDescent="0.3">
      <c r="A8835" s="1" t="str">
        <f>"06000171900"</f>
        <v>06000171900</v>
      </c>
      <c r="B8835" s="1" t="str">
        <f>"MORRIS DIANNA L"</f>
        <v>MORRIS DIANNA L</v>
      </c>
      <c r="C8835" s="1" t="str">
        <f>"SMITHFIELD AVE BROOKSIDE PARK 3 LOT 683"</f>
        <v>SMITHFIELD AVE BROOKSIDE PARK 3 LOT 683</v>
      </c>
      <c r="D8835" s="1">
        <v>82.12</v>
      </c>
    </row>
    <row r="8836" spans="1:4" x14ac:dyDescent="0.3">
      <c r="A8836" s="1" t="str">
        <f>"17000367700"</f>
        <v>17000367700</v>
      </c>
      <c r="B8836" s="1" t="str">
        <f>"MORRIS JAMES F, MORRIS BONNIE L"</f>
        <v>MORRIS JAMES F, MORRIS BONNIE L</v>
      </c>
      <c r="C8836" s="1" t="str">
        <f>"VILLAS AT HAWKS CREST CONDOMINIUM 3RD AMD UNIT 770"</f>
        <v>VILLAS AT HAWKS CREST CONDOMINIUM 3RD AMD UNIT 770</v>
      </c>
      <c r="D8836" s="1">
        <v>403.31</v>
      </c>
    </row>
    <row r="8837" spans="1:4" x14ac:dyDescent="0.3">
      <c r="A8837" s="1" t="str">
        <f>"17000246800"</f>
        <v>17000246800</v>
      </c>
      <c r="B8837" s="1" t="str">
        <f>"MORRIS KIMBERLY S TTEE, MORRIS GREGORY S TTEE"</f>
        <v>MORRIS KIMBERLY S TTEE, MORRIS GREGORY S TTEE</v>
      </c>
      <c r="C8837" s="1" t="str">
        <f>"CLEAR CREEK COURT CLEAR CREEK CROSSING PHASE 1 LOT 13"</f>
        <v>CLEAR CREEK COURT CLEAR CREEK CROSSING PHASE 1 LOT 13</v>
      </c>
      <c r="D8837" s="1">
        <v>650</v>
      </c>
    </row>
    <row r="8838" spans="1:4" x14ac:dyDescent="0.3">
      <c r="A8838" s="1" t="str">
        <f>"57023130200"</f>
        <v>57023130200</v>
      </c>
      <c r="B8838" s="1" t="str">
        <f>"MORRIS MICHELLE"</f>
        <v>MORRIS MICHELLE</v>
      </c>
      <c r="C8838" s="1" t="str">
        <f>"RAVINES AT PARKWICK DRIVE CONDO 2ND AMD BLDG 5 UNIT 4512"</f>
        <v>RAVINES AT PARKWICK DRIVE CONDO 2ND AMD BLDG 5 UNIT 4512</v>
      </c>
      <c r="D8838" s="1">
        <v>89.59</v>
      </c>
    </row>
    <row r="8839" spans="1:4" x14ac:dyDescent="0.3">
      <c r="A8839" s="1" t="str">
        <f>"02500457200"</f>
        <v>02500457200</v>
      </c>
      <c r="B8839" s="1" t="str">
        <f>"MORRIS NANCY L"</f>
        <v>MORRIS NANCY L</v>
      </c>
      <c r="C8839" s="1" t="str">
        <f>"439 COLONY PLACE COLONY NO 2 LOT 31"</f>
        <v>439 COLONY PLACE COLONY NO 2 LOT 31</v>
      </c>
      <c r="D8839" s="1">
        <v>660</v>
      </c>
    </row>
    <row r="8840" spans="1:4" x14ac:dyDescent="0.3">
      <c r="A8840" s="1" t="str">
        <f>"01002513900"</f>
        <v>01002513900</v>
      </c>
      <c r="B8840" s="1" t="str">
        <f>"MORRIS ROGER F"</f>
        <v>MORRIS ROGER F</v>
      </c>
      <c r="C8840" s="1" t="str">
        <f>"COLUMBIAN AVE GLENWOOD HTS LOT 235"</f>
        <v>COLUMBIAN AVE GLENWOOD HTS LOT 235</v>
      </c>
      <c r="D8840" s="1">
        <v>4.84</v>
      </c>
    </row>
    <row r="8841" spans="1:4" x14ac:dyDescent="0.3">
      <c r="A8841" s="1" t="str">
        <f>"01016212000"</f>
        <v>01016212000</v>
      </c>
      <c r="B8841" s="1" t="str">
        <f>"MORRIS ROSE M, MORRIS TRACY A"</f>
        <v>MORRIS ROSE M, MORRIS TRACY A</v>
      </c>
      <c r="C8841" s="1" t="str">
        <f>"TISHMAN STREET ALICE RITA LOT 27"</f>
        <v>TISHMAN STREET ALICE RITA LOT 27</v>
      </c>
      <c r="D8841" s="1">
        <v>1274.51</v>
      </c>
    </row>
    <row r="8842" spans="1:4" x14ac:dyDescent="0.3">
      <c r="A8842" s="1" t="str">
        <f>"60020100600"</f>
        <v>60020100600</v>
      </c>
      <c r="B8842" s="1" t="str">
        <f>"MORRIS SHAD J TOD"</f>
        <v>MORRIS SHAD J TOD</v>
      </c>
      <c r="C8842" s="1" t="str">
        <f>"WINDY BLUFF CT THE WILDS LOT 5"</f>
        <v>WINDY BLUFF CT THE WILDS LOT 5</v>
      </c>
      <c r="D8842" s="1">
        <v>3535.2</v>
      </c>
    </row>
    <row r="8843" spans="1:4" x14ac:dyDescent="0.3">
      <c r="A8843" s="1" t="str">
        <f>"55015619600"</f>
        <v>55015619600</v>
      </c>
      <c r="B8843" s="1" t="str">
        <f>"MORRIS WILLIAM JACOB, MORRIS DANIEL J"</f>
        <v>MORRIS WILLIAM JACOB, MORRIS DANIEL J</v>
      </c>
      <c r="C8843" s="1" t="str">
        <f>"MANOR DR IDLEWILD MANOR EXT LOT 60"</f>
        <v>MANOR DR IDLEWILD MANOR EXT LOT 60</v>
      </c>
      <c r="D8843" s="1">
        <v>789.37</v>
      </c>
    </row>
    <row r="8844" spans="1:4" x14ac:dyDescent="0.3">
      <c r="A8844" s="1" t="str">
        <f>"55015619500"</f>
        <v>55015619500</v>
      </c>
      <c r="B8844" s="1" t="str">
        <f>"MORRIS WILLIAM JACOB, MORRIS DANIEL J"</f>
        <v>MORRIS WILLIAM JACOB, MORRIS DANIEL J</v>
      </c>
      <c r="C8844" s="1" t="str">
        <f>"MANOR DR IDLEWILD MANOR EXT LOT 59"</f>
        <v>MANOR DR IDLEWILD MANOR EXT LOT 59</v>
      </c>
      <c r="D8844" s="1">
        <v>1377.43</v>
      </c>
    </row>
    <row r="8845" spans="1:4" x14ac:dyDescent="0.3">
      <c r="A8845" s="1" t="str">
        <f>"01007061400"</f>
        <v>01007061400</v>
      </c>
      <c r="B8845" s="1" t="str">
        <f>"MORRISON JANELLE M"</f>
        <v>MORRISON JANELLE M</v>
      </c>
      <c r="C8845" s="1" t="str">
        <f>"166 BRINKER AVE WESTGATE LOT 180"</f>
        <v>166 BRINKER AVE WESTGATE LOT 180</v>
      </c>
      <c r="D8845" s="1">
        <v>2197.62</v>
      </c>
    </row>
    <row r="8846" spans="1:4" x14ac:dyDescent="0.3">
      <c r="A8846" s="1" t="str">
        <f>"01001958100"</f>
        <v>01001958100</v>
      </c>
      <c r="B8846" s="1" t="str">
        <f>"MORRISON MARK T TOD"</f>
        <v>MORRISON MARK T TOD</v>
      </c>
      <c r="C8846" s="1" t="str">
        <f>"233 S 1MTH ST &amp; PT ALLEY VAC BUCKEYE PLACE LOT 18"</f>
        <v>233 S 1MTH ST &amp; PT ALLEY VAC BUCKEYE PLACE LOT 18</v>
      </c>
      <c r="D8846" s="1">
        <v>200.42</v>
      </c>
    </row>
    <row r="8847" spans="1:4" x14ac:dyDescent="0.3">
      <c r="A8847" s="1" t="str">
        <f>"14000463100"</f>
        <v>14000463100</v>
      </c>
      <c r="B8847" s="1" t="str">
        <f>"MORRISON PATRICIA"</f>
        <v>MORRISON PATRICIA</v>
      </c>
      <c r="C8847" s="1" t="str">
        <f>"1339 WEST PARK AVE RANSBURGH 2 LOTS 30-32"</f>
        <v>1339 WEST PARK AVE RANSBURGH 2 LOTS 30-32</v>
      </c>
      <c r="D8847" s="1">
        <v>1724.04</v>
      </c>
    </row>
    <row r="8848" spans="1:4" x14ac:dyDescent="0.3">
      <c r="A8848" s="1" t="str">
        <f>"01008650000"</f>
        <v>01008650000</v>
      </c>
      <c r="B8848" s="1" t="str">
        <f>"MORRISON SAMUEL K TR, MORRISON CAROLYN H TR"</f>
        <v>MORRISON SAMUEL K TR, MORRISON CAROLYN H TR</v>
      </c>
      <c r="C8848" s="1" t="str">
        <f>"E BEECHWOLD BLVD ZOOLADN LOT 34"</f>
        <v>E BEECHWOLD BLVD ZOOLADN LOT 34</v>
      </c>
      <c r="D8848" s="1">
        <v>215.69</v>
      </c>
    </row>
    <row r="8849" spans="1:4" x14ac:dyDescent="0.3">
      <c r="A8849" s="1" t="str">
        <f>"07000225200"</f>
        <v>07000225200</v>
      </c>
      <c r="B8849" s="1" t="str">
        <f>"MORRISON SAMUEL K TTEE, MORRISON CAROLYN H TTEE"</f>
        <v>MORRISON SAMUEL K TTEE, MORRISON CAROLYN H TTEE</v>
      </c>
      <c r="C8849" s="1" t="str">
        <f>"2420 COVENTRY ROAD UPPER ARLINGTON 3 BLK 135"</f>
        <v>2420 COVENTRY ROAD UPPER ARLINGTON 3 BLK 135</v>
      </c>
      <c r="D8849" s="1">
        <v>2235.38</v>
      </c>
    </row>
    <row r="8850" spans="1:4" x14ac:dyDescent="0.3">
      <c r="A8850" s="1" t="str">
        <f>"01006137600"</f>
        <v>01006137600</v>
      </c>
      <c r="B8850" s="1" t="str">
        <f>"MORRISON THOMAS ALEXANDER"</f>
        <v>MORRISON THOMAS ALEXANDER</v>
      </c>
      <c r="C8850" s="1" t="str">
        <f>"1435 REPUBLIC AVE HIGHWAY PARK LOT 186"</f>
        <v>1435 REPUBLIC AVE HIGHWAY PARK LOT 186</v>
      </c>
      <c r="D8850" s="1">
        <v>1836.01</v>
      </c>
    </row>
    <row r="8851" spans="1:4" x14ac:dyDescent="0.3">
      <c r="A8851" s="1" t="str">
        <f>"56022778400"</f>
        <v>56022778400</v>
      </c>
      <c r="B8851" s="1" t="str">
        <f>"MORRISON TIMOTHY, MORRISON SHERYL A"</f>
        <v>MORRISON TIMOTHY, MORRISON SHERYL A</v>
      </c>
      <c r="C8851" s="1" t="str">
        <f>"DURBAN DRIVE THORNAPPLE GROVE SEC 2 LOT 145"</f>
        <v>DURBAN DRIVE THORNAPPLE GROVE SEC 2 LOT 145</v>
      </c>
      <c r="D8851" s="1">
        <v>7626.19</v>
      </c>
    </row>
    <row r="8852" spans="1:4" x14ac:dyDescent="0.3">
      <c r="A8852" s="1" t="str">
        <f>"04000397800"</f>
        <v>04000397800</v>
      </c>
      <c r="B8852" s="1" t="str">
        <f>"MORROW JOHN D, MORROW CARLA J"</f>
        <v>MORROW JOHN D, MORROW CARLA J</v>
      </c>
      <c r="C8852" s="1" t="str">
        <f>"3634 CHRISTOPHER RD BROOK PK 152 "</f>
        <v xml:space="preserve">3634 CHRISTOPHER RD BROOK PK 152 </v>
      </c>
      <c r="D8852" s="1">
        <v>192.54</v>
      </c>
    </row>
    <row r="8853" spans="1:4" x14ac:dyDescent="0.3">
      <c r="A8853" s="1" t="str">
        <f>"01022585900"</f>
        <v>01022585900</v>
      </c>
      <c r="B8853" s="1" t="str">
        <f>"MORROW LYN"</f>
        <v>MORROW LYN</v>
      </c>
      <c r="C8853" s="1" t="str">
        <f>"SHARON WOODS SENIOR VILLAGE CONDO II UNIT 208"</f>
        <v>SHARON WOODS SENIOR VILLAGE CONDO II UNIT 208</v>
      </c>
      <c r="D8853" s="1">
        <v>69.08</v>
      </c>
    </row>
    <row r="8854" spans="1:4" x14ac:dyDescent="0.3">
      <c r="A8854" s="1" t="str">
        <f>"01013708700"</f>
        <v>01013708700</v>
      </c>
      <c r="B8854" s="1" t="str">
        <f>"MORROW MARTHA E"</f>
        <v>MORROW MARTHA E</v>
      </c>
      <c r="C8854" s="1" t="str">
        <f>"DEVTON DR HOLLY HILL 7 LOT 646"</f>
        <v>DEVTON DR HOLLY HILL 7 LOT 646</v>
      </c>
      <c r="D8854" s="1">
        <v>2057.37</v>
      </c>
    </row>
    <row r="8855" spans="1:4" x14ac:dyDescent="0.3">
      <c r="A8855" s="1" t="str">
        <f>"59022878800"</f>
        <v>59022878800</v>
      </c>
      <c r="B8855" s="1" t="str">
        <f>"MORSE KELLY N TR"</f>
        <v>MORSE KELLY N TR</v>
      </c>
      <c r="C8855" s="1" t="str">
        <f>"SUMMIT VIEW WOODS SECTION 5 PART 2 LOT 345"</f>
        <v>SUMMIT VIEW WOODS SECTION 5 PART 2 LOT 345</v>
      </c>
      <c r="D8855" s="1">
        <v>10038.48</v>
      </c>
    </row>
    <row r="8856" spans="1:4" x14ac:dyDescent="0.3">
      <c r="A8856" s="1" t="str">
        <f>"07000280700"</f>
        <v>07000280700</v>
      </c>
      <c r="B8856" s="1" t="str">
        <f>"MORSE MCKENZIE A"</f>
        <v>MORSE MCKENZIE A</v>
      </c>
      <c r="C8856" s="1" t="str">
        <f>"1936 WYANDOTTE RD UPPER ARLINGTON LOT 4 BLK 152"</f>
        <v>1936 WYANDOTTE RD UPPER ARLINGTON LOT 4 BLK 152</v>
      </c>
      <c r="D8856" s="1">
        <v>683.16</v>
      </c>
    </row>
    <row r="8857" spans="1:4" x14ac:dyDescent="0.3">
      <c r="A8857" s="1" t="str">
        <f>"02501293000"</f>
        <v>02501293000</v>
      </c>
      <c r="B8857" s="1" t="str">
        <f>"MORSE PHYLLIS"</f>
        <v>MORSE PHYLLIS</v>
      </c>
      <c r="C8857" s="1" t="str">
        <f>"VILLAGE AT STERLING PINES CONDOMINIUMS 7TH AMD BLDG 4 UNIT 1369"</f>
        <v>VILLAGE AT STERLING PINES CONDOMINIUMS 7TH AMD BLDG 4 UNIT 1369</v>
      </c>
      <c r="D8857" s="1">
        <v>2408.37</v>
      </c>
    </row>
    <row r="8858" spans="1:4" x14ac:dyDescent="0.3">
      <c r="A8858" s="1" t="str">
        <f>"01007942900"</f>
        <v>01007942900</v>
      </c>
      <c r="B8858" s="1" t="str">
        <f>"MORSE SARAH"</f>
        <v>MORSE SARAH</v>
      </c>
      <c r="C8858" s="1" t="str">
        <f>"1157 23RD AVE             LINMOOR       E1/2 LOT 129 &amp; ALL LOT 130"</f>
        <v>1157 23RD AVE             LINMOOR       E1/2 LOT 129 &amp; ALL LOT 130</v>
      </c>
      <c r="D8858" s="1">
        <v>1957.79</v>
      </c>
    </row>
    <row r="8859" spans="1:4" x14ac:dyDescent="0.3">
      <c r="A8859" s="1" t="str">
        <f>"11000308600"</f>
        <v>11000308600</v>
      </c>
      <c r="B8859" s="1" t="str">
        <f>"MORSE SCOTT, MORSE LINDA"</f>
        <v>MORSE SCOTT, MORSE LINDA</v>
      </c>
      <c r="C8859" s="1" t="str">
        <f>"RAVINE DR 22 &amp;510FT WL515.71FT EL WS 29 ROLLING RIDGE 22-29"</f>
        <v>RAVINE DR 22 &amp;510FT WL515.71FT EL WS 29 ROLLING RIDGE 22-29</v>
      </c>
      <c r="D8859" s="1">
        <v>12886.75</v>
      </c>
    </row>
    <row r="8860" spans="1:4" x14ac:dyDescent="0.3">
      <c r="A8860" s="1" t="str">
        <f>"21300189800"</f>
        <v>21300189800</v>
      </c>
      <c r="B8860" s="1" t="str">
        <f>"MORSE TED H, MORSE MICHELE D"</f>
        <v>MORSE TED H, MORSE MICHELE D</v>
      </c>
      <c r="C8860" s="1" t="str">
        <f>"CLUBVIEW BLVD S WORTHINGTON HILLS 2 LOT 302"</f>
        <v>CLUBVIEW BLVD S WORTHINGTON HILLS 2 LOT 302</v>
      </c>
      <c r="D8860" s="1">
        <v>9369.6</v>
      </c>
    </row>
    <row r="8861" spans="1:4" x14ac:dyDescent="0.3">
      <c r="A8861" s="1" t="str">
        <f>"01018527800"</f>
        <v>01018527800</v>
      </c>
      <c r="B8861" s="1" t="str">
        <f>"MORSETOWNE NOOK LLC"</f>
        <v>MORSETOWNE NOOK LLC</v>
      </c>
      <c r="C8861" s="1" t="str">
        <f>"MORSETOWN CT BRENTWOOD CONDO UNIT 3076 BLDG 7"</f>
        <v>MORSETOWN CT BRENTWOOD CONDO UNIT 3076 BLDG 7</v>
      </c>
      <c r="D8861" s="1">
        <v>1284.53</v>
      </c>
    </row>
    <row r="8862" spans="1:4" x14ac:dyDescent="0.3">
      <c r="A8862" s="1" t="str">
        <f>"01033332700"</f>
        <v>01033332700</v>
      </c>
      <c r="B8862" s="1" t="str">
        <f>"MORSO HOLDING CO"</f>
        <v>MORSO HOLDING CO</v>
      </c>
      <c r="C8862" s="1" t="str">
        <f>"  "</f>
        <v xml:space="preserve">  </v>
      </c>
      <c r="D8862" s="1">
        <v>6.05</v>
      </c>
    </row>
    <row r="8863" spans="1:4" x14ac:dyDescent="0.3">
      <c r="A8863" s="1" t="str">
        <f>"01009334000"</f>
        <v>01009334000</v>
      </c>
      <c r="B8863" s="1" t="str">
        <f>"MORTAZAVI AMIR, PEDRAM TANNAZ"</f>
        <v>MORTAZAVI AMIR, PEDRAM TANNAZ</v>
      </c>
      <c r="C8863" s="1" t="str">
        <f>"ELLSWORTH AVE SPENCERS LOT 40"</f>
        <v>ELLSWORTH AVE SPENCERS LOT 40</v>
      </c>
      <c r="D8863" s="1">
        <v>57.63</v>
      </c>
    </row>
    <row r="8864" spans="1:4" x14ac:dyDescent="0.3">
      <c r="A8864" s="1" t="str">
        <f>"01019535100"</f>
        <v>01019535100</v>
      </c>
      <c r="B8864" s="1" t="str">
        <f>"MORTINGER SAMUEL"</f>
        <v>MORTINGER SAMUEL</v>
      </c>
      <c r="C8864" s="1" t="str">
        <f>"PENNSYLVANIA AV           RENAISSANCE VILLAGE       LOT 40                   "</f>
        <v xml:space="preserve">PENNSYLVANIA AV           RENAISSANCE VILLAGE       LOT 40                   </v>
      </c>
      <c r="D8864" s="1">
        <v>3186.63</v>
      </c>
    </row>
    <row r="8865" spans="1:4" x14ac:dyDescent="0.3">
      <c r="A8865" s="1" t="str">
        <f>"01004847500"</f>
        <v>01004847500</v>
      </c>
      <c r="B8865" s="1" t="str">
        <f>"MORTLEY LOYAL H"</f>
        <v>MORTLEY LOYAL H</v>
      </c>
      <c r="C8865" s="1" t="str">
        <f>"MILFORD AVE INDIANOLA HIGHLANDS LOT 30"</f>
        <v>MILFORD AVE INDIANOLA HIGHLANDS LOT 30</v>
      </c>
      <c r="D8865" s="1">
        <v>5245.68</v>
      </c>
    </row>
    <row r="8866" spans="1:4" x14ac:dyDescent="0.3">
      <c r="A8866" s="1" t="str">
        <f>"01006597800"</f>
        <v>01006597800</v>
      </c>
      <c r="B8866" s="1" t="str">
        <f>"MORTON ANGELA SUE"</f>
        <v>MORTON ANGELA SUE</v>
      </c>
      <c r="C8866" s="1" t="str">
        <f>"AMHERST AVE HAZELWOOD LOT 77"</f>
        <v>AMHERST AVE HAZELWOOD LOT 77</v>
      </c>
      <c r="D8866" s="1">
        <v>692.55</v>
      </c>
    </row>
    <row r="8867" spans="1:4" x14ac:dyDescent="0.3">
      <c r="A8867" s="1" t="str">
        <f>"01013715900"</f>
        <v>01013715900</v>
      </c>
      <c r="B8867" s="1" t="str">
        <f>"MORTON OLIVIA D"</f>
        <v>MORTON OLIVIA D</v>
      </c>
      <c r="C8867" s="1" t="str">
        <f>"ZETTLER RD HAVILAND 1 LOT 6"</f>
        <v>ZETTLER RD HAVILAND 1 LOT 6</v>
      </c>
      <c r="D8867" s="1">
        <v>2406.39</v>
      </c>
    </row>
    <row r="8868" spans="1:4" x14ac:dyDescent="0.3">
      <c r="A8868" s="1" t="str">
        <f>"02500147200"</f>
        <v>02500147200</v>
      </c>
      <c r="B8868" s="1" t="str">
        <f>"MORTON ROBERTA"</f>
        <v>MORTON ROBERTA</v>
      </c>
      <c r="C8868" s="1" t="str">
        <f>"597 PALACE LN ROYAL MANOR LOT 290"</f>
        <v>597 PALACE LN ROYAL MANOR LOT 290</v>
      </c>
      <c r="D8868" s="1">
        <v>184.47</v>
      </c>
    </row>
    <row r="8869" spans="1:4" x14ac:dyDescent="0.3">
      <c r="A8869" s="1" t="str">
        <f>"27301112800"</f>
        <v>27301112800</v>
      </c>
      <c r="B8869" s="1" t="str">
        <f>"MOSES CHARLES RICHARD, MOSES ANN"</f>
        <v>MOSES CHARLES RICHARD, MOSES ANN</v>
      </c>
      <c r="C8869" s="1" t="str">
        <f>"WUERTZ COURT LLEWELLYN FARMS SOUTH LOT 22"</f>
        <v>WUERTZ COURT LLEWELLYN FARMS SOUTH LOT 22</v>
      </c>
      <c r="D8869" s="1">
        <v>13444.18</v>
      </c>
    </row>
    <row r="8870" spans="1:4" x14ac:dyDescent="0.3">
      <c r="A8870" s="1" t="str">
        <f>"01010523200"</f>
        <v>01010523200</v>
      </c>
      <c r="B8870" s="1" t="str">
        <f>"MOSES REALTY LLC"</f>
        <v>MOSES REALTY LLC</v>
      </c>
      <c r="C8870" s="1" t="str">
        <f>"BOLIVAR ARMS URBAN RENEWAL 1 PT LT2-B=3.7589 ACS"</f>
        <v>BOLIVAR ARMS URBAN RENEWAL 1 PT LT2-B=3.7589 ACS</v>
      </c>
      <c r="D8870" s="1">
        <v>150829.1</v>
      </c>
    </row>
    <row r="8871" spans="1:4" x14ac:dyDescent="0.3">
      <c r="A8871" s="1" t="str">
        <f>"61017800200"</f>
        <v>61017800200</v>
      </c>
      <c r="B8871" s="1" t="str">
        <f>"MOSHER ROBERT"</f>
        <v>MOSHER ROBERT</v>
      </c>
      <c r="C8871" s="1" t="str">
        <f>"SAWBURY BLVD SUMMERWOOD SEC NO 2 LOT 168"</f>
        <v>SAWBURY BLVD SUMMERWOOD SEC NO 2 LOT 168</v>
      </c>
      <c r="D8871" s="1">
        <v>34.5</v>
      </c>
    </row>
    <row r="8872" spans="1:4" x14ac:dyDescent="0.3">
      <c r="A8872" s="1" t="str">
        <f>"20000024400"</f>
        <v>20000024400</v>
      </c>
      <c r="B8872" s="1" t="str">
        <f>"MOSKALYUK VIKTOR, MOSKALYUK GALINA"</f>
        <v>MOSKALYUK VIKTOR, MOSKALYUK GALINA</v>
      </c>
      <c r="C8872" s="1" t="str">
        <f>"4777 LEPPERT RD VMS 6366 4.358 ACRES"</f>
        <v>4777 LEPPERT RD VMS 6366 4.358 ACRES</v>
      </c>
      <c r="D8872" s="1">
        <v>7482.79</v>
      </c>
    </row>
    <row r="8873" spans="1:4" x14ac:dyDescent="0.3">
      <c r="A8873" s="1" t="str">
        <f>"01013439300"</f>
        <v>01013439300</v>
      </c>
      <c r="B8873" s="1" t="str">
        <f>"MOSLEY STEPHANIE"</f>
        <v>MOSLEY STEPHANIE</v>
      </c>
      <c r="C8873" s="1" t="str">
        <f>"BULEN AVE RADCLIFF 2 LOT 250"</f>
        <v>BULEN AVE RADCLIFF 2 LOT 250</v>
      </c>
      <c r="D8873" s="1">
        <v>1230.58</v>
      </c>
    </row>
    <row r="8874" spans="1:4" x14ac:dyDescent="0.3">
      <c r="A8874" s="1" t="str">
        <f>"51525808800"</f>
        <v>51525808800</v>
      </c>
      <c r="B8874" s="1" t="str">
        <f>"MOSS ESTATES LLC"</f>
        <v>MOSS ESTATES LLC</v>
      </c>
      <c r="C8874" s="1" t="str">
        <f>"WAGGONER PARK CONDOMINIUM UNIT 8220"</f>
        <v>WAGGONER PARK CONDOMINIUM UNIT 8220</v>
      </c>
      <c r="D8874" s="1">
        <v>1210.79</v>
      </c>
    </row>
    <row r="8875" spans="1:4" x14ac:dyDescent="0.3">
      <c r="A8875" s="1" t="str">
        <f>"51525581200"</f>
        <v>51525581200</v>
      </c>
      <c r="B8875" s="1" t="str">
        <f>"MOSS ESTATES LLC"</f>
        <v>MOSS ESTATES LLC</v>
      </c>
      <c r="C8875" s="1" t="str">
        <f>"FARM HILL DRIVE CRAWFORD FARMS SECTION 5 PART 1 LOT 274"</f>
        <v>FARM HILL DRIVE CRAWFORD FARMS SECTION 5 PART 1 LOT 274</v>
      </c>
      <c r="D8875" s="1">
        <v>1123.67</v>
      </c>
    </row>
    <row r="8876" spans="1:4" x14ac:dyDescent="0.3">
      <c r="A8876" s="1" t="str">
        <f>"17100124900"</f>
        <v>17100124900</v>
      </c>
      <c r="B8876" s="1" t="str">
        <f>"MOSS ESTATES LLC"</f>
        <v>MOSS ESTATES LLC</v>
      </c>
      <c r="C8876" s="1" t="str">
        <f>"VILLAGE AT JEFFERSON RUN WEST S-F HOMES CONDO 9TH AMD UNIT 156"</f>
        <v>VILLAGE AT JEFFERSON RUN WEST S-F HOMES CONDO 9TH AMD UNIT 156</v>
      </c>
      <c r="D8876" s="1">
        <v>465.15</v>
      </c>
    </row>
    <row r="8877" spans="1:4" x14ac:dyDescent="0.3">
      <c r="A8877" s="1" t="str">
        <f>"17000108000"</f>
        <v>17000108000</v>
      </c>
      <c r="B8877" s="1" t="str">
        <f>"MOSS ESTATES LLC"</f>
        <v>MOSS ESTATES LLC</v>
      </c>
      <c r="C8877" s="1" t="str">
        <f>"7346 E BROAD ST R16 T1 1-4T4 0.399 ACRE"</f>
        <v>7346 E BROAD ST R16 T1 1-4T4 0.399 ACRE</v>
      </c>
      <c r="D8877" s="1">
        <v>1588.16</v>
      </c>
    </row>
    <row r="8878" spans="1:4" x14ac:dyDescent="0.3">
      <c r="A8878" s="1" t="str">
        <f>"51524092600"</f>
        <v>51524092600</v>
      </c>
      <c r="B8878" s="1" t="str">
        <f>"MOSS ESTATES LLC"</f>
        <v>MOSS ESTATES LLC</v>
      </c>
      <c r="C8878" s="1" t="str">
        <f>"SEA STAR DRIVE WOODS AT JEFFERSON SECTION 4 LOT 222"</f>
        <v>SEA STAR DRIVE WOODS AT JEFFERSON SECTION 4 LOT 222</v>
      </c>
      <c r="D8878" s="1">
        <v>456.19</v>
      </c>
    </row>
    <row r="8879" spans="1:4" x14ac:dyDescent="0.3">
      <c r="A8879" s="1" t="str">
        <f>"51524669600"</f>
        <v>51524669600</v>
      </c>
      <c r="B8879" s="1" t="str">
        <f>"MOSS ESTATES LLC"</f>
        <v>MOSS ESTATES LLC</v>
      </c>
      <c r="C8879" s="1" t="str">
        <f>"GRANDLIN PARK DRIVE CRAWFORD FARMS SECTION 3 LOT 118"</f>
        <v>GRANDLIN PARK DRIVE CRAWFORD FARMS SECTION 3 LOT 118</v>
      </c>
      <c r="D8879" s="1">
        <v>1099.0999999999999</v>
      </c>
    </row>
    <row r="8880" spans="1:4" x14ac:dyDescent="0.3">
      <c r="A8880" s="1" t="str">
        <f>"55014348800"</f>
        <v>55014348800</v>
      </c>
      <c r="B8880" s="1" t="str">
        <f>"MOSS ESTATES LLC"</f>
        <v>MOSS ESTATES LLC</v>
      </c>
      <c r="C8880" s="1" t="str">
        <f>"6561 RED COACH LANE RED FOX HOLLOW 3 LOT 56"</f>
        <v>6561 RED COACH LANE RED FOX HOLLOW 3 LOT 56</v>
      </c>
      <c r="D8880" s="1">
        <v>1393.57</v>
      </c>
    </row>
    <row r="8881" spans="1:4" x14ac:dyDescent="0.3">
      <c r="A8881" s="1" t="str">
        <f>"17100127000"</f>
        <v>17100127000</v>
      </c>
      <c r="B8881" s="1" t="str">
        <f>"MOSS ESTATES LLC"</f>
        <v>MOSS ESTATES LLC</v>
      </c>
      <c r="C8881" s="1" t="str">
        <f>"THE VILLAGE AT JEFFERSON RUN WEST; S-F HOMES CONDO 11TH AMD  UNIT 127"</f>
        <v>THE VILLAGE AT JEFFERSON RUN WEST; S-F HOMES CONDO 11TH AMD  UNIT 127</v>
      </c>
      <c r="D8881" s="1">
        <v>199.61</v>
      </c>
    </row>
    <row r="8882" spans="1:4" x14ac:dyDescent="0.3">
      <c r="A8882" s="1" t="str">
        <f>"51526149800"</f>
        <v>51526149800</v>
      </c>
      <c r="B8882" s="1" t="str">
        <f>"MOSS ESTATES LLC"</f>
        <v>MOSS ESTATES LLC</v>
      </c>
      <c r="C8882" s="1" t="str">
        <f>"FARM HILL DRIVE CRAWFORD FARMS SECTION 6 PART 2 LOT 388"</f>
        <v>FARM HILL DRIVE CRAWFORD FARMS SECTION 6 PART 2 LOT 388</v>
      </c>
      <c r="D8882" s="1">
        <v>2075.15</v>
      </c>
    </row>
    <row r="8883" spans="1:4" x14ac:dyDescent="0.3">
      <c r="A8883" s="1" t="str">
        <f>"17100072800"</f>
        <v>17100072800</v>
      </c>
      <c r="B8883" s="1" t="str">
        <f>"MOSS ESTATES LLC"</f>
        <v>MOSS ESTATES LLC</v>
      </c>
      <c r="C8883" s="1" t="str">
        <f>"RAMEYS CROSSING DRIVE WILLOW BROOK CROSSING PART 1 LOT 48"</f>
        <v>RAMEYS CROSSING DRIVE WILLOW BROOK CROSSING PART 1 LOT 48</v>
      </c>
      <c r="D8883" s="1">
        <v>1308.05</v>
      </c>
    </row>
    <row r="8884" spans="1:4" x14ac:dyDescent="0.3">
      <c r="A8884" s="1" t="str">
        <f>"01012496600"</f>
        <v>01012496600</v>
      </c>
      <c r="B8884" s="1" t="str">
        <f>"MOSS TIMOTHY R"</f>
        <v>MOSS TIMOTHY R</v>
      </c>
      <c r="C8884" s="1" t="str">
        <f>"HOLLY HILL DR HOLLY HILL LOT 93"</f>
        <v>HOLLY HILL DR HOLLY HILL LOT 93</v>
      </c>
      <c r="D8884" s="1">
        <v>116.73</v>
      </c>
    </row>
    <row r="8885" spans="1:4" x14ac:dyDescent="0.3">
      <c r="A8885" s="1" t="str">
        <f>"17100142300"</f>
        <v>17100142300</v>
      </c>
      <c r="B8885" s="1" t="str">
        <f>"MOSS WILLIAM R"</f>
        <v>MOSS WILLIAM R</v>
      </c>
      <c r="C8885" s="1" t="str">
        <f>"VILLAGE AT JEFFRSON RUN WEST S-F HOMES CONDO 18TH AMD UNIT 211"</f>
        <v>VILLAGE AT JEFFRSON RUN WEST S-F HOMES CONDO 18TH AMD UNIT 211</v>
      </c>
      <c r="D8885" s="1">
        <v>470.1</v>
      </c>
    </row>
    <row r="8886" spans="1:4" x14ac:dyDescent="0.3">
      <c r="A8886" s="1" t="str">
        <f>"51525068900"</f>
        <v>51525068900</v>
      </c>
      <c r="B8886" s="1" t="str">
        <f>"MOSS WILLIAM R III"</f>
        <v>MOSS WILLIAM R III</v>
      </c>
      <c r="C8886" s="1" t="str">
        <f>"GRANDLIN PARK DRIVE CRAWFORD FARMS SECTION 4 LOT 180"</f>
        <v>GRANDLIN PARK DRIVE CRAWFORD FARMS SECTION 4 LOT 180</v>
      </c>
      <c r="D8886" s="1">
        <v>303.26</v>
      </c>
    </row>
    <row r="8887" spans="1:4" x14ac:dyDescent="0.3">
      <c r="A8887" s="1" t="str">
        <f>"27300696300"</f>
        <v>27300696300</v>
      </c>
      <c r="B8887" s="1" t="str">
        <f>"MOSSMAN MATTHEW R TR, MOSSMAN DARCY D TR"</f>
        <v>MOSSMAN MATTHEW R TR, MOSSMAN DARCY D TR</v>
      </c>
      <c r="C8887" s="1" t="str">
        <f>"WILCOX ROAD TRINITY PARK SEC 1 LOT 7"</f>
        <v>WILCOX ROAD TRINITY PARK SEC 1 LOT 7</v>
      </c>
      <c r="D8887" s="1">
        <v>22.52</v>
      </c>
    </row>
    <row r="8888" spans="1:4" x14ac:dyDescent="0.3">
      <c r="A8888" s="1" t="str">
        <f>"01009309100"</f>
        <v>01009309100</v>
      </c>
      <c r="B8888" s="1" t="str">
        <f>"MOTHERS INK HOUSING LLC"</f>
        <v>MOTHERS INK HOUSING LLC</v>
      </c>
      <c r="C8888" s="1" t="str">
        <f>"JAMES ROAD MAYFAIR PT LOT 12"</f>
        <v>JAMES ROAD MAYFAIR PT LOT 12</v>
      </c>
      <c r="D8888" s="1">
        <v>4198.55</v>
      </c>
    </row>
    <row r="8889" spans="1:4" x14ac:dyDescent="0.3">
      <c r="A8889" s="1" t="str">
        <f>"06000980200"</f>
        <v>06000980200</v>
      </c>
      <c r="B8889" s="1" t="str">
        <f>"MOTHERS INK HOUSING LLC"</f>
        <v>MOTHERS INK HOUSING LLC</v>
      </c>
      <c r="C8889" s="1" t="str">
        <f>"STRAHL ROAD R20 T16 S18 1/4S29 1.00 ACRE"</f>
        <v>STRAHL ROAD R20 T16 S18 1/4S29 1.00 ACRE</v>
      </c>
      <c r="D8889" s="1">
        <v>10157.58</v>
      </c>
    </row>
    <row r="8890" spans="1:4" x14ac:dyDescent="0.3">
      <c r="A8890" s="1" t="str">
        <f>"01020485400"</f>
        <v>01020485400</v>
      </c>
      <c r="B8890" s="1" t="str">
        <f>"MOTLEY BARBARA JEAN"</f>
        <v>MOTLEY BARBARA JEAN</v>
      </c>
      <c r="C8890" s="1" t="str">
        <f>"PATRIOT BLVD CONCORD SECTION 2 LOT 15"</f>
        <v>PATRIOT BLVD CONCORD SECTION 2 LOT 15</v>
      </c>
      <c r="D8890" s="1">
        <v>2637.47</v>
      </c>
    </row>
    <row r="8891" spans="1:4" x14ac:dyDescent="0.3">
      <c r="A8891" s="1" t="str">
        <f>"51526860200"</f>
        <v>51526860200</v>
      </c>
      <c r="B8891" s="1" t="str">
        <f>"MOTLEY NORMA"</f>
        <v>MOTLEY NORMA</v>
      </c>
      <c r="C8891" s="1" t="str">
        <f>"CHAPEL STONE RD           DORCHESTER SECTION 1      LOT 18                   "</f>
        <v xml:space="preserve">CHAPEL STONE RD           DORCHESTER SECTION 1      LOT 18                   </v>
      </c>
      <c r="D8891" s="1">
        <v>6400.89</v>
      </c>
    </row>
    <row r="8892" spans="1:4" x14ac:dyDescent="0.3">
      <c r="A8892" s="1" t="str">
        <f>"17000392900"</f>
        <v>17000392900</v>
      </c>
      <c r="B8892" s="1" t="str">
        <f>"MOTTER REBECCA, MOTTER ANDREW"</f>
        <v>MOTTER REBECCA, MOTTER ANDREW</v>
      </c>
      <c r="C8892" s="1" t="str">
        <f>" PINECREST SEC 2 LOT 21"</f>
        <v xml:space="preserve"> PINECREST SEC 2 LOT 21</v>
      </c>
      <c r="D8892" s="1">
        <v>657.81</v>
      </c>
    </row>
    <row r="8893" spans="1:4" x14ac:dyDescent="0.3">
      <c r="A8893" s="1" t="str">
        <f>"01005157700"</f>
        <v>01005157700</v>
      </c>
      <c r="B8893" s="1" t="str">
        <f>"MOTTON BEVERLY"</f>
        <v>MOTTON BEVERLY</v>
      </c>
      <c r="C8893" s="1" t="str">
        <f>"283 MIAMI AVE KNAPP DEWITT &amp; HOFFMAN LOT 54"</f>
        <v>283 MIAMI AVE KNAPP DEWITT &amp; HOFFMAN LOT 54</v>
      </c>
      <c r="D8893" s="1">
        <v>137.88999999999999</v>
      </c>
    </row>
    <row r="8894" spans="1:4" x14ac:dyDescent="0.3">
      <c r="A8894" s="1" t="str">
        <f>"01010417200"</f>
        <v>01010417200</v>
      </c>
      <c r="B8894" s="1" t="str">
        <f>"MOTTON JOHN G JR"</f>
        <v>MOTTON JOHN G JR</v>
      </c>
      <c r="C8894" s="1" t="str">
        <f>"1580 BERKELEY RD COURT SUB 5 0.2648 ACRE"</f>
        <v>1580 BERKELEY RD COURT SUB 5 0.2648 ACRE</v>
      </c>
      <c r="D8894" s="1">
        <v>1559.15</v>
      </c>
    </row>
    <row r="8895" spans="1:4" x14ac:dyDescent="0.3">
      <c r="A8895" s="1" t="str">
        <f>"60018581500"</f>
        <v>60018581500</v>
      </c>
      <c r="B8895" s="1" t="str">
        <f>"MOULD LEWIS TTEE, MOULD JACQUELINE C TTEE"</f>
        <v>MOULD LEWIS TTEE, MOULD JACQUELINE C TTEE</v>
      </c>
      <c r="C8895" s="1" t="str">
        <f>"FOREST HILLS BL SHERWD COL CONDO PH1 BLDG 1 UNIT B"</f>
        <v>FOREST HILLS BL SHERWD COL CONDO PH1 BLDG 1 UNIT B</v>
      </c>
      <c r="D8895" s="1">
        <v>112.96</v>
      </c>
    </row>
    <row r="8896" spans="1:4" x14ac:dyDescent="0.3">
      <c r="A8896" s="1" t="str">
        <f>"01006930000"</f>
        <v>01006930000</v>
      </c>
      <c r="B8896" s="1" t="str">
        <f>"MOUND STREET MARKET INC"</f>
        <v>MOUND STREET MARKET INC</v>
      </c>
      <c r="C8896" s="1" t="str">
        <f>"MOUND ST PLEASANT HOME SITES LOT 4"</f>
        <v>MOUND ST PLEASANT HOME SITES LOT 4</v>
      </c>
      <c r="D8896" s="1">
        <v>6940.47</v>
      </c>
    </row>
    <row r="8897" spans="1:4" x14ac:dyDescent="0.3">
      <c r="A8897" s="1" t="str">
        <f>"01002165700"</f>
        <v>01002165700</v>
      </c>
      <c r="B8897" s="1" t="str">
        <f>"MOUNT CALVARY HOLY CHURCH OF AMERICA INC"</f>
        <v>MOUNT CALVARY HOLY CHURCH OF AMERICA INC</v>
      </c>
      <c r="C8897" s="1" t="str">
        <f>"MT VERNON AVE HILDRETH LOT 82"</f>
        <v>MT VERNON AVE HILDRETH LOT 82</v>
      </c>
      <c r="D8897" s="1">
        <v>19.829999999999998</v>
      </c>
    </row>
    <row r="8898" spans="1:4" x14ac:dyDescent="0.3">
      <c r="A8898" s="1" t="str">
        <f>"04001573100"</f>
        <v>04001573100</v>
      </c>
      <c r="B8898" s="1" t="str">
        <f>"MOUNT CARMEL HEALTH SYSTEM"</f>
        <v>MOUNT CARMEL HEALTH SYSTEM</v>
      </c>
      <c r="C8898" s="1" t="str">
        <f>"MOUNT CARMEL HEALTH SYSTEM GROVE CITY HOSPITAL LOT 2"</f>
        <v>MOUNT CARMEL HEALTH SYSTEM GROVE CITY HOSPITAL LOT 2</v>
      </c>
      <c r="D8898" s="1">
        <v>137.59</v>
      </c>
    </row>
    <row r="8899" spans="1:4" x14ac:dyDescent="0.3">
      <c r="A8899" s="1" t="str">
        <f>"04001573200"</f>
        <v>04001573200</v>
      </c>
      <c r="B8899" s="1" t="str">
        <f>"MOUNT CARMEL HEALTH SYSTEM"</f>
        <v>MOUNT CARMEL HEALTH SYSTEM</v>
      </c>
      <c r="C8899" s="1" t="str">
        <f>"MOUNT CARMEL HEALTH SYSTEM GROVE CITY HOSPITAL LOT 3"</f>
        <v>MOUNT CARMEL HEALTH SYSTEM GROVE CITY HOSPITAL LOT 3</v>
      </c>
      <c r="D8899" s="1">
        <v>289.41000000000003</v>
      </c>
    </row>
    <row r="8900" spans="1:4" x14ac:dyDescent="0.3">
      <c r="A8900" s="1" t="str">
        <f>"01012818300"</f>
        <v>01012818300</v>
      </c>
      <c r="B8900" s="1" t="str">
        <f>"MOUNT LOTUS PROPERTIES LLC"</f>
        <v>MOUNT LOTUS PROPERTIES LLC</v>
      </c>
      <c r="C8900" s="1" t="str">
        <f>"MANOLA DR BERWYN LOT 309"</f>
        <v>MANOLA DR BERWYN LOT 309</v>
      </c>
      <c r="D8900" s="1">
        <v>1473.23</v>
      </c>
    </row>
    <row r="8901" spans="1:4" x14ac:dyDescent="0.3">
      <c r="A8901" s="1" t="str">
        <f>"01006964400"</f>
        <v>01006964400</v>
      </c>
      <c r="B8901" s="1" t="str">
        <f>"MOUNT NORTH CAPITAL 5 LLC"</f>
        <v>MOUNT NORTH CAPITAL 5 LLC</v>
      </c>
      <c r="C8901" s="1" t="str">
        <f>"1827ABERDEENAVE.231 ACRE BURWELL SUB 4"</f>
        <v>1827ABERDEENAVE.231 ACRE BURWELL SUB 4</v>
      </c>
      <c r="D8901" s="1">
        <v>1125.19</v>
      </c>
    </row>
    <row r="8902" spans="1:4" x14ac:dyDescent="0.3">
      <c r="A8902" s="1" t="str">
        <f>"18400100200"</f>
        <v>18400100200</v>
      </c>
      <c r="B8902" s="1" t="str">
        <f>"MOUNTAIN AGENCY LLC"</f>
        <v>MOUNTAIN AGENCY LLC</v>
      </c>
      <c r="C8902" s="1" t="str">
        <f>"GENDER RD R21 T11 S24 33.221 ACRES"</f>
        <v>GENDER RD R21 T11 S24 33.221 ACRES</v>
      </c>
      <c r="D8902" s="1">
        <v>6727.01</v>
      </c>
    </row>
    <row r="8903" spans="1:4" x14ac:dyDescent="0.3">
      <c r="A8903" s="1" t="str">
        <f>"07000692500"</f>
        <v>07000692500</v>
      </c>
      <c r="B8903" s="1" t="str">
        <f>"MOUNTRY KINGKEO, MOUNTRY OT C"</f>
        <v>MOUNTRY KINGKEO, MOUNTRY OT C</v>
      </c>
      <c r="C8903" s="1" t="str">
        <f>"FISHINGER RD RIVER RIDGE 8 BLK 32"</f>
        <v>FISHINGER RD RIVER RIDGE 8 BLK 32</v>
      </c>
      <c r="D8903" s="1">
        <v>6983.95</v>
      </c>
    </row>
    <row r="8904" spans="1:4" x14ac:dyDescent="0.3">
      <c r="A8904" s="1" t="str">
        <f>"01011250500"</f>
        <v>01011250500</v>
      </c>
      <c r="B8904" s="1" t="str">
        <f>"MOUNTRY OT, MOUNTRY KINGKEO"</f>
        <v>MOUNTRY OT, MOUNTRY KINGKEO</v>
      </c>
      <c r="C8904" s="1" t="str">
        <f>"MOLER RD ACRES 1 LOT 1"</f>
        <v>MOLER RD ACRES 1 LOT 1</v>
      </c>
      <c r="D8904" s="1">
        <v>2458.85</v>
      </c>
    </row>
    <row r="8905" spans="1:4" x14ac:dyDescent="0.3">
      <c r="A8905" s="1" t="str">
        <f>"01011714500"</f>
        <v>01011714500</v>
      </c>
      <c r="B8905" s="1" t="str">
        <f>"MOUNTRY OT, MOUNTRY KINGKEO"</f>
        <v>MOUNTRY OT, MOUNTRY KINGKEO</v>
      </c>
      <c r="C8905" s="1" t="str">
        <f>"LINWOOD AVE LEONARD JANISCH LOT 11"</f>
        <v>LINWOOD AVE LEONARD JANISCH LOT 11</v>
      </c>
      <c r="D8905" s="1">
        <v>4403.05</v>
      </c>
    </row>
    <row r="8906" spans="1:4" x14ac:dyDescent="0.3">
      <c r="A8906" s="1" t="str">
        <f>"01012916100"</f>
        <v>01012916100</v>
      </c>
      <c r="B8906" s="1" t="str">
        <f>"MOUNTRY OT, MOUNTRY KINGKEO"</f>
        <v>MOUNTRY OT, MOUNTRY KINGKEO</v>
      </c>
      <c r="C8906" s="1" t="str">
        <f>"SMITH RD ACRES 0.12 MILLBROOK RES C "</f>
        <v xml:space="preserve">SMITH RD ACRES 0.12 MILLBROOK RES C </v>
      </c>
      <c r="D8906" s="1">
        <v>5.84</v>
      </c>
    </row>
    <row r="8907" spans="1:4" x14ac:dyDescent="0.3">
      <c r="A8907" s="1" t="str">
        <f>"18500075200"</f>
        <v>18500075200</v>
      </c>
      <c r="B8907" s="1" t="str">
        <f>"MOUNTS JOYCE J"</f>
        <v>MOUNTS JOYCE J</v>
      </c>
      <c r="C8907" s="1" t="str">
        <f>"KINSEL AVE .024AC R21 T11 S29 30-31 "</f>
        <v xml:space="preserve">KINSEL AVE .024AC R21 T11 S29 30-31 </v>
      </c>
      <c r="D8907" s="1">
        <v>14.55</v>
      </c>
    </row>
    <row r="8908" spans="1:4" x14ac:dyDescent="0.3">
      <c r="A8908" s="1" t="str">
        <f>"15200094600"</f>
        <v>15200094600</v>
      </c>
      <c r="B8908" s="1" t="str">
        <f>"MOUNTS PAUL D"</f>
        <v>MOUNTS PAUL D</v>
      </c>
      <c r="C8908" s="1" t="str">
        <f>"SEDAN AVE R22 T4 S13 0.698 ACRE"</f>
        <v>SEDAN AVE R22 T4 S13 0.698 ACRE</v>
      </c>
      <c r="D8908" s="1">
        <v>1460.5</v>
      </c>
    </row>
    <row r="8909" spans="1:4" x14ac:dyDescent="0.3">
      <c r="A8909" s="1" t="str">
        <f>"02500765300"</f>
        <v>02500765300</v>
      </c>
      <c r="B8909" s="1" t="str">
        <f>"MOUNTS SCOTT S, MOUNTS LYNDA R"</f>
        <v>MOUNTS SCOTT S, MOUNTS LYNDA R</v>
      </c>
      <c r="C8909" s="1" t="str">
        <f>"195 GREENBANK ROAD CHERRY BOTTOM GLADE LOT 59"</f>
        <v>195 GREENBANK ROAD CHERRY BOTTOM GLADE LOT 59</v>
      </c>
      <c r="D8909" s="1">
        <v>260.61</v>
      </c>
    </row>
    <row r="8910" spans="1:4" x14ac:dyDescent="0.3">
      <c r="A8910" s="1" t="str">
        <f>"01008563200"</f>
        <v>01008563200</v>
      </c>
      <c r="B8910" s="1" t="str">
        <f>"MOURN TIFFANIE M TTEE, MOURN JERRY E TTEE"</f>
        <v>MOURN TIFFANIE M TTEE, MOURN JERRY E TTEE</v>
      </c>
      <c r="C8910" s="1" t="str">
        <f>"100 W BEECHWOLD BLVD BEECHWOLD LOT 100-1"</f>
        <v>100 W BEECHWOLD BLVD BEECHWOLD LOT 100-1</v>
      </c>
      <c r="D8910" s="1">
        <v>875.93</v>
      </c>
    </row>
    <row r="8911" spans="1:4" x14ac:dyDescent="0.3">
      <c r="A8911" s="1" t="str">
        <f>"04000161900"</f>
        <v>04000161900</v>
      </c>
      <c r="B8911" s="1" t="str">
        <f>"MOUSER AUSTIN"</f>
        <v>MOUSER AUSTIN</v>
      </c>
      <c r="C8911" s="1" t="str">
        <f>"4232 BEECHGROVE DR BROOKGROVE LOT 99 "</f>
        <v xml:space="preserve">4232 BEECHGROVE DR BROOKGROVE LOT 99 </v>
      </c>
      <c r="D8911" s="1">
        <v>4105.8599999999997</v>
      </c>
    </row>
    <row r="8912" spans="1:4" x14ac:dyDescent="0.3">
      <c r="A8912" s="1" t="str">
        <f>"15200036900"</f>
        <v>15200036900</v>
      </c>
      <c r="B8912" s="1" t="str">
        <f>"MOUSSA ABDELAZIZ, ABBACI ZINEDDINE"</f>
        <v>MOUSSA ABDELAZIZ, ABBACI ZINEDDINE</v>
      </c>
      <c r="C8912" s="1" t="str">
        <f>"1722 OBETZ AVE COLUMBUS TERRACE 27 E 1/2 28"</f>
        <v>1722 OBETZ AVE COLUMBUS TERRACE 27 E 1/2 28</v>
      </c>
      <c r="D8912" s="1">
        <v>1496.21</v>
      </c>
    </row>
    <row r="8913" spans="1:4" x14ac:dyDescent="0.3">
      <c r="A8913" s="1" t="str">
        <f>"15200037000"</f>
        <v>15200037000</v>
      </c>
      <c r="B8913" s="1" t="str">
        <f>"MOUSSA ABDELAZIZ, ABBACI ZINEDDINE"</f>
        <v>MOUSSA ABDELAZIZ, ABBACI ZINEDDINE</v>
      </c>
      <c r="C8913" s="1" t="str">
        <f>"OBETZ AVE COLUMBUS TERRACE LOT 29 PT 28"</f>
        <v>OBETZ AVE COLUMBUS TERRACE LOT 29 PT 28</v>
      </c>
      <c r="D8913" s="1">
        <v>360.83</v>
      </c>
    </row>
    <row r="8914" spans="1:4" x14ac:dyDescent="0.3">
      <c r="A8914" s="1" t="str">
        <f>"27200049700"</f>
        <v>27200049700</v>
      </c>
      <c r="B8914" s="1" t="str">
        <f>"MOUSSA TAREK M"</f>
        <v>MOUSSA TAREK M</v>
      </c>
      <c r="C8914" s="1" t="str">
        <f>"5055 AVERY RD VMS 3453 2.9960 ACRES"</f>
        <v>5055 AVERY RD VMS 3453 2.9960 ACRES</v>
      </c>
      <c r="D8914" s="1">
        <v>10425.75</v>
      </c>
    </row>
    <row r="8915" spans="1:4" x14ac:dyDescent="0.3">
      <c r="A8915" s="1" t="str">
        <f>"27200041400"</f>
        <v>27200041400</v>
      </c>
      <c r="B8915" s="1" t="str">
        <f>"MOUSSA TAREK M, SIBAII BAYAN"</f>
        <v>MOUSSA TAREK M, SIBAII BAYAN</v>
      </c>
      <c r="C8915" s="1" t="str">
        <f>"HAYDEN RUN RD 2.835 ACRES ENTRY 3453"</f>
        <v>HAYDEN RUN RD 2.835 ACRES ENTRY 3453</v>
      </c>
      <c r="D8915" s="1">
        <v>16476.28</v>
      </c>
    </row>
    <row r="8916" spans="1:4" x14ac:dyDescent="0.3">
      <c r="A8916" s="1" t="str">
        <f>"07000441200"</f>
        <v>07000441200</v>
      </c>
      <c r="B8916" s="1" t="str">
        <f>"MOUTVIC RONALD R TR, MOUTVIC ELIZABETH L TR"</f>
        <v>MOUTVIC RONALD R TR, MOUTVIC ELIZABETH L TR</v>
      </c>
      <c r="C8916" s="1" t="str">
        <f>"MARGATE RD CANTERBURY PL EXT 3 2 BLK 269"</f>
        <v>MARGATE RD CANTERBURY PL EXT 3 2 BLK 269</v>
      </c>
      <c r="D8916" s="1">
        <v>1109.1300000000001</v>
      </c>
    </row>
    <row r="8917" spans="1:4" x14ac:dyDescent="0.3">
      <c r="A8917" s="1" t="str">
        <f>"01011875700"</f>
        <v>01011875700</v>
      </c>
      <c r="B8917" s="1" t="str">
        <f>"MOUZON TIMOTHY W JR"</f>
        <v>MOUZON TIMOTHY W JR</v>
      </c>
      <c r="C8917" s="1" t="str">
        <f>"2359 ARBOR DR CATALPA PK 2 LOT 41"</f>
        <v>2359 ARBOR DR CATALPA PK 2 LOT 41</v>
      </c>
      <c r="D8917" s="1">
        <v>1185.03</v>
      </c>
    </row>
    <row r="8918" spans="1:4" x14ac:dyDescent="0.3">
      <c r="A8918" s="1" t="str">
        <f>"01011875900"</f>
        <v>01011875900</v>
      </c>
      <c r="B8918" s="1" t="str">
        <f>"MOUZON TIMOTHY W JR"</f>
        <v>MOUZON TIMOTHY W JR</v>
      </c>
      <c r="C8918" s="1" t="str">
        <f>"ARBOR DR CATALPA PK 2 LOT 43"</f>
        <v>ARBOR DR CATALPA PK 2 LOT 43</v>
      </c>
      <c r="D8918" s="1">
        <v>127.42</v>
      </c>
    </row>
    <row r="8919" spans="1:4" x14ac:dyDescent="0.3">
      <c r="A8919" s="1" t="str">
        <f>"59022883900"</f>
        <v>59022883900</v>
      </c>
      <c r="B8919" s="1" t="str">
        <f>"MOVVA LEELA SYAMPRASAD"</f>
        <v>MOVVA LEELA SYAMPRASAD</v>
      </c>
      <c r="C8919" s="1" t="str">
        <f>"BETHEL COMMONS CONDOMINIUM 6TH AMD UNIT 38D"</f>
        <v>BETHEL COMMONS CONDOMINIUM 6TH AMD UNIT 38D</v>
      </c>
      <c r="D8919" s="1">
        <v>4816.1899999999996</v>
      </c>
    </row>
    <row r="8920" spans="1:4" x14ac:dyDescent="0.3">
      <c r="A8920" s="1" t="str">
        <f>"01012239700"</f>
        <v>01012239700</v>
      </c>
      <c r="B8920" s="1" t="str">
        <f>"MOWER LEASING CO LLC"</f>
        <v>MOWER LEASING CO LLC</v>
      </c>
      <c r="C8920" s="1" t="str">
        <f>"GEORGESVILLE RD 15.781 ACRES NO OF ENTRY 1425"</f>
        <v>GEORGESVILLE RD 15.781 ACRES NO OF ENTRY 1425</v>
      </c>
      <c r="D8920" s="1">
        <v>106847.17</v>
      </c>
    </row>
    <row r="8921" spans="1:4" x14ac:dyDescent="0.3">
      <c r="A8921" s="1" t="str">
        <f>"04000865300"</f>
        <v>04000865300</v>
      </c>
      <c r="B8921" s="1" t="str">
        <f>"MOWERY LAURIE E, MOWERY JEFFREY P"</f>
        <v>MOWERY LAURIE E, MOWERY JEFFREY P</v>
      </c>
      <c r="C8921" s="1" t="str">
        <f>"CHRISTINA VILLAS CONDOMINIUM 2ND AMD UNIT 2533"</f>
        <v>CHRISTINA VILLAS CONDOMINIUM 2ND AMD UNIT 2533</v>
      </c>
      <c r="D8921" s="1">
        <v>5486.88</v>
      </c>
    </row>
    <row r="8922" spans="1:4" x14ac:dyDescent="0.3">
      <c r="A8922" s="1" t="str">
        <f>"10000580100"</f>
        <v>10000580100</v>
      </c>
      <c r="B8922" s="1" t="str">
        <f>"MOWLES ANA"</f>
        <v>MOWLES ANA</v>
      </c>
      <c r="C8922" s="1" t="str">
        <f>"LAKESIDE CIR POTTERS CREEK SEC 2 LOT 91"</f>
        <v>LAKESIDE CIR POTTERS CREEK SEC 2 LOT 91</v>
      </c>
      <c r="D8922" s="1">
        <v>18228.07</v>
      </c>
    </row>
    <row r="8923" spans="1:4" x14ac:dyDescent="0.3">
      <c r="A8923" s="1" t="str">
        <f>"01015259900"</f>
        <v>01015259900</v>
      </c>
      <c r="B8923" s="1" t="str">
        <f>"MOYER CAROLE D"</f>
        <v>MOYER CAROLE D</v>
      </c>
      <c r="C8923" s="1" t="str">
        <f>"TAMARACK BLVD FOREST PARK E SEC 9 LOT 1105"</f>
        <v>TAMARACK BLVD FOREST PARK E SEC 9 LOT 1105</v>
      </c>
      <c r="D8923" s="1">
        <v>1748.08</v>
      </c>
    </row>
    <row r="8924" spans="1:4" x14ac:dyDescent="0.3">
      <c r="A8924" s="1" t="str">
        <f>"07001367000"</f>
        <v>07001367000</v>
      </c>
      <c r="B8924" s="1" t="str">
        <f>"MOYER DARLENE N"</f>
        <v>MOYER DARLENE N</v>
      </c>
      <c r="C8924" s="1" t="str">
        <f>"BRADFORD BEND CN III UNIT 17 "</f>
        <v xml:space="preserve">BRADFORD BEND CN III UNIT 17 </v>
      </c>
      <c r="D8924" s="1">
        <v>293.41000000000003</v>
      </c>
    </row>
    <row r="8925" spans="1:4" x14ac:dyDescent="0.3">
      <c r="A8925" s="1" t="str">
        <f>"54523169100"</f>
        <v>54523169100</v>
      </c>
      <c r="B8925" s="1" t="str">
        <f>"MOYER DAVID"</f>
        <v>MOYER DAVID</v>
      </c>
      <c r="C8925" s="1" t="str">
        <f>"LATROBE STREET PRESTON COMMONS SEC1 LOT 21"</f>
        <v>LATROBE STREET PRESTON COMMONS SEC1 LOT 21</v>
      </c>
      <c r="D8925" s="1">
        <v>8446.35</v>
      </c>
    </row>
    <row r="8926" spans="1:4" x14ac:dyDescent="0.3">
      <c r="A8926" s="1" t="str">
        <f>"25415127400"</f>
        <v>25415127400</v>
      </c>
      <c r="B8926" s="1" t="str">
        <f>"MOYER JON A"</f>
        <v>MOYER JON A</v>
      </c>
      <c r="C8926" s="1" t="str">
        <f>"5069 SHARON HILL DR SHARON HILL LOT 3"</f>
        <v>5069 SHARON HILL DR SHARON HILL LOT 3</v>
      </c>
      <c r="D8926" s="1">
        <v>396.42</v>
      </c>
    </row>
    <row r="8927" spans="1:4" x14ac:dyDescent="0.3">
      <c r="A8927" s="1" t="str">
        <f>"01019940700"</f>
        <v>01019940700</v>
      </c>
      <c r="B8927" s="1" t="str">
        <f>"MOYER STEPHEN A"</f>
        <v>MOYER STEPHEN A</v>
      </c>
      <c r="C8927" s="1" t="str">
        <f>"11 KOSSUTH ST CTS OF APPEAL OFFICE CONDO UNIT 5"</f>
        <v>11 KOSSUTH ST CTS OF APPEAL OFFICE CONDO UNIT 5</v>
      </c>
      <c r="D8927" s="1">
        <v>1913.57</v>
      </c>
    </row>
    <row r="8928" spans="1:4" x14ac:dyDescent="0.3">
      <c r="A8928" s="1" t="str">
        <f>"01019940600"</f>
        <v>01019940600</v>
      </c>
      <c r="B8928" s="1" t="str">
        <f>"MOYER STEPHEN A"</f>
        <v>MOYER STEPHEN A</v>
      </c>
      <c r="C8928" s="1" t="str">
        <f>"9 KOSSUTH ST CTS OF APPEAL OFFICE CONDO UNIT 4"</f>
        <v>9 KOSSUTH ST CTS OF APPEAL OFFICE CONDO UNIT 4</v>
      </c>
      <c r="D8928" s="1">
        <v>1913.57</v>
      </c>
    </row>
    <row r="8929" spans="1:4" x14ac:dyDescent="0.3">
      <c r="A8929" s="1" t="str">
        <f>"15200023500"</f>
        <v>15200023500</v>
      </c>
      <c r="B8929" s="1" t="str">
        <f>"MP HOME BUYERS LLC"</f>
        <v>MP HOME BUYERS LLC</v>
      </c>
      <c r="C8929" s="1" t="str">
        <f>"1620 OBETZ AVE COLUMBUS TERRACE 53"</f>
        <v>1620 OBETZ AVE COLUMBUS TERRACE 53</v>
      </c>
      <c r="D8929" s="1">
        <v>1864.61</v>
      </c>
    </row>
    <row r="8930" spans="1:4" x14ac:dyDescent="0.3">
      <c r="A8930" s="1" t="str">
        <f>"01000089700"</f>
        <v>01000089700</v>
      </c>
      <c r="B8930" s="1" t="str">
        <f>"MP TRUCKING INC"</f>
        <v>MP TRUCKING INC</v>
      </c>
      <c r="C8930" s="1" t="str">
        <f>"777 FRANKLIN AVE DESHLER &amp; SINKS LOT 21"</f>
        <v>777 FRANKLIN AVE DESHLER &amp; SINKS LOT 21</v>
      </c>
      <c r="D8930" s="1">
        <v>197.12</v>
      </c>
    </row>
    <row r="8931" spans="1:4" x14ac:dyDescent="0.3">
      <c r="A8931" s="1" t="str">
        <f>"04000098300"</f>
        <v>04000098300</v>
      </c>
      <c r="B8931" s="1" t="str">
        <f>"MPB REAL ESTATE HOLDINGS LLC"</f>
        <v>MPB REAL ESTATE HOLDINGS LLC</v>
      </c>
      <c r="C8931" s="1" t="str">
        <f>"3907 HARRISBURG PIKE ACRES .189 BRECKS SUB LOTS 3-4"</f>
        <v>3907 HARRISBURG PIKE ACRES .189 BRECKS SUB LOTS 3-4</v>
      </c>
      <c r="D8931" s="1">
        <v>243.07</v>
      </c>
    </row>
    <row r="8932" spans="1:4" x14ac:dyDescent="0.3">
      <c r="A8932" s="1" t="str">
        <f>"26400000700"</f>
        <v>26400000700</v>
      </c>
      <c r="B8932" s="1" t="str">
        <f>"MPOWER INC"</f>
        <v>MPOWER INC</v>
      </c>
      <c r="C8932" s="1" t="str">
        <f>"2825 BRICE ROAD ENTRY 3009-6152 0.31 ACRE"</f>
        <v>2825 BRICE ROAD ENTRY 3009-6152 0.31 ACRE</v>
      </c>
      <c r="D8932" s="1">
        <v>19138.97</v>
      </c>
    </row>
    <row r="8933" spans="1:4" x14ac:dyDescent="0.3">
      <c r="A8933" s="1" t="str">
        <f>"56017506700"</f>
        <v>56017506700</v>
      </c>
      <c r="B8933" s="1" t="str">
        <f>"MPS INVESTMENTS LLC"</f>
        <v>MPS INVESTMENTS LLC</v>
      </c>
      <c r="C8933" s="1" t="str">
        <f>"STEFFI DR THE MEADOWS PHASE 2 LOT 180"</f>
        <v>STEFFI DR THE MEADOWS PHASE 2 LOT 180</v>
      </c>
      <c r="D8933" s="1">
        <v>578.17999999999995</v>
      </c>
    </row>
    <row r="8934" spans="1:4" x14ac:dyDescent="0.3">
      <c r="A8934" s="1" t="str">
        <f>"01012752700"</f>
        <v>01012752700</v>
      </c>
      <c r="B8934" s="1" t="str">
        <f>"MPS INVESTMENTS LLC"</f>
        <v>MPS INVESTMENTS LLC</v>
      </c>
      <c r="C8934" s="1" t="str">
        <f>"WOODCREST RD PINE HILLS LOT 167"</f>
        <v>WOODCREST RD PINE HILLS LOT 167</v>
      </c>
      <c r="D8934" s="1">
        <v>170.54</v>
      </c>
    </row>
    <row r="8935" spans="1:4" x14ac:dyDescent="0.3">
      <c r="A8935" s="1" t="str">
        <f>"01012747700"</f>
        <v>01012747700</v>
      </c>
      <c r="B8935" s="1" t="str">
        <f>"MPS INVESTMENTS LLC"</f>
        <v>MPS INVESTMENTS LLC</v>
      </c>
      <c r="C8935" s="1" t="str">
        <f>"IVYHURST DR PINE HILLS LOT 117"</f>
        <v>IVYHURST DR PINE HILLS LOT 117</v>
      </c>
      <c r="D8935" s="1">
        <v>150.94</v>
      </c>
    </row>
    <row r="8936" spans="1:4" x14ac:dyDescent="0.3">
      <c r="A8936" s="1" t="str">
        <f>"53013977100"</f>
        <v>53013977100</v>
      </c>
      <c r="B8936" s="1" t="str">
        <f>"MPS INVESTMENTS LLC"</f>
        <v>MPS INVESTMENTS LLC</v>
      </c>
      <c r="C8936" s="1" t="str">
        <f>"NOE-BIXBY RD AMBERLY LOT 67"</f>
        <v>NOE-BIXBY RD AMBERLY LOT 67</v>
      </c>
      <c r="D8936" s="1">
        <v>340.46</v>
      </c>
    </row>
    <row r="8937" spans="1:4" x14ac:dyDescent="0.3">
      <c r="A8937" s="1" t="str">
        <f>"53013994100"</f>
        <v>53013994100</v>
      </c>
      <c r="B8937" s="1" t="str">
        <f>"MPS INVESTMENTS LLC"</f>
        <v>MPS INVESTMENTS LLC</v>
      </c>
      <c r="C8937" s="1" t="str">
        <f>"REFUGEE RD AMBERLY LOT 237"</f>
        <v>REFUGEE RD AMBERLY LOT 237</v>
      </c>
      <c r="D8937" s="1">
        <v>346.9</v>
      </c>
    </row>
    <row r="8938" spans="1:4" x14ac:dyDescent="0.3">
      <c r="A8938" s="1" t="str">
        <f>"01013317200"</f>
        <v>01013317200</v>
      </c>
      <c r="B8938" s="1" t="str">
        <f>"MPS INVESTMENTS LLC"</f>
        <v>MPS INVESTMENTS LLC</v>
      </c>
      <c r="C8938" s="1" t="str">
        <f>"LIPTON RD WALNUT BLUFF 1 LOT 317"</f>
        <v>LIPTON RD WALNUT BLUFF 1 LOT 317</v>
      </c>
      <c r="D8938" s="1">
        <v>145.22</v>
      </c>
    </row>
    <row r="8939" spans="1:4" x14ac:dyDescent="0.3">
      <c r="A8939" s="1" t="str">
        <f>"01000859100"</f>
        <v>01000859100</v>
      </c>
      <c r="B8939" s="1" t="str">
        <f>"MRDENTERPRISE LLC"</f>
        <v>MRDENTERPRISE LLC</v>
      </c>
      <c r="C8939" s="1" t="str">
        <f>"374 S YALE AVE HAMILTON PLACE LOT 79"</f>
        <v>374 S YALE AVE HAMILTON PLACE LOT 79</v>
      </c>
      <c r="D8939" s="1">
        <v>1792.77</v>
      </c>
    </row>
    <row r="8940" spans="1:4" x14ac:dyDescent="0.3">
      <c r="A8940" s="1" t="str">
        <f>"01007529100"</f>
        <v>01007529100</v>
      </c>
      <c r="B8940" s="1" t="str">
        <f>"MRSUSHI JIZHE JIN"</f>
        <v>MRSUSHI JIZHE JIN</v>
      </c>
      <c r="C8940" s="1" t="str">
        <f>"ATWOOD TERRACE GRASMERE GARDENS LOT 528"</f>
        <v>ATWOOD TERRACE GRASMERE GARDENS LOT 528</v>
      </c>
      <c r="D8940" s="1">
        <v>442.55</v>
      </c>
    </row>
    <row r="8941" spans="1:4" x14ac:dyDescent="0.3">
      <c r="A8941" s="1" t="str">
        <f>"59017630300"</f>
        <v>59017630300</v>
      </c>
      <c r="B8941" s="1" t="str">
        <f>"MS DREW LLC"</f>
        <v>MS DREW LLC</v>
      </c>
      <c r="C8941" s="1" t="str">
        <f>"1887-9 DREW AVE MCKITRICK ESTATES 4 LOT 104"</f>
        <v>1887-9 DREW AVE MCKITRICK ESTATES 4 LOT 104</v>
      </c>
      <c r="D8941" s="1">
        <v>391.6</v>
      </c>
    </row>
    <row r="8942" spans="1:4" x14ac:dyDescent="0.3">
      <c r="A8942" s="1" t="str">
        <f>"57018080000"</f>
        <v>57018080000</v>
      </c>
      <c r="B8942" s="1" t="str">
        <f>"MSI REALTY LLC"</f>
        <v>MSI REALTY LLC</v>
      </c>
      <c r="C8942" s="1" t="str">
        <f>"NORTON RD ENTRY 1462 7.259 ACRES"</f>
        <v>NORTON RD ENTRY 1462 7.259 ACRES</v>
      </c>
      <c r="D8942" s="1">
        <v>1784.29</v>
      </c>
    </row>
    <row r="8943" spans="1:4" x14ac:dyDescent="0.3">
      <c r="A8943" s="1" t="str">
        <f>"22200063800"</f>
        <v>22200063800</v>
      </c>
      <c r="B8943" s="1" t="str">
        <f>"MUDRE PETER L, MUDRE GINA M"</f>
        <v>MUDRE PETER L, MUDRE GINA M</v>
      </c>
      <c r="C8943" s="1" t="str">
        <f>"KITZMILLER RD ACRES 1.382 R16 T2 S 1-4 T1"</f>
        <v>KITZMILLER RD ACRES 1.382 R16 T2 S 1-4 T1</v>
      </c>
      <c r="D8943" s="1">
        <v>3795.73</v>
      </c>
    </row>
    <row r="8944" spans="1:4" x14ac:dyDescent="0.3">
      <c r="A8944" s="1" t="str">
        <f>"01027497100"</f>
        <v>01027497100</v>
      </c>
      <c r="B8944" s="1" t="str">
        <f>"MUELLER KIM ROCHELLE TTEE, MUELLER MARK RAYMOND TTEE"</f>
        <v>MUELLER KIM ROCHELLE TTEE, MUELLER MARK RAYMOND TTEE</v>
      </c>
      <c r="C8944" s="1" t="str">
        <f>"VICTORIAN GATE CONDOMINIUMS UNIT 36 RUSSELL"</f>
        <v>VICTORIAN GATE CONDOMINIUMS UNIT 36 RUSSELL</v>
      </c>
      <c r="D8944" s="1">
        <v>2220.5</v>
      </c>
    </row>
    <row r="8945" spans="1:4" x14ac:dyDescent="0.3">
      <c r="A8945" s="1" t="str">
        <f>"18400062800"</f>
        <v>18400062800</v>
      </c>
      <c r="B8945" s="1" t="str">
        <f>"MUESER COURTNEY N"</f>
        <v>MUESER COURTNEY N</v>
      </c>
      <c r="C8945" s="1" t="str">
        <f>"175 N HIGH ST KATHRYN MILLERS LOTS 37 &amp; 38"</f>
        <v>175 N HIGH ST KATHRYN MILLERS LOTS 37 &amp; 38</v>
      </c>
      <c r="D8945" s="1">
        <v>4375.12</v>
      </c>
    </row>
    <row r="8946" spans="1:4" x14ac:dyDescent="0.3">
      <c r="A8946" s="1" t="str">
        <f>"01011427200"</f>
        <v>01011427200</v>
      </c>
      <c r="B8946" s="1" t="str">
        <f>"MUETZEL JACQUELYN TTEE"</f>
        <v>MUETZEL JACQUELYN TTEE</v>
      </c>
      <c r="C8946" s="1" t="str">
        <f>"LEWIS AVE693 LEWIS SOUTHERN HGTS LOT 52-53"</f>
        <v>LEWIS AVE693 LEWIS SOUTHERN HGTS LOT 52-53</v>
      </c>
      <c r="D8946" s="1">
        <v>1196.5</v>
      </c>
    </row>
    <row r="8947" spans="1:4" x14ac:dyDescent="0.3">
      <c r="A8947" s="1" t="str">
        <f>"01018925900"</f>
        <v>01018925900</v>
      </c>
      <c r="B8947" s="1" t="str">
        <f>"MUHAMED FOIZIA ISMAIL"</f>
        <v>MUHAMED FOIZIA ISMAIL</v>
      </c>
      <c r="C8947" s="1" t="str">
        <f>"GREAT WOODS BL GREAT N WOODS II CON BLDG 9 UNIT 5665"</f>
        <v>GREAT WOODS BL GREAT N WOODS II CON BLDG 9 UNIT 5665</v>
      </c>
      <c r="D8947" s="1">
        <v>987.2</v>
      </c>
    </row>
    <row r="8948" spans="1:4" x14ac:dyDescent="0.3">
      <c r="A8948" s="1" t="str">
        <f>"01003065200"</f>
        <v>01003065200</v>
      </c>
      <c r="B8948" s="1" t="str">
        <f>"MUHAMMAD MARCUS TTEE"</f>
        <v>MUHAMMAD MARCUS TTEE</v>
      </c>
      <c r="C8948" s="1" t="str">
        <f>"108 NO OAKLEY AVE HIGHLAND PARK LOT 54"</f>
        <v>108 NO OAKLEY AVE HIGHLAND PARK LOT 54</v>
      </c>
      <c r="D8948" s="1">
        <v>1832.84</v>
      </c>
    </row>
    <row r="8949" spans="1:4" x14ac:dyDescent="0.3">
      <c r="A8949" s="1" t="str">
        <f>"01005423200"</f>
        <v>01005423200</v>
      </c>
      <c r="B8949" s="1" t="str">
        <f>"MUHAMMAD MELVIN"</f>
        <v>MUHAMMAD MELVIN</v>
      </c>
      <c r="C8949" s="1" t="str">
        <f>"1404 E 17TH AVE LOUIS HTS ADD LOT 71"</f>
        <v>1404 E 17TH AVE LOUIS HTS ADD LOT 71</v>
      </c>
      <c r="D8949" s="1">
        <v>63.28</v>
      </c>
    </row>
    <row r="8950" spans="1:4" x14ac:dyDescent="0.3">
      <c r="A8950" s="1" t="str">
        <f>"01019481100"</f>
        <v>01019481100</v>
      </c>
      <c r="B8950" s="1" t="str">
        <f>"MUHAMMAD SHABAZ, IBRAHIM RAZAN"</f>
        <v>MUHAMMAD SHABAZ, IBRAHIM RAZAN</v>
      </c>
      <c r="C8950" s="1" t="str">
        <f>"BETHEL COLONY II VILLAGE TOWNHOMES CONDO UNIT 1229 BLDG 1"</f>
        <v>BETHEL COLONY II VILLAGE TOWNHOMES CONDO UNIT 1229 BLDG 1</v>
      </c>
      <c r="D8950" s="1">
        <v>2660.66</v>
      </c>
    </row>
    <row r="8951" spans="1:4" x14ac:dyDescent="0.3">
      <c r="A8951" s="1" t="str">
        <f>"07000680000"</f>
        <v>07000680000</v>
      </c>
      <c r="B8951" s="1" t="str">
        <f>"MUHARREM ERDEM"</f>
        <v>MUHARREM ERDEM</v>
      </c>
      <c r="C8951" s="1" t="str">
        <f>"NOTTINGHAM RD RIVER RIDGE 35 BLK 28"</f>
        <v>NOTTINGHAM RD RIVER RIDGE 35 BLK 28</v>
      </c>
      <c r="D8951" s="1">
        <v>170.46</v>
      </c>
    </row>
    <row r="8952" spans="1:4" x14ac:dyDescent="0.3">
      <c r="A8952" s="1" t="str">
        <f>"05000407700"</f>
        <v>05000407700</v>
      </c>
      <c r="B8952" s="1" t="str">
        <f>"MUKHDOMI TAIF"</f>
        <v>MUKHDOMI TAIF</v>
      </c>
      <c r="C8952" s="1" t="str">
        <f>"4643 LEAP COURT HILLIARD SQ OFFICE CONDO AMD  UNIT 4B"</f>
        <v>4643 LEAP COURT HILLIARD SQ OFFICE CONDO AMD  UNIT 4B</v>
      </c>
      <c r="D8952" s="1">
        <v>5209.22</v>
      </c>
    </row>
    <row r="8953" spans="1:4" x14ac:dyDescent="0.3">
      <c r="A8953" s="1" t="str">
        <f>"05000407800"</f>
        <v>05000407800</v>
      </c>
      <c r="B8953" s="1" t="str">
        <f>"MUKHDOMI TAIF"</f>
        <v>MUKHDOMI TAIF</v>
      </c>
      <c r="C8953" s="1" t="str">
        <f>"4645 LEAP COURT HILLIARD SQ OFFICE CONDO AMD  UNIT 4C"</f>
        <v>4645 LEAP COURT HILLIARD SQ OFFICE CONDO AMD  UNIT 4C</v>
      </c>
      <c r="D8953" s="1">
        <v>3723.89</v>
      </c>
    </row>
    <row r="8954" spans="1:4" x14ac:dyDescent="0.3">
      <c r="A8954" s="1" t="str">
        <f>"27301184900"</f>
        <v>27301184900</v>
      </c>
      <c r="B8954" s="1" t="str">
        <f>"MUKHTAR HAMID, HAMID RUBINA"</f>
        <v>MUKHTAR HAMID, HAMID RUBINA</v>
      </c>
      <c r="C8954" s="1" t="str">
        <f>"MANOR AT CRAUGHWELL       VILLAGE CONDOMINIUM       BLDG 2 UNIT 6265         "</f>
        <v xml:space="preserve">MANOR AT CRAUGHWELL       VILLAGE CONDOMINIUM       BLDG 2 UNIT 6265         </v>
      </c>
      <c r="D8954" s="1">
        <v>162.44999999999999</v>
      </c>
    </row>
    <row r="8955" spans="1:4" x14ac:dyDescent="0.3">
      <c r="A8955" s="1" t="str">
        <f>"54525443200"</f>
        <v>54525443200</v>
      </c>
      <c r="B8955" s="1" t="str">
        <f>"MULBARGER AUDREY L"</f>
        <v>MULBARGER AUDREY L</v>
      </c>
      <c r="C8955" s="1" t="str">
        <f>"UPPER MOUNT ROW WEST HAMPSTED SECTION 3 LOT 155"</f>
        <v>UPPER MOUNT ROW WEST HAMPSTED SECTION 3 LOT 155</v>
      </c>
      <c r="D8955" s="1">
        <v>26824.47</v>
      </c>
    </row>
    <row r="8956" spans="1:4" x14ac:dyDescent="0.3">
      <c r="A8956" s="1" t="str">
        <f>"01009455200"</f>
        <v>01009455200</v>
      </c>
      <c r="B8956" s="1" t="str">
        <f>"MULBAY WILLIAM M"</f>
        <v>MULBAY WILLIAM M</v>
      </c>
      <c r="C8956" s="1" t="str">
        <f>"3270 OSCEOLA AVE PONTIAC PARK LOT 2"</f>
        <v>3270 OSCEOLA AVE PONTIAC PARK LOT 2</v>
      </c>
      <c r="D8956" s="1">
        <v>1757.31</v>
      </c>
    </row>
    <row r="8957" spans="1:4" x14ac:dyDescent="0.3">
      <c r="A8957" s="1" t="str">
        <f>"01003477500"</f>
        <v>01003477500</v>
      </c>
      <c r="B8957" s="1" t="str">
        <f>"MULKEY HAROLD"</f>
        <v>MULKEY HAROLD</v>
      </c>
      <c r="C8957" s="1" t="str">
        <f>"598 SIEBERT ST BLEILE LOT 37"</f>
        <v>598 SIEBERT ST BLEILE LOT 37</v>
      </c>
      <c r="D8957" s="1">
        <v>185.55</v>
      </c>
    </row>
    <row r="8958" spans="1:4" x14ac:dyDescent="0.3">
      <c r="A8958" s="1" t="str">
        <f>"01029448500"</f>
        <v>01029448500</v>
      </c>
      <c r="B8958" s="1" t="str">
        <f>"MULLEN JOHN S, MELCHIORRE DINA M"</f>
        <v>MULLEN JOHN S, MELCHIORRE DINA M</v>
      </c>
      <c r="C8958" s="1" t="str">
        <f>"RIVER HIGHLANDS CONDOMINIUM 25TH AMD UNIT 5872"</f>
        <v>RIVER HIGHLANDS CONDOMINIUM 25TH AMD UNIT 5872</v>
      </c>
      <c r="D8958" s="1">
        <v>517.92999999999995</v>
      </c>
    </row>
    <row r="8959" spans="1:4" x14ac:dyDescent="0.3">
      <c r="A8959" s="1" t="str">
        <f>"01007059100"</f>
        <v>01007059100</v>
      </c>
      <c r="B8959" s="1" t="str">
        <f>"MULLER ROBERT G, MULLER MARCELINE"</f>
        <v>MULLER ROBERT G, MULLER MARCELINE</v>
      </c>
      <c r="C8959" s="1" t="str">
        <f>"292 S BRINKER AVE NS LOT 157 &amp; SS LOT 158 WESTGATE"</f>
        <v>292 S BRINKER AVE NS LOT 157 &amp; SS LOT 158 WESTGATE</v>
      </c>
      <c r="D8959" s="1">
        <v>188.07</v>
      </c>
    </row>
    <row r="8960" spans="1:4" x14ac:dyDescent="0.3">
      <c r="A8960" s="1" t="str">
        <f>"01006406100"</f>
        <v>01006406100</v>
      </c>
      <c r="B8960" s="1" t="str">
        <f>"MULLINS CLAUDE H"</f>
        <v>MULLINS CLAUDE H</v>
      </c>
      <c r="C8960" s="1" t="str">
        <f>"441&amp;447 S CHASE AVE S1/2 96&amp;ALL 97 CAMP CHASE HTS LT 96-97"</f>
        <v>441&amp;447 S CHASE AVE S1/2 96&amp;ALL 97 CAMP CHASE HTS LT 96-97</v>
      </c>
      <c r="D8960" s="1">
        <v>745.28</v>
      </c>
    </row>
    <row r="8961" spans="1:4" x14ac:dyDescent="0.3">
      <c r="A8961" s="1" t="str">
        <f>"04000386400"</f>
        <v>04000386400</v>
      </c>
      <c r="B8961" s="1" t="str">
        <f>"MULLINS KATHERINE S"</f>
        <v>MULLINS KATHERINE S</v>
      </c>
      <c r="C8961" s="1" t="str">
        <f>"2636 BRUNSWICK DRIVE BROOK PARK LOT 38"</f>
        <v>2636 BRUNSWICK DRIVE BROOK PARK LOT 38</v>
      </c>
      <c r="D8961" s="1">
        <v>398.17</v>
      </c>
    </row>
    <row r="8962" spans="1:4" x14ac:dyDescent="0.3">
      <c r="A8962" s="1" t="str">
        <f>"01016236900"</f>
        <v>01016236900</v>
      </c>
      <c r="B8962" s="1" t="str">
        <f>"MULLINS KEVIN G"</f>
        <v>MULLINS KEVIN G</v>
      </c>
      <c r="C8962" s="1" t="str">
        <f>"KIMBERLY VILLAS CON PHASE IV UNIT 31 G"</f>
        <v>KIMBERLY VILLAS CON PHASE IV UNIT 31 G</v>
      </c>
      <c r="D8962" s="1">
        <v>1520.82</v>
      </c>
    </row>
    <row r="8963" spans="1:4" x14ac:dyDescent="0.3">
      <c r="A8963" s="1" t="str">
        <f>"01002145400"</f>
        <v>01002145400</v>
      </c>
      <c r="B8963" s="1" t="str">
        <f>"MULLINS NORMA J"</f>
        <v>MULLINS NORMA J</v>
      </c>
      <c r="C8963" s="1" t="str">
        <f>"1500 MENLO PLACE ALL LOT 1 &amp; W 1/2 LOT 2"</f>
        <v>1500 MENLO PLACE ALL LOT 1 &amp; W 1/2 LOT 2</v>
      </c>
      <c r="D8963" s="1">
        <v>2409.77</v>
      </c>
    </row>
    <row r="8964" spans="1:4" x14ac:dyDescent="0.3">
      <c r="A8964" s="1" t="str">
        <f>"01000690000"</f>
        <v>01000690000</v>
      </c>
      <c r="B8964" s="1" t="str">
        <f>"MULLINS NORMA J"</f>
        <v>MULLINS NORMA J</v>
      </c>
      <c r="C8964" s="1" t="str">
        <f>"396 ELDRIDGE AVENUE MARYLAND TERRACE LOT 19"</f>
        <v>396 ELDRIDGE AVENUE MARYLAND TERRACE LOT 19</v>
      </c>
      <c r="D8964" s="1">
        <v>1225.74</v>
      </c>
    </row>
    <row r="8965" spans="1:4" x14ac:dyDescent="0.3">
      <c r="A8965" s="1" t="str">
        <f>"01001164100"</f>
        <v>01001164100</v>
      </c>
      <c r="B8965" s="1" t="str">
        <f>"MULLINS TARA M"</f>
        <v>MULLINS TARA M</v>
      </c>
      <c r="C8965" s="1" t="str">
        <f>"642 SIEBERT ST BLEIELE LOT 27"</f>
        <v>642 SIEBERT ST BLEIELE LOT 27</v>
      </c>
      <c r="D8965" s="1">
        <v>736.63</v>
      </c>
    </row>
    <row r="8966" spans="1:4" x14ac:dyDescent="0.3">
      <c r="A8966" s="1" t="str">
        <f>"01025410300"</f>
        <v>01025410300</v>
      </c>
      <c r="B8966" s="1" t="str">
        <f>"MULTICULTURAL ALLIANCE LLC"</f>
        <v>MULTICULTURAL ALLIANCE LLC</v>
      </c>
      <c r="C8966" s="1" t="str">
        <f>"WESTBOURNE CONDOMINIUM UNIT 5815 "</f>
        <v xml:space="preserve">WESTBOURNE CONDOMINIUM UNIT 5815 </v>
      </c>
      <c r="D8966" s="1">
        <v>22939.52</v>
      </c>
    </row>
    <row r="8967" spans="1:4" x14ac:dyDescent="0.3">
      <c r="A8967" s="1" t="str">
        <f>"01014392400"</f>
        <v>01014392400</v>
      </c>
      <c r="B8967" s="1" t="str">
        <f>"MULVIHILL BARRY S, MULVIHILL SHANNON E"</f>
        <v>MULVIHILL BARRY S, MULVIHILL SHANNON E</v>
      </c>
      <c r="C8967" s="1" t="str">
        <f>"WINTERSET DR KNOLLS WEST SEC 2 LOT 50"</f>
        <v>WINTERSET DR KNOLLS WEST SEC 2 LOT 50</v>
      </c>
      <c r="D8967" s="1">
        <v>6391.8</v>
      </c>
    </row>
    <row r="8968" spans="1:4" x14ac:dyDescent="0.3">
      <c r="A8968" s="1" t="str">
        <f>"01005956400"</f>
        <v>01005956400</v>
      </c>
      <c r="B8968" s="1" t="str">
        <f>"MUMM JAMES J"</f>
        <v>MUMM JAMES J</v>
      </c>
      <c r="C8968" s="1" t="str">
        <f>"MILFORD AVE ELM DALE LOT 31"</f>
        <v>MILFORD AVE ELM DALE LOT 31</v>
      </c>
      <c r="D8968" s="1">
        <v>2266</v>
      </c>
    </row>
    <row r="8969" spans="1:4" x14ac:dyDescent="0.3">
      <c r="A8969" s="1" t="str">
        <f>"18600006200"</f>
        <v>18600006200</v>
      </c>
      <c r="B8969" s="1" t="str">
        <f>"MUMMAW DANIEL"</f>
        <v>MUMMAW DANIEL</v>
      </c>
      <c r="C8969" s="1" t="str">
        <f>"FAIRCHILD ESTATES SECTION 1 LOT 27"</f>
        <v>FAIRCHILD ESTATES SECTION 1 LOT 27</v>
      </c>
      <c r="D8969" s="1">
        <v>438.72</v>
      </c>
    </row>
    <row r="8970" spans="1:4" x14ac:dyDescent="0.3">
      <c r="A8970" s="1" t="str">
        <f>"23000254200"</f>
        <v>23000254200</v>
      </c>
      <c r="B8970" s="1" t="str">
        <f>"MUNCY IRA E JR, MUNCY LINDA R"</f>
        <v>MUNCY IRA E JR, MUNCY LINDA R</v>
      </c>
      <c r="C8970" s="1" t="str">
        <f>"A STREET COVERED BRIDGE EXT 58-59-60"</f>
        <v>A STREET COVERED BRIDGE EXT 58-59-60</v>
      </c>
      <c r="D8970" s="1">
        <v>571.79</v>
      </c>
    </row>
    <row r="8971" spans="1:4" x14ac:dyDescent="0.3">
      <c r="A8971" s="1" t="str">
        <f>"01007093700"</f>
        <v>01007093700</v>
      </c>
      <c r="B8971" s="1" t="str">
        <f>"MUNDELL THOMAS ANTYON"</f>
        <v>MUNDELL THOMAS ANTYON</v>
      </c>
      <c r="C8971" s="1" t="str">
        <f>"PARKWOOD AVE MUL-BUR HEIGHTS LOT 169"</f>
        <v>PARKWOOD AVE MUL-BUR HEIGHTS LOT 169</v>
      </c>
      <c r="D8971" s="1">
        <v>94.83</v>
      </c>
    </row>
    <row r="8972" spans="1:4" x14ac:dyDescent="0.3">
      <c r="A8972" s="1" t="str">
        <f>"01001715100"</f>
        <v>01001715100</v>
      </c>
      <c r="B8972" s="1" t="str">
        <f>"MUNNERLYN ALBERT R SR, MUNNERLYN SONJA M"</f>
        <v>MUNNERLYN ALBERT R SR, MUNNERLYN SONJA M</v>
      </c>
      <c r="C8972" s="1" t="str">
        <f>"DESHLER AVE MILLERS DESHLER AVE LOT 72"</f>
        <v>DESHLER AVE MILLERS DESHLER AVE LOT 72</v>
      </c>
      <c r="D8972" s="1">
        <v>157.75</v>
      </c>
    </row>
    <row r="8973" spans="1:4" x14ac:dyDescent="0.3">
      <c r="A8973" s="1" t="str">
        <f>"56022315400"</f>
        <v>56022315400</v>
      </c>
      <c r="B8973" s="1" t="str">
        <f>"MUNOZ LUIS F, MUNOZ MARIA H"</f>
        <v>MUNOZ LUIS F, MUNOZ MARIA H</v>
      </c>
      <c r="C8973" s="1" t="str">
        <f>"HILLIARD VILLAGE CONDOMINIUM 2ND AMD UNIT 20E"</f>
        <v>HILLIARD VILLAGE CONDOMINIUM 2ND AMD UNIT 20E</v>
      </c>
      <c r="D8973" s="1">
        <v>4324.0200000000004</v>
      </c>
    </row>
    <row r="8974" spans="1:4" x14ac:dyDescent="0.3">
      <c r="A8974" s="1" t="str">
        <f>"14000195700"</f>
        <v>14000195700</v>
      </c>
      <c r="B8974" s="1" t="str">
        <f>"MUNOZ MOSQUEDA RODOLFO, APARICIO RAQUEL MEJIA"</f>
        <v>MUNOZ MOSQUEDA RODOLFO, APARICIO RAQUEL MEJIA</v>
      </c>
      <c r="C8974" s="1" t="str">
        <f>"3270 DOVER RD MON-E-BAK FARMS LOT 124"</f>
        <v>3270 DOVER RD MON-E-BAK FARMS LOT 124</v>
      </c>
      <c r="D8974" s="1">
        <v>1340.05</v>
      </c>
    </row>
    <row r="8975" spans="1:4" x14ac:dyDescent="0.3">
      <c r="A8975" s="1" t="str">
        <f>"01012477700"</f>
        <v>01012477700</v>
      </c>
      <c r="B8975" s="1" t="str">
        <f>"MUNOZ NAOMI ZARAZUA, MUNOZ GABRIEL"</f>
        <v>MUNOZ NAOMI ZARAZUA, MUNOZ GABRIEL</v>
      </c>
      <c r="C8975" s="1" t="str">
        <f>"ST AGNES AVE BROOKSHIRE PARK 3 LOT 87"</f>
        <v>ST AGNES AVE BROOKSHIRE PARK 3 LOT 87</v>
      </c>
      <c r="D8975" s="1">
        <v>2005.95</v>
      </c>
    </row>
    <row r="8976" spans="1:4" x14ac:dyDescent="0.3">
      <c r="A8976" s="1" t="str">
        <f>"24000417000"</f>
        <v>24000417000</v>
      </c>
      <c r="B8976" s="1" t="str">
        <f>"MUNSON FLOYD R, MUNSON JENNY"</f>
        <v>MUNSON FLOYD R, MUNSON JENNY</v>
      </c>
      <c r="C8976" s="1" t="str">
        <f>"HILER RD LINCOLN VILLAGE SOUTH 7"</f>
        <v>HILER RD LINCOLN VILLAGE SOUTH 7</v>
      </c>
      <c r="D8976" s="1">
        <v>3389.93</v>
      </c>
    </row>
    <row r="8977" spans="1:4" x14ac:dyDescent="0.3">
      <c r="A8977" s="1" t="str">
        <f>"05000702900"</f>
        <v>05000702900</v>
      </c>
      <c r="B8977" s="1" t="str">
        <f>"MUNTEAN SUSAN MARY"</f>
        <v>MUNTEAN SUSAN MARY</v>
      </c>
      <c r="C8977" s="1" t="str">
        <f>"HERITAGE LAKES DRIVE HERITAGE LAKES SEC 1 LOT 12"</f>
        <v>HERITAGE LAKES DRIVE HERITAGE LAKES SEC 1 LOT 12</v>
      </c>
      <c r="D8977" s="1">
        <v>13907.04</v>
      </c>
    </row>
    <row r="8978" spans="1:4" x14ac:dyDescent="0.3">
      <c r="A8978" s="1" t="str">
        <f>"01009562500"</f>
        <v>01009562500</v>
      </c>
      <c r="B8978" s="1" t="str">
        <f>"MUNYEMANA AUGUSTIN TTEE, WIBABARA ALPHONSINE TTEE"</f>
        <v>MUNYEMANA AUGUSTIN TTEE, WIBABARA ALPHONSINE TTEE</v>
      </c>
      <c r="C8978" s="1" t="str">
        <f>"HAMPTON RD MAYFAIR PT LOT 275"</f>
        <v>HAMPTON RD MAYFAIR PT LOT 275</v>
      </c>
      <c r="D8978" s="1">
        <v>86.17</v>
      </c>
    </row>
    <row r="8979" spans="1:4" x14ac:dyDescent="0.3">
      <c r="A8979" s="1" t="str">
        <f>"06000238400"</f>
        <v>06000238400</v>
      </c>
      <c r="B8979" s="1" t="str">
        <f>"MUNYEMANA AUGUSTIN TTEE, WIBABARA ALPHONSINE TTEE"</f>
        <v>MUNYEMANA AUGUSTIN TTEE, WIBABARA ALPHONSINE TTEE</v>
      </c>
      <c r="C8979" s="1" t="str">
        <f>"CARROUSEL DR S BRIARCLIFF NO 3 LOT 253-254"</f>
        <v>CARROUSEL DR S BRIARCLIFF NO 3 LOT 253-254</v>
      </c>
      <c r="D8979" s="1">
        <v>222.25</v>
      </c>
    </row>
    <row r="8980" spans="1:4" x14ac:dyDescent="0.3">
      <c r="A8980" s="1" t="str">
        <f>"01005990100"</f>
        <v>01005990100</v>
      </c>
      <c r="B8980" s="1" t="str">
        <f>"MUNZER WILLIAM TODD"</f>
        <v>MUNZER WILLIAM TODD</v>
      </c>
      <c r="C8980" s="1" t="str">
        <f>"WESTERVILLE RD LINDEN TER LOT 1"</f>
        <v>WESTERVILLE RD LINDEN TER LOT 1</v>
      </c>
      <c r="D8980" s="1">
        <v>624.41999999999996</v>
      </c>
    </row>
    <row r="8981" spans="1:4" x14ac:dyDescent="0.3">
      <c r="A8981" s="1" t="str">
        <f>"22000159900"</f>
        <v>22000159900</v>
      </c>
      <c r="B8981" s="1" t="str">
        <f>"MURDAY BENJAMIN M, MURDAY MORGAN R"</f>
        <v>MURDAY BENJAMIN M, MURDAY MORGAN R</v>
      </c>
      <c r="C8981" s="1" t="str">
        <f>"KITZMILLER RD 1.054 ACRES LOT 10 R16 T2 1/4T1"</f>
        <v>KITZMILLER RD 1.054 ACRES LOT 10 R16 T2 1/4T1</v>
      </c>
      <c r="D8981" s="1">
        <v>434.39</v>
      </c>
    </row>
    <row r="8982" spans="1:4" x14ac:dyDescent="0.3">
      <c r="A8982" s="1" t="str">
        <f>"04000838000"</f>
        <v>04000838000</v>
      </c>
      <c r="B8982" s="1" t="str">
        <f>"MURIB JOMANNA"</f>
        <v>MURIB JOMANNA</v>
      </c>
      <c r="C8982" s="1" t="str">
        <f>"CRISPIN COURT ELGINFIELD SECTION 1 LOT 20"</f>
        <v>CRISPIN COURT ELGINFIELD SECTION 1 LOT 20</v>
      </c>
      <c r="D8982" s="1">
        <v>285.97000000000003</v>
      </c>
    </row>
    <row r="8983" spans="1:4" x14ac:dyDescent="0.3">
      <c r="A8983" s="1" t="str">
        <f>"01007368400"</f>
        <v>01007368400</v>
      </c>
      <c r="B8983" s="1" t="str">
        <f>"MURILLO NOEL"</f>
        <v>MURILLO NOEL</v>
      </c>
      <c r="C8983" s="1" t="str">
        <f>"OSCEOLA AVE ALMADA LOT 235"</f>
        <v>OSCEOLA AVE ALMADA LOT 235</v>
      </c>
      <c r="D8983" s="1">
        <v>1866.46</v>
      </c>
    </row>
    <row r="8984" spans="1:4" x14ac:dyDescent="0.3">
      <c r="A8984" s="1" t="str">
        <f>"06000101600"</f>
        <v>06000101600</v>
      </c>
      <c r="B8984" s="1" t="str">
        <f>"MUR-JOR LLC"</f>
        <v>MUR-JOR LLC</v>
      </c>
      <c r="C8984" s="1" t="str">
        <f>"NATIONAL PK .6766 ACRE R20 T16 S18 1/4S30"</f>
        <v>NATIONAL PK .6766 ACRE R20 T16 S18 1/4S30</v>
      </c>
      <c r="D8984" s="1">
        <v>16581.73</v>
      </c>
    </row>
    <row r="8985" spans="1:4" x14ac:dyDescent="0.3">
      <c r="A8985" s="1" t="str">
        <f>"06000094900"</f>
        <v>06000094900</v>
      </c>
      <c r="B8985" s="1" t="str">
        <f>"MUR-JOR LLC"</f>
        <v>MUR-JOR LLC</v>
      </c>
      <c r="C8985" s="1" t="str">
        <f>"NATIONAL PK .350 ACRE R20 T16 S18 1/4S30"</f>
        <v>NATIONAL PK .350 ACRE R20 T16 S18 1/4S30</v>
      </c>
      <c r="D8985" s="1">
        <v>15355.14</v>
      </c>
    </row>
    <row r="8986" spans="1:4" x14ac:dyDescent="0.3">
      <c r="A8986" s="1" t="str">
        <f>"57021713700"</f>
        <v>57021713700</v>
      </c>
      <c r="B8986" s="1" t="str">
        <f>"MURNANE BRENDAN T"</f>
        <v>MURNANE BRENDAN T</v>
      </c>
      <c r="C8986" s="1" t="str">
        <f>"DEER HILL DRIVE WEST WOODS VIL SEC 1 EE LOT 2 &amp; WE LOT 3"</f>
        <v>DEER HILL DRIVE WEST WOODS VIL SEC 1 EE LOT 2 &amp; WE LOT 3</v>
      </c>
      <c r="D8986" s="1">
        <v>4524.97</v>
      </c>
    </row>
    <row r="8987" spans="1:4" x14ac:dyDescent="0.3">
      <c r="A8987" s="1" t="str">
        <f>"61021566100"</f>
        <v>61021566100</v>
      </c>
      <c r="B8987" s="1" t="str">
        <f>"MURNANE JOSEPH J, MURNANE LINDA M"</f>
        <v>MURNANE JOSEPH J, MURNANE LINDA M</v>
      </c>
      <c r="C8987" s="1" t="str">
        <f>"THE BLUFFS SECTION 6 PART 1 LOT 161"</f>
        <v>THE BLUFFS SECTION 6 PART 1 LOT 161</v>
      </c>
      <c r="D8987" s="1">
        <v>630.61</v>
      </c>
    </row>
    <row r="8988" spans="1:4" x14ac:dyDescent="0.3">
      <c r="A8988" s="1" t="str">
        <f>"61019905400"</f>
        <v>61019905400</v>
      </c>
      <c r="B8988" s="1" t="str">
        <f>"MURNANE KATHY"</f>
        <v>MURNANE KATHY</v>
      </c>
      <c r="C8988" s="1" t="str">
        <f>"783 OLD OAK TRACE RAVINE WORTHINGRIDGE CONDO 1 UNIT 2"</f>
        <v>783 OLD OAK TRACE RAVINE WORTHINGRIDGE CONDO 1 UNIT 2</v>
      </c>
      <c r="D8988" s="1">
        <v>6654.98</v>
      </c>
    </row>
    <row r="8989" spans="1:4" x14ac:dyDescent="0.3">
      <c r="A8989" s="1" t="str">
        <f>"01018420900"</f>
        <v>01018420900</v>
      </c>
      <c r="B8989" s="1" t="str">
        <f>"MURPHY CHRISTINA M TR"</f>
        <v>MURPHY CHRISTINA M TR</v>
      </c>
      <c r="C8989" s="1" t="str">
        <f>"COPPERTREE CONDO PHASE 2-A UNIT 5255 BLDG 3"</f>
        <v>COPPERTREE CONDO PHASE 2-A UNIT 5255 BLDG 3</v>
      </c>
      <c r="D8989" s="1">
        <v>234.71</v>
      </c>
    </row>
    <row r="8990" spans="1:4" x14ac:dyDescent="0.3">
      <c r="A8990" s="1" t="str">
        <f>"07000173700"</f>
        <v>07000173700</v>
      </c>
      <c r="B8990" s="1" t="str">
        <f>"MURPHY GREGORY M, MURPHY KELLY"</f>
        <v>MURPHY GREGORY M, MURPHY KELLY</v>
      </c>
      <c r="C8990" s="1" t="str">
        <f>"1643 DOONE RD UNIVERSITY LOT 16-17 BLK 11"</f>
        <v>1643 DOONE RD UNIVERSITY LOT 16-17 BLK 11</v>
      </c>
      <c r="D8990" s="1">
        <v>973.67</v>
      </c>
    </row>
    <row r="8991" spans="1:4" x14ac:dyDescent="0.3">
      <c r="A8991" s="1" t="str">
        <f>"01003593700"</f>
        <v>01003593700</v>
      </c>
      <c r="B8991" s="1" t="str">
        <f>"MURPHY KAHTANA"</f>
        <v>MURPHY KAHTANA</v>
      </c>
      <c r="C8991" s="1" t="str">
        <f>"844 STARR AVE BIDLEMAN LOT 257"</f>
        <v>844 STARR AVE BIDLEMAN LOT 257</v>
      </c>
      <c r="D8991" s="1">
        <v>727.09</v>
      </c>
    </row>
    <row r="8992" spans="1:4" x14ac:dyDescent="0.3">
      <c r="A8992" s="1" t="str">
        <f>"18500010000"</f>
        <v>18500010000</v>
      </c>
      <c r="B8992" s="1" t="str">
        <f>"MURPHY KAREN D"</f>
        <v>MURPHY KAREN D</v>
      </c>
      <c r="C8992" s="1" t="str">
        <f>"FRONT &amp; BUCKEYE ALLEY 31.25FT N 1/2 92"</f>
        <v>FRONT &amp; BUCKEYE ALLEY 31.25FT N 1/2 92</v>
      </c>
      <c r="D8992" s="1">
        <v>65069.38</v>
      </c>
    </row>
    <row r="8993" spans="1:4" x14ac:dyDescent="0.3">
      <c r="A8993" s="1" t="str">
        <f>"09000190200"</f>
        <v>09000190200</v>
      </c>
      <c r="B8993" s="1" t="str">
        <f>"MURPHY MARK A"</f>
        <v>MURPHY MARK A</v>
      </c>
      <c r="C8993" s="1" t="str">
        <f>"208 YEARLING RD NORTON FIELD PLAT 2 LOT 607"</f>
        <v>208 YEARLING RD NORTON FIELD PLAT 2 LOT 607</v>
      </c>
      <c r="D8993" s="1">
        <v>1365.63</v>
      </c>
    </row>
    <row r="8994" spans="1:4" x14ac:dyDescent="0.3">
      <c r="A8994" s="1" t="str">
        <f>"07001281200"</f>
        <v>07001281200</v>
      </c>
      <c r="B8994" s="1" t="str">
        <f>"MURPHY PAMELA S TTEE"</f>
        <v>MURPHY PAMELA S TTEE</v>
      </c>
      <c r="C8994" s="1" t="str">
        <f>"TROUVILLE TREMONT COND UNIT 12A "</f>
        <v xml:space="preserve">TROUVILLE TREMONT COND UNIT 12A </v>
      </c>
      <c r="D8994" s="1">
        <v>990</v>
      </c>
    </row>
    <row r="8995" spans="1:4" x14ac:dyDescent="0.3">
      <c r="A8995" s="1" t="str">
        <f>"01009791100"</f>
        <v>01009791100</v>
      </c>
      <c r="B8995" s="1" t="str">
        <f>"MURPHY ROSEMARY, MURPHY TERENCE M"</f>
        <v>MURPHY ROSEMARY, MURPHY TERENCE M</v>
      </c>
      <c r="C8995" s="1" t="str">
        <f>"KENWICK RD BERWICK HTS LOT 151"</f>
        <v>KENWICK RD BERWICK HTS LOT 151</v>
      </c>
      <c r="D8995" s="1">
        <v>2911.06</v>
      </c>
    </row>
    <row r="8996" spans="1:4" x14ac:dyDescent="0.3">
      <c r="A8996" s="1" t="str">
        <f>"05000784100"</f>
        <v>05000784100</v>
      </c>
      <c r="B8996" s="1" t="str">
        <f>"MURPHY SPENCER"</f>
        <v>MURPHY SPENCER</v>
      </c>
      <c r="C8996" s="1" t="str">
        <f>"DIXON DRIVE HAMPTON OAKS PHASE 1 LOT 14"</f>
        <v>DIXON DRIVE HAMPTON OAKS PHASE 1 LOT 14</v>
      </c>
      <c r="D8996" s="1">
        <v>457.28</v>
      </c>
    </row>
    <row r="8997" spans="1:4" x14ac:dyDescent="0.3">
      <c r="A8997" s="1" t="str">
        <f>"03000082900"</f>
        <v>03000082900</v>
      </c>
      <c r="B8997" s="1" t="str">
        <f>"MURPHY TIMOTHY F, MURPHY CATHERINE T"</f>
        <v>MURPHY TIMOTHY F, MURPHY CATHERINE T</v>
      </c>
      <c r="C8997" s="1" t="str">
        <f>"1056 GRANDVIEW AVE LOT 3 GRANDVIEW WOODS"</f>
        <v>1056 GRANDVIEW AVE LOT 3 GRANDVIEW WOODS</v>
      </c>
      <c r="D8997" s="1">
        <v>402.48</v>
      </c>
    </row>
    <row r="8998" spans="1:4" x14ac:dyDescent="0.3">
      <c r="A8998" s="1" t="str">
        <f>"01013953100"</f>
        <v>01013953100</v>
      </c>
      <c r="B8998" s="1" t="str">
        <f>"MURPHY WILSON ROBERT"</f>
        <v>MURPHY WILSON ROBERT</v>
      </c>
      <c r="C8998" s="1" t="str">
        <f>"BENVUE DR FLORAVIEW HEIGHTS LOT 9"</f>
        <v>BENVUE DR FLORAVIEW HEIGHTS LOT 9</v>
      </c>
      <c r="D8998" s="1">
        <v>2322.16</v>
      </c>
    </row>
    <row r="8999" spans="1:4" x14ac:dyDescent="0.3">
      <c r="A8999" s="1" t="str">
        <f>"09000011400"</f>
        <v>09000011400</v>
      </c>
      <c r="B8999" s="1" t="str">
        <f>"MURRAY AND SONS INSURANCE AGENCY LLC"</f>
        <v>MURRAY AND SONS INSURANCE AGENCY LLC</v>
      </c>
      <c r="C8999" s="1" t="str">
        <f>"HAMILTON RD               NORTON FIELD PLAT 1       LOT 13                   "</f>
        <v xml:space="preserve">HAMILTON RD               NORTON FIELD PLAT 1       LOT 13                   </v>
      </c>
      <c r="D8999" s="1">
        <v>1205.33</v>
      </c>
    </row>
    <row r="9000" spans="1:4" x14ac:dyDescent="0.3">
      <c r="A9000" s="1" t="str">
        <f>"04000551700"</f>
        <v>04000551700</v>
      </c>
      <c r="B9000" s="1" t="str">
        <f>"MURRAY DAVID L"</f>
        <v>MURRAY DAVID L</v>
      </c>
      <c r="C9000" s="1" t="str">
        <f>"2807 BUXTON LANE MAMIE KROPP SUB SEC1 LOT 17"</f>
        <v>2807 BUXTON LANE MAMIE KROPP SUB SEC1 LOT 17</v>
      </c>
      <c r="D9000" s="1">
        <v>278.08999999999997</v>
      </c>
    </row>
    <row r="9001" spans="1:4" x14ac:dyDescent="0.3">
      <c r="A9001" s="1" t="str">
        <f>"24000578600"</f>
        <v>24000578600</v>
      </c>
      <c r="B9001" s="1" t="str">
        <f>"MURRAY JANIS L"</f>
        <v>MURRAY JANIS L</v>
      </c>
      <c r="C9001" s="1" t="str">
        <f>"JANICREST PLACE LAKE DARBY ESTATES 1 LOT 283"</f>
        <v>JANICREST PLACE LAKE DARBY ESTATES 1 LOT 283</v>
      </c>
      <c r="D9001" s="1">
        <v>4466.66</v>
      </c>
    </row>
    <row r="9002" spans="1:4" x14ac:dyDescent="0.3">
      <c r="A9002" s="1" t="str">
        <f>"27300676900"</f>
        <v>27300676900</v>
      </c>
      <c r="B9002" s="1" t="str">
        <f>"MURRAY KEVIN TR, MURRAY ANNE E TR"</f>
        <v>MURRAY KEVIN TR, MURRAY ANNE E TR</v>
      </c>
      <c r="C9002" s="1" t="str">
        <f>"BRIGIDS CLOSE DRIVE DUBLINSHIRE SEC5 PH4 LOT 492"</f>
        <v>BRIGIDS CLOSE DRIVE DUBLINSHIRE SEC5 PH4 LOT 492</v>
      </c>
      <c r="D9002" s="1">
        <v>8138.99</v>
      </c>
    </row>
    <row r="9003" spans="1:4" x14ac:dyDescent="0.3">
      <c r="A9003" s="1" t="str">
        <f>"18000343100"</f>
        <v>18000343100</v>
      </c>
      <c r="B9003" s="1" t="str">
        <f>"MURRAY MONIQUE"</f>
        <v>MURRAY MONIQUE</v>
      </c>
      <c r="C9003" s="1" t="str">
        <f>"NOE-BIXBY RD BLACKLICK ESTATES 5 780"</f>
        <v>NOE-BIXBY RD BLACKLICK ESTATES 5 780</v>
      </c>
      <c r="D9003" s="1">
        <v>3284.51</v>
      </c>
    </row>
    <row r="9004" spans="1:4" x14ac:dyDescent="0.3">
      <c r="A9004" s="1" t="str">
        <f>"02500064100"</f>
        <v>02500064100</v>
      </c>
      <c r="B9004" s="1" t="str">
        <f>"MURRAY PATRICIA"</f>
        <v>MURRAY PATRICIA</v>
      </c>
      <c r="C9004" s="1" t="str">
        <f>"241 CLIFFVIEW DR GRAMERCY PARK ESTATES LOT 234"</f>
        <v>241 CLIFFVIEW DR GRAMERCY PARK ESTATES LOT 234</v>
      </c>
      <c r="D9004" s="1">
        <v>6548.81</v>
      </c>
    </row>
    <row r="9005" spans="1:4" x14ac:dyDescent="0.3">
      <c r="A9005" s="1" t="str">
        <f>"05000049700"</f>
        <v>05000049700</v>
      </c>
      <c r="B9005" s="1" t="str">
        <f>"MURRELL JACK, MURRELL JENNIFER, SAMPSON BRUCE"</f>
        <v>MURRELL JACK, MURRELL JENNIFER, SAMPSON BRUCE</v>
      </c>
      <c r="C9005" s="1" t="str">
        <f>"5208 CAVALIER DRIVE CONSTANCE L CONKLIN LOT 31"</f>
        <v>5208 CAVALIER DRIVE CONSTANCE L CONKLIN LOT 31</v>
      </c>
      <c r="D9005" s="1">
        <v>5530.54</v>
      </c>
    </row>
    <row r="9006" spans="1:4" x14ac:dyDescent="0.3">
      <c r="A9006" s="1" t="str">
        <f>"07000898300"</f>
        <v>07000898300</v>
      </c>
      <c r="B9006" s="1" t="str">
        <f>"MUSICHUK JOHN, LEE ALEX"</f>
        <v>MUSICHUK JOHN, LEE ALEX</v>
      </c>
      <c r="C9006" s="1" t="str">
        <f>"1500 ZOLLINGER RD ALL 16 &amp; 25 FT ES 15 WAKEFLD FOREST B 312"</f>
        <v>1500 ZOLLINGER RD ALL 16 &amp; 25 FT ES 15 WAKEFLD FOREST B 312</v>
      </c>
      <c r="D9006" s="1">
        <v>288.85000000000002</v>
      </c>
    </row>
    <row r="9007" spans="1:4" x14ac:dyDescent="0.3">
      <c r="A9007" s="1" t="str">
        <f>"01001721000"</f>
        <v>01001721000</v>
      </c>
      <c r="B9007" s="1" t="str">
        <f>"MUSICK KAYE D"</f>
        <v>MUSICK KAYE D</v>
      </c>
      <c r="C9007" s="1" t="str">
        <f>"1489 JEFFERSON AVE SCHNEIDERS 12TH AVE LOT 5-6"</f>
        <v>1489 JEFFERSON AVE SCHNEIDERS 12TH AVE LOT 5-6</v>
      </c>
      <c r="D9007" s="1">
        <v>81.16</v>
      </c>
    </row>
    <row r="9008" spans="1:4" x14ac:dyDescent="0.3">
      <c r="A9008" s="1" t="str">
        <f>"01012791900"</f>
        <v>01012791900</v>
      </c>
      <c r="B9008" s="1" t="str">
        <f>"MUSICK PROPERTIES LLC"</f>
        <v>MUSICK PROPERTIES LLC</v>
      </c>
      <c r="C9008" s="1" t="str">
        <f>"2996 LANGFIELD DR LOT 45 BERWYN "</f>
        <v xml:space="preserve">2996 LANGFIELD DR LOT 45 BERWYN </v>
      </c>
      <c r="D9008" s="1">
        <v>1330.16</v>
      </c>
    </row>
    <row r="9009" spans="1:4" x14ac:dyDescent="0.3">
      <c r="A9009" s="1" t="str">
        <f>"01011726600"</f>
        <v>01011726600</v>
      </c>
      <c r="B9009" s="1" t="str">
        <f>"MUSTAFA HASAN A TR"</f>
        <v>MUSTAFA HASAN A TR</v>
      </c>
      <c r="C9009" s="1" t="str">
        <f>"CANIFF PLC CRANFORD 2 LOT 208"</f>
        <v>CANIFF PLC CRANFORD 2 LOT 208</v>
      </c>
      <c r="D9009" s="1">
        <v>4331.83</v>
      </c>
    </row>
    <row r="9010" spans="1:4" x14ac:dyDescent="0.3">
      <c r="A9010" s="1" t="str">
        <f>"01004394700"</f>
        <v>01004394700</v>
      </c>
      <c r="B9010" s="1" t="str">
        <f>"MUSTAFA YAZAN R"</f>
        <v>MUSTAFA YAZAN R</v>
      </c>
      <c r="C9010" s="1" t="str">
        <f>"318 N HARRIS AVE HILL CREST LOT 73"</f>
        <v>318 N HARRIS AVE HILL CREST LOT 73</v>
      </c>
      <c r="D9010" s="1">
        <v>2109.4899999999998</v>
      </c>
    </row>
    <row r="9011" spans="1:4" x14ac:dyDescent="0.3">
      <c r="A9011" s="1" t="str">
        <f>"56023721300"</f>
        <v>56023721300</v>
      </c>
      <c r="B9011" s="1" t="str">
        <f>"MUTHUSAMY NATARAJAN, NATARAJAN JAYANTHI"</f>
        <v>MUTHUSAMY NATARAJAN, NATARAJAN JAYANTHI</v>
      </c>
      <c r="C9011" s="1" t="str">
        <f>"THE VILLAGE AT THORNAPPLE SECTION 5 LOT 169"</f>
        <v>THE VILLAGE AT THORNAPPLE SECTION 5 LOT 169</v>
      </c>
      <c r="D9011" s="1">
        <v>448.19</v>
      </c>
    </row>
    <row r="9012" spans="1:4" x14ac:dyDescent="0.3">
      <c r="A9012" s="1" t="str">
        <f>"01011477000"</f>
        <v>01011477000</v>
      </c>
      <c r="B9012" s="1" t="str">
        <f>"MUTTERS MICHAEL D"</f>
        <v>MUTTERS MICHAEL D</v>
      </c>
      <c r="C9012" s="1" t="str">
        <f>"GLENDOWER AVE .197 ACRE LOT 4"</f>
        <v>GLENDOWER AVE .197 ACRE LOT 4</v>
      </c>
      <c r="D9012" s="1">
        <v>730.59</v>
      </c>
    </row>
    <row r="9013" spans="1:4" x14ac:dyDescent="0.3">
      <c r="A9013" s="1" t="str">
        <f>"01011476900"</f>
        <v>01011476900</v>
      </c>
      <c r="B9013" s="1" t="str">
        <f>"MUTTERS MICHAEL D"</f>
        <v>MUTTERS MICHAEL D</v>
      </c>
      <c r="C9013" s="1" t="str">
        <f>"GLENDOWER AVE .197 ACRE LOT 4"</f>
        <v>GLENDOWER AVE .197 ACRE LOT 4</v>
      </c>
      <c r="D9013" s="1">
        <v>3004.87</v>
      </c>
    </row>
    <row r="9014" spans="1:4" x14ac:dyDescent="0.3">
      <c r="A9014" s="1" t="str">
        <f>"53027192400"</f>
        <v>53027192400</v>
      </c>
      <c r="B9014" s="1" t="str">
        <f>"MUTYAM PRAVEEN, KAILAS SRAVANTHI"</f>
        <v>MUTYAM PRAVEEN, KAILAS SRAVANTHI</v>
      </c>
      <c r="C9014" s="1" t="str">
        <f>"DOROTHY'S POND CONDOMINIUM 1ST AMD UNIT 6724A (GARAGE)"</f>
        <v>DOROTHY'S POND CONDOMINIUM 1ST AMD UNIT 6724A (GARAGE)</v>
      </c>
      <c r="D9014" s="1">
        <v>161.51</v>
      </c>
    </row>
    <row r="9015" spans="1:4" x14ac:dyDescent="0.3">
      <c r="A9015" s="1" t="str">
        <f>"01001253700"</f>
        <v>01001253700</v>
      </c>
      <c r="B9015" s="1" t="str">
        <f>"MWDEN JR HOMES LLC"</f>
        <v>MWDEN JR HOMES LLC</v>
      </c>
      <c r="C9015" s="1" t="str">
        <f>"36 S AVONDALE AVE WEST PARK ADD LOT 113"</f>
        <v>36 S AVONDALE AVE WEST PARK ADD LOT 113</v>
      </c>
      <c r="D9015" s="1">
        <v>3174.02</v>
      </c>
    </row>
    <row r="9016" spans="1:4" x14ac:dyDescent="0.3">
      <c r="A9016" s="1" t="str">
        <f>"60022957500"</f>
        <v>60022957500</v>
      </c>
      <c r="B9016" s="1" t="str">
        <f>"MWITHUKIA CHARITY"</f>
        <v>MWITHUKIA CHARITY</v>
      </c>
      <c r="C9016" s="1" t="str">
        <f>"WESTERVILLE RUN DR WESTERVILLE RUN LOT 8"</f>
        <v>WESTERVILLE RUN DR WESTERVILLE RUN LOT 8</v>
      </c>
      <c r="D9016" s="1">
        <v>848.7</v>
      </c>
    </row>
    <row r="9017" spans="1:4" x14ac:dyDescent="0.3">
      <c r="A9017" s="1" t="str">
        <f>"05000216500"</f>
        <v>05000216500</v>
      </c>
      <c r="B9017" s="1" t="str">
        <f>"MY 3 ACES LLC"</f>
        <v>MY 3 ACES LLC</v>
      </c>
      <c r="C9017" s="1" t="str">
        <f>"4961 CEMETERY ROAD ENTRY 1335 0.161 ACRE"</f>
        <v>4961 CEMETERY ROAD ENTRY 1335 0.161 ACRE</v>
      </c>
      <c r="D9017" s="1">
        <v>500.62</v>
      </c>
    </row>
    <row r="9018" spans="1:4" x14ac:dyDescent="0.3">
      <c r="A9018" s="1" t="str">
        <f>"05000131700"</f>
        <v>05000131700</v>
      </c>
      <c r="B9018" s="1" t="str">
        <f>"MY 3 ACES LLC"</f>
        <v>MY 3 ACES LLC</v>
      </c>
      <c r="C9018" s="1" t="str">
        <f>"TULLER MILL RD REAR ENTRY 1335 .021 ACRE"</f>
        <v>TULLER MILL RD REAR ENTRY 1335 .021 ACRE</v>
      </c>
      <c r="D9018" s="1">
        <v>4.16</v>
      </c>
    </row>
    <row r="9019" spans="1:4" x14ac:dyDescent="0.3">
      <c r="A9019" s="1" t="str">
        <f>"18000332600"</f>
        <v>18000332600</v>
      </c>
      <c r="B9019" s="1" t="str">
        <f>"MY BABYS DADDY LLC"</f>
        <v>MY BABYS DADDY LLC</v>
      </c>
      <c r="C9019" s="1" t="str">
        <f>"WYMORE DR BLACKLICK ESTATES 3 LOT 682"</f>
        <v>WYMORE DR BLACKLICK ESTATES 3 LOT 682</v>
      </c>
      <c r="D9019" s="1">
        <v>134.5</v>
      </c>
    </row>
    <row r="9020" spans="1:4" x14ac:dyDescent="0.3">
      <c r="A9020" s="1" t="str">
        <f>"01003363400"</f>
        <v>01003363400</v>
      </c>
      <c r="B9020" s="1" t="str">
        <f>"MY COLUMBUS HOME LLC"</f>
        <v>MY COLUMBUS HOME LLC</v>
      </c>
      <c r="C9020" s="1" t="str">
        <f>"199 201 CHITTENDEN A CHITTENDEN PLC LOT 30"</f>
        <v>199 201 CHITTENDEN A CHITTENDEN PLC LOT 30</v>
      </c>
      <c r="D9020" s="1">
        <v>551.03</v>
      </c>
    </row>
    <row r="9021" spans="1:4" x14ac:dyDescent="0.3">
      <c r="A9021" s="1" t="str">
        <f>"01004782200"</f>
        <v>01004782200</v>
      </c>
      <c r="B9021" s="1" t="str">
        <f>"MYCOLOGY HOLDINGS LTD"</f>
        <v>MYCOLOGY HOLDINGS LTD</v>
      </c>
      <c r="C9021" s="1" t="str">
        <f>"304 CYPRESS AVE W PARK LOT 307"</f>
        <v>304 CYPRESS AVE W PARK LOT 307</v>
      </c>
      <c r="D9021" s="1">
        <v>1156.7</v>
      </c>
    </row>
    <row r="9022" spans="1:4" x14ac:dyDescent="0.3">
      <c r="A9022" s="1" t="str">
        <f>"01015493600"</f>
        <v>01015493600</v>
      </c>
      <c r="B9022" s="1" t="str">
        <f>"MYER LINDA K, MYER BRENDA L"</f>
        <v>MYER LINDA K, MYER BRENDA L</v>
      </c>
      <c r="C9022" s="1" t="str">
        <f>"SLADE AVE GABLES EAST LOT 63"</f>
        <v>SLADE AVE GABLES EAST LOT 63</v>
      </c>
      <c r="D9022" s="1">
        <v>279.95999999999998</v>
      </c>
    </row>
    <row r="9023" spans="1:4" x14ac:dyDescent="0.3">
      <c r="A9023" s="1" t="str">
        <f>"27300304600"</f>
        <v>27300304600</v>
      </c>
      <c r="B9023" s="1" t="str">
        <f>"MYERS DOUGLAS L"</f>
        <v>MYERS DOUGLAS L</v>
      </c>
      <c r="C9023" s="1" t="str">
        <f>"FALLEN TIMBERS DR INDIAN RUN MEADOWS SEC 3 LOT 128"</f>
        <v>FALLEN TIMBERS DR INDIAN RUN MEADOWS SEC 3 LOT 128</v>
      </c>
      <c r="D9023" s="1">
        <v>9783.69</v>
      </c>
    </row>
    <row r="9024" spans="1:4" x14ac:dyDescent="0.3">
      <c r="A9024" s="1" t="str">
        <f>"22200533600"</f>
        <v>22200533600</v>
      </c>
      <c r="B9024" s="1" t="str">
        <f>"MYERS HARRY, MYERS NANCY"</f>
        <v>MYERS HARRY, MYERS NANCY</v>
      </c>
      <c r="C9024" s="1" t="str">
        <f>"WOODHAVEN LOT 45 "</f>
        <v xml:space="preserve">WOODHAVEN LOT 45 </v>
      </c>
      <c r="D9024" s="1">
        <v>2087.9</v>
      </c>
    </row>
    <row r="9025" spans="1:4" x14ac:dyDescent="0.3">
      <c r="A9025" s="1" t="str">
        <f>"11000235900"</f>
        <v>11000235900</v>
      </c>
      <c r="B9025" s="1" t="str">
        <f>"MYERS JAKE THOMAS"</f>
        <v>MYERS JAKE THOMAS</v>
      </c>
      <c r="C9025" s="1" t="str">
        <f>"ABINGTON RD CLEVELAND HEIGHTS 23"</f>
        <v>ABINGTON RD CLEVELAND HEIGHTS 23</v>
      </c>
      <c r="D9025" s="1">
        <v>97.93</v>
      </c>
    </row>
    <row r="9026" spans="1:4" x14ac:dyDescent="0.3">
      <c r="A9026" s="1" t="str">
        <f>"61020544100"</f>
        <v>61020544100</v>
      </c>
      <c r="B9026" s="1" t="str">
        <f>"MYERS JANET E"</f>
        <v>MYERS JANET E</v>
      </c>
      <c r="C9026" s="1" t="str">
        <f>"WORTHINGTON HEIGHTS CONDO 2ND AMD UNIT 97"</f>
        <v>WORTHINGTON HEIGHTS CONDO 2ND AMD UNIT 97</v>
      </c>
      <c r="D9026" s="1">
        <v>2239.0500000000002</v>
      </c>
    </row>
    <row r="9027" spans="1:4" x14ac:dyDescent="0.3">
      <c r="A9027" s="1" t="str">
        <f>"01021540900"</f>
        <v>01021540900</v>
      </c>
      <c r="B9027" s="1" t="str">
        <f>"MYERS JANET M"</f>
        <v>MYERS JANET M</v>
      </c>
      <c r="C9027" s="1" t="str">
        <f>"WALL STREET CONDOMINIUM UNIT 2G"</f>
        <v>WALL STREET CONDOMINIUM UNIT 2G</v>
      </c>
      <c r="D9027" s="1">
        <v>4959.41</v>
      </c>
    </row>
    <row r="9028" spans="1:4" x14ac:dyDescent="0.3">
      <c r="A9028" s="1" t="str">
        <f>"61017578000"</f>
        <v>61017578000</v>
      </c>
      <c r="B9028" s="1" t="str">
        <f>"MYERS JOSEPH A, MYERS VALERIE E"</f>
        <v>MYERS JOSEPH A, MYERS VALERIE E</v>
      </c>
      <c r="C9028" s="1" t="str">
        <f>"SMOKEY VIEW BLVD WORTHINGROW ESTATES LOT 108"</f>
        <v>SMOKEY VIEW BLVD WORTHINGROW ESTATES LOT 108</v>
      </c>
      <c r="D9028" s="1">
        <v>276.82</v>
      </c>
    </row>
    <row r="9029" spans="1:4" x14ac:dyDescent="0.3">
      <c r="A9029" s="1" t="str">
        <f>"01005487800"</f>
        <v>01005487800</v>
      </c>
      <c r="B9029" s="1" t="str">
        <f>"MYERS KENDRA"</f>
        <v>MYERS KENDRA</v>
      </c>
      <c r="C9029" s="1" t="str">
        <f>"WEST PARK LOT 695 &amp; 696 121FT E E OF EACH"</f>
        <v>WEST PARK LOT 695 &amp; 696 121FT E E OF EACH</v>
      </c>
      <c r="D9029" s="1">
        <v>2663.78</v>
      </c>
    </row>
    <row r="9030" spans="1:4" x14ac:dyDescent="0.3">
      <c r="A9030" s="1" t="str">
        <f>"08000046500"</f>
        <v>08000046500</v>
      </c>
      <c r="B9030" s="1" t="str">
        <f>"MYERS LAURA A"</f>
        <v>MYERS LAURA A</v>
      </c>
      <c r="C9030" s="1" t="str">
        <f>"91 N WEST ST CITY OF WESTERVILLE 1.675 ACRES"</f>
        <v>91 N WEST ST CITY OF WESTERVILLE 1.675 ACRES</v>
      </c>
      <c r="D9030" s="1">
        <v>9296.0300000000007</v>
      </c>
    </row>
    <row r="9031" spans="1:4" x14ac:dyDescent="0.3">
      <c r="A9031" s="1" t="str">
        <f>"60016479000"</f>
        <v>60016479000</v>
      </c>
      <c r="B9031" s="1" t="str">
        <f>"MYERS LINDA J"</f>
        <v>MYERS LINDA J</v>
      </c>
      <c r="C9031" s="1" t="str">
        <f>"5800 COLS&amp;SUNBURY RD 2.245 ACRES LOT 3-4-5"</f>
        <v>5800 COLS&amp;SUNBURY RD 2.245 ACRES LOT 3-4-5</v>
      </c>
      <c r="D9031" s="1">
        <v>571.84</v>
      </c>
    </row>
    <row r="9032" spans="1:4" x14ac:dyDescent="0.3">
      <c r="A9032" s="1" t="str">
        <f>"01021378600"</f>
        <v>01021378600</v>
      </c>
      <c r="B9032" s="1" t="str">
        <f>"MYERS LINDA J"</f>
        <v>MYERS LINDA J</v>
      </c>
      <c r="C9032" s="1" t="str">
        <f>"SUNBURY RD .887AC L 3-4-5 R17 T2 1-4T4"</f>
        <v>SUNBURY RD .887AC L 3-4-5 R17 T2 1-4T4</v>
      </c>
      <c r="D9032" s="1">
        <v>25.03</v>
      </c>
    </row>
    <row r="9033" spans="1:4" x14ac:dyDescent="0.3">
      <c r="A9033" s="1" t="str">
        <f>"56019890700"</f>
        <v>56019890700</v>
      </c>
      <c r="B9033" s="1" t="str">
        <f>"MYERS RICHARD A JR, MYERS DEBORAH J"</f>
        <v>MYERS RICHARD A JR, MYERS DEBORAH J</v>
      </c>
      <c r="C9033" s="1" t="str">
        <f>"RAMBLEHURST RD SADDLEBROOK 2 PT 1 LOT 69"</f>
        <v>RAMBLEHURST RD SADDLEBROOK 2 PT 1 LOT 69</v>
      </c>
      <c r="D9033" s="1">
        <v>8202.33</v>
      </c>
    </row>
    <row r="9034" spans="1:4" x14ac:dyDescent="0.3">
      <c r="A9034" s="1" t="str">
        <f>"14300016300"</f>
        <v>14300016300</v>
      </c>
      <c r="B9034" s="1" t="str">
        <f>"MYERS ROBERT S, MYERS SARAH H"</f>
        <v>MYERS ROBERT S, MYERS SARAH H</v>
      </c>
      <c r="C9034" s="1" t="str">
        <f>"1231 CAMBRIDGE BL R23 T1 SEC 11 ACRE .391"</f>
        <v>1231 CAMBRIDGE BL R23 T1 SEC 11 ACRE .391</v>
      </c>
      <c r="D9034" s="1">
        <v>757.69</v>
      </c>
    </row>
    <row r="9035" spans="1:4" x14ac:dyDescent="0.3">
      <c r="A9035" s="1" t="str">
        <f>"01009188800"</f>
        <v>01009188800</v>
      </c>
      <c r="B9035" s="1" t="str">
        <f>"MYERS RODGER W, MYERS LINDA B"</f>
        <v>MYERS RODGER W, MYERS LINDA B</v>
      </c>
      <c r="C9035" s="1" t="str">
        <f>"EDGEVALE RD EASTMOOR NORTH LOT 538"</f>
        <v>EDGEVALE RD EASTMOOR NORTH LOT 538</v>
      </c>
      <c r="D9035" s="1">
        <v>260.10000000000002</v>
      </c>
    </row>
    <row r="9036" spans="1:4" x14ac:dyDescent="0.3">
      <c r="A9036" s="1" t="str">
        <f>"01013194700"</f>
        <v>01013194700</v>
      </c>
      <c r="B9036" s="1" t="str">
        <f>"MYERS THOMAS L, MYERS TIMOTHY J"</f>
        <v>MYERS THOMAS L, MYERS TIMOTHY J</v>
      </c>
      <c r="C9036" s="1" t="str">
        <f>"DRIFTWOOD RD FOREST PARK 2 LOT 300"</f>
        <v>DRIFTWOOD RD FOREST PARK 2 LOT 300</v>
      </c>
      <c r="D9036" s="1">
        <v>157.59</v>
      </c>
    </row>
    <row r="9037" spans="1:4" x14ac:dyDescent="0.3">
      <c r="A9037" s="1" t="str">
        <f>"01001033200"</f>
        <v>01001033200</v>
      </c>
      <c r="B9037" s="1" t="str">
        <f>"MYSTR LLC"</f>
        <v>MYSTR LLC</v>
      </c>
      <c r="C9037" s="1" t="str">
        <f>"54 S HARRIS AVE WICKLOW LOT 492"</f>
        <v>54 S HARRIS AVE WICKLOW LOT 492</v>
      </c>
      <c r="D9037" s="1">
        <v>1291.55</v>
      </c>
    </row>
    <row r="9038" spans="1:4" x14ac:dyDescent="0.3">
      <c r="A9038" s="1" t="str">
        <f>"01006605600"</f>
        <v>01006605600</v>
      </c>
      <c r="B9038" s="1" t="str">
        <f>"MZA LLC"</f>
        <v>MZA LLC</v>
      </c>
      <c r="C9038" s="1" t="str">
        <f>"3210 E 5TH AVE KRUMMS LOT 28"</f>
        <v>3210 E 5TH AVE KRUMMS LOT 28</v>
      </c>
      <c r="D9038" s="1">
        <v>253.09</v>
      </c>
    </row>
    <row r="9039" spans="1:4" x14ac:dyDescent="0.3">
      <c r="A9039" s="1" t="str">
        <f>"01011113200"</f>
        <v>01011113200</v>
      </c>
      <c r="B9039" s="1" t="str">
        <f>"N &amp; G TAKHAR OIL LLC"</f>
        <v>N &amp; G TAKHAR OIL LLC</v>
      </c>
      <c r="C9039" s="1" t="str">
        <f>"SULLIVANT AVE ENTRY 1425-2442 1.058 ACRE"</f>
        <v>SULLIVANT AVE ENTRY 1425-2442 1.058 ACRE</v>
      </c>
      <c r="D9039" s="1">
        <v>13405.09</v>
      </c>
    </row>
    <row r="9040" spans="1:4" x14ac:dyDescent="0.3">
      <c r="A9040" s="1" t="str">
        <f>"01000818400"</f>
        <v>01000818400</v>
      </c>
      <c r="B9040" s="1" t="str">
        <f>"N &amp; R SOLUTIONS LLC"</f>
        <v>N &amp; R SOLUTIONS LLC</v>
      </c>
      <c r="C9040" s="1" t="str">
        <f>"807 LILLEY AVE COITS KELTON AVE SUB 98 LOT 48 TO 57"</f>
        <v>807 LILLEY AVE COITS KELTON AVE SUB 98 LOT 48 TO 57</v>
      </c>
      <c r="D9040" s="1">
        <v>1731.39</v>
      </c>
    </row>
    <row r="9041" spans="1:4" x14ac:dyDescent="0.3">
      <c r="A9041" s="1" t="str">
        <f>"01024964800"</f>
        <v>01024964800</v>
      </c>
      <c r="B9041" s="1" t="str">
        <f>"N &amp; R SOLUTIONS LLC"</f>
        <v>N &amp; R SOLUTIONS LLC</v>
      </c>
      <c r="C9041" s="1" t="str">
        <f>"BOSTICK RD R21 T12 S21 1/2S35 6.491 ACRES"</f>
        <v>BOSTICK RD R21 T12 S21 1/2S35 6.491 ACRES</v>
      </c>
      <c r="D9041" s="1">
        <v>21399.7</v>
      </c>
    </row>
    <row r="9042" spans="1:4" x14ac:dyDescent="0.3">
      <c r="A9042" s="1" t="str">
        <f>"01021862600"</f>
        <v>01021862600</v>
      </c>
      <c r="B9042" s="1" t="str">
        <f>"N B C-U S A HOUSING INC FOURTEEN"</f>
        <v>N B C-U S A HOUSING INC FOURTEEN</v>
      </c>
      <c r="C9042" s="1" t="str">
        <f>"OBETZ ROAD R22 T4 S16 2.724 ACRES"</f>
        <v>OBETZ ROAD R22 T4 S16 2.724 ACRES</v>
      </c>
      <c r="D9042" s="1">
        <v>21230.080000000002</v>
      </c>
    </row>
    <row r="9043" spans="1:4" x14ac:dyDescent="0.3">
      <c r="A9043" s="1" t="str">
        <f>"01019665300"</f>
        <v>01019665300</v>
      </c>
      <c r="B9043" s="1" t="str">
        <f>"NABAVI ALI"</f>
        <v>NABAVI ALI</v>
      </c>
      <c r="C9043" s="1" t="str">
        <f>"1470-202 SLADE AVE NORTHAMPTON VILLAGE CONDO PH II BLD 8 UNIT 174"</f>
        <v>1470-202 SLADE AVE NORTHAMPTON VILLAGE CONDO PH II BLD 8 UNIT 174</v>
      </c>
      <c r="D9043" s="1">
        <v>2335.16</v>
      </c>
    </row>
    <row r="9044" spans="1:4" x14ac:dyDescent="0.3">
      <c r="A9044" s="1" t="str">
        <f>"27300734200"</f>
        <v>27300734200</v>
      </c>
      <c r="B9044" s="1" t="str">
        <f>"NADUR PAUL J, NADUR KIMBERLY"</f>
        <v>NADUR PAUL J, NADUR KIMBERLY</v>
      </c>
      <c r="C9044" s="1" t="str">
        <f>"BRISTOL COMMONS SECTION 3 RESERVE C .07AC"</f>
        <v>BRISTOL COMMONS SECTION 3 RESERVE C .07AC</v>
      </c>
      <c r="D9044" s="1">
        <v>19.88</v>
      </c>
    </row>
    <row r="9045" spans="1:4" x14ac:dyDescent="0.3">
      <c r="A9045" s="1" t="str">
        <f>"27300398100"</f>
        <v>27300398100</v>
      </c>
      <c r="B9045" s="1" t="str">
        <f>"NADUR PAUL J, NADUR KIMBERLY"</f>
        <v>NADUR PAUL J, NADUR KIMBERLY</v>
      </c>
      <c r="C9045" s="1" t="str">
        <f>"5806 RUSHWOOD DR THE WOODS OF DUBLIN SECTION 3 LOT 57"</f>
        <v>5806 RUSHWOOD DR THE WOODS OF DUBLIN SECTION 3 LOT 57</v>
      </c>
      <c r="D9045" s="1">
        <v>8647.57</v>
      </c>
    </row>
    <row r="9046" spans="1:4" x14ac:dyDescent="0.3">
      <c r="A9046" s="1" t="str">
        <f>"07000281900"</f>
        <v>07000281900</v>
      </c>
      <c r="B9046" s="1" t="str">
        <f>"NAGAR ASHISH, CHALASANI MANASA"</f>
        <v>NAGAR ASHISH, CHALASANI MANASA</v>
      </c>
      <c r="C9046" s="1" t="str">
        <f>"EDGEMONT RD UPPER ARLINGTON LOT 16 BLK 152"</f>
        <v>EDGEMONT RD UPPER ARLINGTON LOT 16 BLK 152</v>
      </c>
      <c r="D9046" s="1">
        <v>8297.92</v>
      </c>
    </row>
    <row r="9047" spans="1:4" x14ac:dyDescent="0.3">
      <c r="A9047" s="1" t="str">
        <f>"01010326500"</f>
        <v>01010326500</v>
      </c>
      <c r="B9047" s="1" t="str">
        <f>"NAGEL JUDE T"</f>
        <v>NAGEL JUDE T</v>
      </c>
      <c r="C9047" s="1" t="str">
        <f>"1669 E COOKE ROAD .253 ACRES LOT 16 R18 T1 1/4T1"</f>
        <v>1669 E COOKE ROAD .253 ACRES LOT 16 R18 T1 1/4T1</v>
      </c>
      <c r="D9047" s="1">
        <v>124.72</v>
      </c>
    </row>
    <row r="9048" spans="1:4" x14ac:dyDescent="0.3">
      <c r="A9048" s="1" t="str">
        <f>"61016805400"</f>
        <v>61016805400</v>
      </c>
      <c r="B9048" s="1" t="str">
        <f>"NAGEL TERRY"</f>
        <v>NAGEL TERRY</v>
      </c>
      <c r="C9048" s="1" t="str">
        <f>"SMOKEY ROW MANOR SHALLOWFORD AVE LOT 152"</f>
        <v>SMOKEY ROW MANOR SHALLOWFORD AVE LOT 152</v>
      </c>
      <c r="D9048" s="1">
        <v>2904.62</v>
      </c>
    </row>
    <row r="9049" spans="1:4" x14ac:dyDescent="0.3">
      <c r="A9049" s="1" t="str">
        <f>"59019083200"</f>
        <v>59019083200</v>
      </c>
      <c r="B9049" s="1" t="str">
        <f>"NAGI ANKIT"</f>
        <v>NAGI ANKIT</v>
      </c>
      <c r="C9049" s="1" t="str">
        <f>"LANGHORN DR MISTY MEADOWS SEC 3 LOT 220"</f>
        <v>LANGHORN DR MISTY MEADOWS SEC 3 LOT 220</v>
      </c>
      <c r="D9049" s="1">
        <v>3465.34</v>
      </c>
    </row>
    <row r="9050" spans="1:4" x14ac:dyDescent="0.3">
      <c r="A9050" s="1" t="str">
        <f>"57019389100"</f>
        <v>57019389100</v>
      </c>
      <c r="B9050" s="1" t="str">
        <f>"NAGLE GARY"</f>
        <v>NAGLE GARY</v>
      </c>
      <c r="C9050" s="1" t="str">
        <f>"2890 LAZAR 1.353 AC ENTRY 4641 BROWNE ESTATE"</f>
        <v>2890 LAZAR 1.353 AC ENTRY 4641 BROWNE ESTATE</v>
      </c>
      <c r="D9050" s="1">
        <v>4669.12</v>
      </c>
    </row>
    <row r="9051" spans="1:4" x14ac:dyDescent="0.3">
      <c r="A9051" s="1" t="str">
        <f>"57019389900"</f>
        <v>57019389900</v>
      </c>
      <c r="B9051" s="1" t="str">
        <f>"NAGLE GARY"</f>
        <v>NAGLE GARY</v>
      </c>
      <c r="C9051" s="1" t="str">
        <f>"DYER RD                   BROWNE ESTATE             ENTRY 4641               "</f>
        <v xml:space="preserve">DYER RD                   BROWNE ESTATE             ENTRY 4641               </v>
      </c>
      <c r="D9051" s="1">
        <v>3197.8</v>
      </c>
    </row>
    <row r="9052" spans="1:4" x14ac:dyDescent="0.3">
      <c r="A9052" s="1" t="str">
        <f>"10000273900"</f>
        <v>10000273900</v>
      </c>
      <c r="B9052" s="1" t="str">
        <f>"NAGY FRANCIS R, NAGY M DOLORES"</f>
        <v>NAGY FRANCIS R, NAGY M DOLORES</v>
      </c>
      <c r="C9052" s="1" t="str">
        <f>"393 N RIDGEDALE DR WILSON HILL HIGHLNDS LOT 92"</f>
        <v>393 N RIDGEDALE DR WILSON HILL HIGHLNDS LOT 92</v>
      </c>
      <c r="D9052" s="1">
        <v>8011.08</v>
      </c>
    </row>
    <row r="9053" spans="1:4" x14ac:dyDescent="0.3">
      <c r="A9053" s="1" t="str">
        <f>"57022294800"</f>
        <v>57022294800</v>
      </c>
      <c r="B9053" s="1" t="str">
        <f>"NAGY GREGORY E, NAGY LINDA M"</f>
        <v>NAGY GREGORY E, NAGY LINDA M</v>
      </c>
      <c r="C9053" s="1" t="str">
        <f>"0000 BASIA DRIVE RASPBERRY RUN SEC 2 LOT 53"</f>
        <v>0000 BASIA DRIVE RASPBERRY RUN SEC 2 LOT 53</v>
      </c>
      <c r="D9053" s="1">
        <v>151.31</v>
      </c>
    </row>
    <row r="9054" spans="1:4" x14ac:dyDescent="0.3">
      <c r="A9054" s="1" t="str">
        <f>"15000143000"</f>
        <v>15000143000</v>
      </c>
      <c r="B9054" s="1" t="str">
        <f>"NAKANISHI LARRY T, NAKANISHI KATRINA L"</f>
        <v>NAKANISHI LARRY T, NAKANISHI KATRINA L</v>
      </c>
      <c r="C9054" s="1" t="str">
        <f>"4989 ROOT ST HAMILTON MEADOWS 6 LOT 628"</f>
        <v>4989 ROOT ST HAMILTON MEADOWS 6 LOT 628</v>
      </c>
      <c r="D9054" s="1">
        <v>3407.55</v>
      </c>
    </row>
    <row r="9055" spans="1:4" x14ac:dyDescent="0.3">
      <c r="A9055" s="1" t="str">
        <f>"01001403100"</f>
        <v>01001403100</v>
      </c>
      <c r="B9055" s="1" t="str">
        <f>"NAKKA RAMESH SATISH CHANDRA, SAGGAM SUSHMA KUMARI"</f>
        <v>NAKKA RAMESH SATISH CHANDRA, SAGGAM SUSHMA KUMARI</v>
      </c>
      <c r="C9055" s="1" t="str">
        <f>"SEYMOUR AVE SEYMOUR LOT 7"</f>
        <v>SEYMOUR AVE SEYMOUR LOT 7</v>
      </c>
      <c r="D9055" s="1">
        <v>5157.1400000000003</v>
      </c>
    </row>
    <row r="9056" spans="1:4" x14ac:dyDescent="0.3">
      <c r="A9056" s="1" t="str">
        <f>"54525908900"</f>
        <v>54525908900</v>
      </c>
      <c r="B9056" s="1" t="str">
        <f>"NALLARI RAMMOHAN"</f>
        <v>NALLARI RAMMOHAN</v>
      </c>
      <c r="C9056" s="1" t="str">
        <f>"FLOWER GARDEN DRIVE ALBANY PARK SECTION 3 PART 1 LOT 147"</f>
        <v>FLOWER GARDEN DRIVE ALBANY PARK SECTION 3 PART 1 LOT 147</v>
      </c>
      <c r="D9056" s="1">
        <v>9515.4</v>
      </c>
    </row>
    <row r="9057" spans="1:4" x14ac:dyDescent="0.3">
      <c r="A9057" s="1" t="str">
        <f>"01026222200"</f>
        <v>01026222200</v>
      </c>
      <c r="B9057" s="1" t="str">
        <f>"NAMAKIDOUST RAZIEH"</f>
        <v>NAMAKIDOUST RAZIEH</v>
      </c>
      <c r="C9057" s="1" t="str">
        <f>"STONEPATH DRIVE EDGEWATER SECTION 4 LOT 249"</f>
        <v>STONEPATH DRIVE EDGEWATER SECTION 4 LOT 249</v>
      </c>
      <c r="D9057" s="1">
        <v>223.2</v>
      </c>
    </row>
    <row r="9058" spans="1:4" x14ac:dyDescent="0.3">
      <c r="A9058" s="1" t="str">
        <f>"04001023100"</f>
        <v>04001023100</v>
      </c>
      <c r="B9058" s="1" t="str">
        <f>"NANAK EXPRESS INC"</f>
        <v>NANAK EXPRESS INC</v>
      </c>
      <c r="C9058" s="1" t="str">
        <f>"HAUGHN RD 5.3663 ACS LOT 01 "</f>
        <v xml:space="preserve">HAUGHN RD 5.3663 ACS LOT 01 </v>
      </c>
      <c r="D9058" s="1">
        <v>1871.79</v>
      </c>
    </row>
    <row r="9059" spans="1:4" x14ac:dyDescent="0.3">
      <c r="A9059" s="1" t="str">
        <f>"02500307300"</f>
        <v>02500307300</v>
      </c>
      <c r="B9059" s="1" t="str">
        <f>"NANCE JAMIE"</f>
        <v>NANCE JAMIE</v>
      </c>
      <c r="C9059" s="1" t="str">
        <f>"455 DEERWOOD AVENUE BRENTWOOD ESTATES SEC 2 190"</f>
        <v>455 DEERWOOD AVENUE BRENTWOOD ESTATES SEC 2 190</v>
      </c>
      <c r="D9059" s="1">
        <v>1194.06</v>
      </c>
    </row>
    <row r="9060" spans="1:4" x14ac:dyDescent="0.3">
      <c r="A9060" s="1" t="str">
        <f>"04001362700"</f>
        <v>04001362700</v>
      </c>
      <c r="B9060" s="1" t="str">
        <f>"NANCE JENNIFER L"</f>
        <v>NANCE JENNIFER L</v>
      </c>
      <c r="C9060" s="1" t="str">
        <f>"FOUNTAINVIEW AT PARKWAY   CONDOMINIUM 6TH AMD       UNIT 19-1395             "</f>
        <v xml:space="preserve">FOUNTAINVIEW AT PARKWAY   CONDOMINIUM 6TH AMD       UNIT 19-1395             </v>
      </c>
      <c r="D9060" s="1">
        <v>209.32</v>
      </c>
    </row>
    <row r="9061" spans="1:4" x14ac:dyDescent="0.3">
      <c r="A9061" s="1" t="str">
        <f>"01012044500"</f>
        <v>01012044500</v>
      </c>
      <c r="B9061" s="1" t="str">
        <f>"NAPIER GLEN R, NAPIER LADOSKA"</f>
        <v>NAPIER GLEN R, NAPIER LADOSKA</v>
      </c>
      <c r="C9061" s="1" t="str">
        <f>"WILTON DR THUNDERBIRD ACRES LOT 143"</f>
        <v>WILTON DR THUNDERBIRD ACRES LOT 143</v>
      </c>
      <c r="D9061" s="1">
        <v>1395.25</v>
      </c>
    </row>
    <row r="9062" spans="1:4" x14ac:dyDescent="0.3">
      <c r="A9062" s="1" t="str">
        <f>"10000551500"</f>
        <v>10000551500</v>
      </c>
      <c r="B9062" s="1" t="str">
        <f>"NAPPI JAMES F"</f>
        <v>NAPPI JAMES F</v>
      </c>
      <c r="C9062" s="1" t="str">
        <f>"135 ST JULIEN DR VLLE CHARMANTE PT 6 UNIT 29-C"</f>
        <v>135 ST JULIEN DR VLLE CHARMANTE PT 6 UNIT 29-C</v>
      </c>
      <c r="D9062" s="1">
        <v>309.3</v>
      </c>
    </row>
    <row r="9063" spans="1:4" x14ac:dyDescent="0.3">
      <c r="A9063" s="1" t="str">
        <f>"07000472000"</f>
        <v>07000472000</v>
      </c>
      <c r="B9063" s="1" t="str">
        <f>"NASAR JACK L TR, NASAR JUDY D TR"</f>
        <v>NASAR JACK L TR, NASAR JUDY D TR</v>
      </c>
      <c r="C9063" s="1" t="str">
        <f>"SUDBURY RD LOT40EX4FT NS UPPER RIDGEVIEW L40"</f>
        <v>SUDBURY RD LOT40EX4FT NS UPPER RIDGEVIEW L40</v>
      </c>
      <c r="D9063" s="1">
        <v>3704.97</v>
      </c>
    </row>
    <row r="9064" spans="1:4" x14ac:dyDescent="0.3">
      <c r="A9064" s="1" t="str">
        <f>"10000225600"</f>
        <v>10000225600</v>
      </c>
      <c r="B9064" s="1" t="str">
        <f>"NASH STEVEN M, NASH PATRICIA L"</f>
        <v>NASH STEVEN M, NASH PATRICIA L</v>
      </c>
      <c r="C9064" s="1" t="str">
        <f>"590 TUCKER DR MEDICK ESTATES 2 LOT 58"</f>
        <v>590 TUCKER DR MEDICK ESTATES 2 LOT 58</v>
      </c>
      <c r="D9064" s="1">
        <v>23193.119999999999</v>
      </c>
    </row>
    <row r="9065" spans="1:4" x14ac:dyDescent="0.3">
      <c r="A9065" s="1" t="str">
        <f>"17000488200"</f>
        <v>17000488200</v>
      </c>
      <c r="B9065" s="1" t="str">
        <f>"NASSERY HUSA Z"</f>
        <v>NASSERY HUSA Z</v>
      </c>
      <c r="C9065" s="1" t="str">
        <f>"COURTYARDS AT MORSE CIRCLE CONDOMINIUM 1ST AMD UNIT 60-7732"</f>
        <v>COURTYARDS AT MORSE CIRCLE CONDOMINIUM 1ST AMD UNIT 60-7732</v>
      </c>
      <c r="D9065" s="1">
        <v>12709.96</v>
      </c>
    </row>
    <row r="9066" spans="1:4" x14ac:dyDescent="0.3">
      <c r="A9066" s="1" t="str">
        <f>"14000370700"</f>
        <v>14000370700</v>
      </c>
      <c r="B9066" s="1" t="str">
        <f>"NASTOFF THOMAS A TTEE"</f>
        <v>NASTOFF THOMAS A TTEE</v>
      </c>
      <c r="C9066" s="1" t="str">
        <f>"720 N HAGUE AVE ENTRY 530 1 1.605 ACRES"</f>
        <v>720 N HAGUE AVE ENTRY 530 1 1.605 ACRES</v>
      </c>
      <c r="D9066" s="1">
        <v>291.43</v>
      </c>
    </row>
    <row r="9067" spans="1:4" x14ac:dyDescent="0.3">
      <c r="A9067" s="1" t="str">
        <f>"01000380700"</f>
        <v>01000380700</v>
      </c>
      <c r="B9067" s="1" t="str">
        <f>"NASTOFF THOMAS A TTEE"</f>
        <v>NASTOFF THOMAS A TTEE</v>
      </c>
      <c r="C9067" s="1" t="str">
        <f>"756 RIVER ST ENTRY 1393 1.82633 ACRES"</f>
        <v>756 RIVER ST ENTRY 1393 1.82633 ACRES</v>
      </c>
      <c r="D9067" s="1">
        <v>168.52</v>
      </c>
    </row>
    <row r="9068" spans="1:4" x14ac:dyDescent="0.3">
      <c r="A9068" s="1" t="str">
        <f>"01009986800"</f>
        <v>01009986800</v>
      </c>
      <c r="B9068" s="1" t="str">
        <f>"NATARAJAN PRIYAMVADA"</f>
        <v>NATARAJAN PRIYAMVADA</v>
      </c>
      <c r="C9068" s="1" t="str">
        <f>"BRICKER BLVD UNIVER CITY HOME LOT 80"</f>
        <v>BRICKER BLVD UNIVER CITY HOME LOT 80</v>
      </c>
      <c r="D9068" s="1">
        <v>2308.85</v>
      </c>
    </row>
    <row r="9069" spans="1:4" x14ac:dyDescent="0.3">
      <c r="A9069" s="1" t="str">
        <f>"61019212800"</f>
        <v>61019212800</v>
      </c>
      <c r="B9069" s="1" t="str">
        <f>"NATH RUPAK"</f>
        <v>NATH RUPAK</v>
      </c>
      <c r="C9069" s="1" t="str">
        <f>"STONEFORD DR RESUB PT SUMMERWOOD SEC 2 LOT 282"</f>
        <v>STONEFORD DR RESUB PT SUMMERWOOD SEC 2 LOT 282</v>
      </c>
      <c r="D9069" s="1">
        <v>5838.82</v>
      </c>
    </row>
    <row r="9070" spans="1:4" x14ac:dyDescent="0.3">
      <c r="A9070" s="1" t="str">
        <f>"01001495600"</f>
        <v>01001495600</v>
      </c>
      <c r="B9070" s="1" t="str">
        <f>"NATION JANICE R LE, NATION JANICE R RMDR"</f>
        <v>NATION JANICE R LE, NATION JANICE R RMDR</v>
      </c>
      <c r="C9070" s="1" t="str">
        <f>"PACEMONT RD PACEMONT LOT 19"</f>
        <v>PACEMONT RD PACEMONT LOT 19</v>
      </c>
      <c r="D9070" s="1">
        <v>227.84</v>
      </c>
    </row>
    <row r="9071" spans="1:4" x14ac:dyDescent="0.3">
      <c r="A9071" s="1" t="str">
        <f>"27300908300"</f>
        <v>27300908300</v>
      </c>
      <c r="B9071" s="1" t="str">
        <f>"NATIONAL RETAIL PROPERTIES LP"</f>
        <v>NATIONAL RETAIL PROPERTIES LP</v>
      </c>
      <c r="C9071" s="1" t="str">
        <f>"6547 SAWMILL RD DUBLIN CITY CENTER PT RES B=4.551 ACRES"</f>
        <v>6547 SAWMILL RD DUBLIN CITY CENTER PT RES B=4.551 ACRES</v>
      </c>
      <c r="D9071" s="1">
        <v>7745.75</v>
      </c>
    </row>
    <row r="9072" spans="1:4" x14ac:dyDescent="0.3">
      <c r="A9072" s="1" t="str">
        <f>"27301157100"</f>
        <v>27301157100</v>
      </c>
      <c r="B9072" s="1" t="str">
        <f>"NATUREPRSV LLC"</f>
        <v>NATUREPRSV LLC</v>
      </c>
      <c r="C9072" s="1" t="str">
        <f>"GORDEN FARMS CONDOMINIUM UNIT 6988"</f>
        <v>GORDEN FARMS CONDOMINIUM UNIT 6988</v>
      </c>
      <c r="D9072" s="1">
        <v>3010.83</v>
      </c>
    </row>
    <row r="9073" spans="1:4" x14ac:dyDescent="0.3">
      <c r="A9073" s="1" t="str">
        <f>"16100059100"</f>
        <v>16100059100</v>
      </c>
      <c r="B9073" s="1" t="str">
        <f>"NAVARRO &amp; SONS CONTRACTING LLC"</f>
        <v>NAVARRO &amp; SONS CONTRACTING LLC</v>
      </c>
      <c r="C9073" s="1" t="str">
        <f>"2ND AVE URBANCREST 12-14 BLK 18"</f>
        <v>2ND AVE URBANCREST 12-14 BLK 18</v>
      </c>
      <c r="D9073" s="1">
        <v>133.49</v>
      </c>
    </row>
    <row r="9074" spans="1:4" x14ac:dyDescent="0.3">
      <c r="A9074" s="1" t="str">
        <f>"04000554200"</f>
        <v>04000554200</v>
      </c>
      <c r="B9074" s="1" t="str">
        <f>"NAVARRO RAMON, NAVARRO AUGUSTO DE JESUS"</f>
        <v>NAVARRO RAMON, NAVARRO AUGUSTO DE JESUS</v>
      </c>
      <c r="C9074" s="1" t="str">
        <f>"000 SOUTHWEST BLVD RESUB PT BARFLD HTS1 E 1/2 LOT 49"</f>
        <v>000 SOUTHWEST BLVD RESUB PT BARFLD HTS1 E 1/2 LOT 49</v>
      </c>
      <c r="D9074" s="1">
        <v>1391.02</v>
      </c>
    </row>
    <row r="9075" spans="1:4" x14ac:dyDescent="0.3">
      <c r="A9075" s="1" t="str">
        <f>"04000319000"</f>
        <v>04000319000</v>
      </c>
      <c r="B9075" s="1" t="str">
        <f>"NAVARRO RAMON, NAVARRO AUGUSTO DE JESUS"</f>
        <v>NAVARRO RAMON, NAVARRO AUGUSTO DE JESUS</v>
      </c>
      <c r="C9075" s="1" t="str">
        <f>"SOUTHWEST BLVD RE-SUB PT BARFIELD 1 W1/2 LOT 48"</f>
        <v>SOUTHWEST BLVD RE-SUB PT BARFIELD 1 W1/2 LOT 48</v>
      </c>
      <c r="D9075" s="1">
        <v>1364.68</v>
      </c>
    </row>
    <row r="9076" spans="1:4" x14ac:dyDescent="0.3">
      <c r="A9076" s="1" t="str">
        <f>"04000319400"</f>
        <v>04000319400</v>
      </c>
      <c r="B9076" s="1" t="str">
        <f>"NAVARRO RAMON, NAVARRO AUGUSTO DE JESUS"</f>
        <v>NAVARRO RAMON, NAVARRO AUGUSTO DE JESUS</v>
      </c>
      <c r="C9076" s="1" t="str">
        <f>"SOUTHWEST BLVD RE-SUB PT BARFIELD HTS 1 52"</f>
        <v>SOUTHWEST BLVD RE-SUB PT BARFIELD HTS 1 52</v>
      </c>
      <c r="D9076" s="1">
        <v>1802.93</v>
      </c>
    </row>
    <row r="9077" spans="1:4" x14ac:dyDescent="0.3">
      <c r="A9077" s="1" t="str">
        <f>"01025548000"</f>
        <v>01025548000</v>
      </c>
      <c r="B9077" s="1" t="str">
        <f>"NCI COURTRIGHT ROAD COLUMBUS FD LLC"</f>
        <v>NCI COURTRIGHT ROAD COLUMBUS FD LLC</v>
      </c>
      <c r="C9077" s="1" t="str">
        <f>"COURTRIGHT RD R21 T12 S29 1/4S51 1.650 ACRES"</f>
        <v>COURTRIGHT RD R21 T12 S29 1/4S51 1.650 ACRES</v>
      </c>
      <c r="D9077" s="1">
        <v>157.74</v>
      </c>
    </row>
    <row r="9078" spans="1:4" x14ac:dyDescent="0.3">
      <c r="A9078" s="1" t="str">
        <f>"24000186600"</f>
        <v>24000186600</v>
      </c>
      <c r="B9078" s="1" t="str">
        <f>"NEAL ALICE M W"</f>
        <v>NEAL ALICE M W</v>
      </c>
      <c r="C9078" s="1" t="str">
        <f>"WOODLAWN AVE ROME MANOR 73-74 "</f>
        <v xml:space="preserve">WOODLAWN AVE ROME MANOR 73-74 </v>
      </c>
      <c r="D9078" s="1">
        <v>1110.33</v>
      </c>
    </row>
    <row r="9079" spans="1:4" x14ac:dyDescent="0.3">
      <c r="A9079" s="1" t="str">
        <f>"08000315000"</f>
        <v>08000315000</v>
      </c>
      <c r="B9079" s="1" t="str">
        <f>"NEAL BRENDA, NEAL PAUL"</f>
        <v>NEAL BRENDA, NEAL PAUL</v>
      </c>
      <c r="C9079" s="1" t="str">
        <f>"ILLINOIS AVE LEHY ACRES 1 37"</f>
        <v>ILLINOIS AVE LEHY ACRES 1 37</v>
      </c>
      <c r="D9079" s="1">
        <v>7148.23</v>
      </c>
    </row>
    <row r="9080" spans="1:4" x14ac:dyDescent="0.3">
      <c r="A9080" s="1" t="str">
        <f>"26000041100"</f>
        <v>26000041100</v>
      </c>
      <c r="B9080" s="1" t="str">
        <f>"NEAL CARL J"</f>
        <v>NEAL CARL J</v>
      </c>
      <c r="C9080" s="1" t="str">
        <f>"RONDA RD QUALSTAN EAST LOT 554"</f>
        <v>RONDA RD QUALSTAN EAST LOT 554</v>
      </c>
      <c r="D9080" s="1">
        <v>4376.59</v>
      </c>
    </row>
    <row r="9081" spans="1:4" x14ac:dyDescent="0.3">
      <c r="A9081" s="1" t="str">
        <f>"01010650900"</f>
        <v>01010650900</v>
      </c>
      <c r="B9081" s="1" t="str">
        <f>"NEAL FLORENCE, NEAL THOMAS"</f>
        <v>NEAL FLORENCE, NEAL THOMAS</v>
      </c>
      <c r="C9081" s="1" t="str">
        <f>"SCHAAF DR S BERWICK LOT 48"</f>
        <v>SCHAAF DR S BERWICK LOT 48</v>
      </c>
      <c r="D9081" s="1">
        <v>4973.6000000000004</v>
      </c>
    </row>
    <row r="9082" spans="1:4" x14ac:dyDescent="0.3">
      <c r="A9082" s="1" t="str">
        <f>"16100027400"</f>
        <v>16100027400</v>
      </c>
      <c r="B9082" s="1" t="str">
        <f>"NEAL FRED L"</f>
        <v>NEAL FRED L</v>
      </c>
      <c r="C9082" s="1" t="str">
        <f>"MAPLE ST URBANCREST 4 BLK 7"</f>
        <v>MAPLE ST URBANCREST 4 BLK 7</v>
      </c>
      <c r="D9082" s="1">
        <v>2.97</v>
      </c>
    </row>
    <row r="9083" spans="1:4" x14ac:dyDescent="0.3">
      <c r="A9083" s="1" t="str">
        <f>"01009706600"</f>
        <v>01009706600</v>
      </c>
      <c r="B9083" s="1" t="str">
        <f>"NEAL JAMES, NEAL RUTH"</f>
        <v>NEAL JAMES, NEAL RUTH</v>
      </c>
      <c r="C9083" s="1" t="str">
        <f>"GRASMERE AVE OAK PARK ADDN. 7 LOT 16"</f>
        <v>GRASMERE AVE OAK PARK ADDN. 7 LOT 16</v>
      </c>
      <c r="D9083" s="1">
        <v>121.42</v>
      </c>
    </row>
    <row r="9084" spans="1:4" x14ac:dyDescent="0.3">
      <c r="A9084" s="1" t="str">
        <f>"01008032500"</f>
        <v>01008032500</v>
      </c>
      <c r="B9084" s="1" t="str">
        <f>"NEAL LILLIE R, BRILEY TAJUAN"</f>
        <v>NEAL LILLIE R, BRILEY TAJUAN</v>
      </c>
      <c r="C9084" s="1" t="str">
        <f>"SEYMOUR AVE LENOX LOT 145"</f>
        <v>SEYMOUR AVE LENOX LOT 145</v>
      </c>
      <c r="D9084" s="1">
        <v>520.33000000000004</v>
      </c>
    </row>
    <row r="9085" spans="1:4" x14ac:dyDescent="0.3">
      <c r="A9085" s="1" t="str">
        <f>"04000238200"</f>
        <v>04000238200</v>
      </c>
      <c r="B9085" s="1" t="str">
        <f>"NEAL PATRICIA A"</f>
        <v>NEAL PATRICIA A</v>
      </c>
      <c r="C9085" s="1" t="str">
        <f>"2566 SUANN AVENUE GROVE CTY HTS 198 "</f>
        <v xml:space="preserve">2566 SUANN AVENUE GROVE CTY HTS 198 </v>
      </c>
      <c r="D9085" s="1">
        <v>2170.73</v>
      </c>
    </row>
    <row r="9086" spans="1:4" x14ac:dyDescent="0.3">
      <c r="A9086" s="1" t="str">
        <f>"09000137700"</f>
        <v>09000137700</v>
      </c>
      <c r="B9086" s="1" t="str">
        <f>"NEAL RAMONA E TR"</f>
        <v>NEAL RAMONA E TR</v>
      </c>
      <c r="C9086" s="1" t="str">
        <f>"SAN JOSE LANE NORTON FIELD PLAT 2 485 "</f>
        <v xml:space="preserve">SAN JOSE LANE NORTON FIELD PLAT 2 485 </v>
      </c>
      <c r="D9086" s="1">
        <v>1025.6199999999999</v>
      </c>
    </row>
    <row r="9087" spans="1:4" x14ac:dyDescent="0.3">
      <c r="A9087" s="1" t="str">
        <f>"02500175100"</f>
        <v>02500175100</v>
      </c>
      <c r="B9087" s="1" t="str">
        <f>"NEAL TERRI T"</f>
        <v>NEAL TERRI T</v>
      </c>
      <c r="C9087" s="1" t="str">
        <f>"311 DUNBARTON RD COLLEGE PARK 123 "</f>
        <v xml:space="preserve">311 DUNBARTON RD COLLEGE PARK 123 </v>
      </c>
      <c r="D9087" s="1">
        <v>3322.69</v>
      </c>
    </row>
    <row r="9088" spans="1:4" x14ac:dyDescent="0.3">
      <c r="A9088" s="1" t="str">
        <f>"08000877000"</f>
        <v>08000877000</v>
      </c>
      <c r="B9088" s="1" t="str">
        <f>"NEALE DIANA B"</f>
        <v>NEALE DIANA B</v>
      </c>
      <c r="C9088" s="1" t="str">
        <f>"EXECUTIVE CT RESUB PT OLDE TOWN LOT 21"</f>
        <v>EXECUTIVE CT RESUB PT OLDE TOWN LOT 21</v>
      </c>
      <c r="D9088" s="1">
        <v>3762.51</v>
      </c>
    </row>
    <row r="9089" spans="1:4" x14ac:dyDescent="0.3">
      <c r="A9089" s="1" t="str">
        <f>"01013324100"</f>
        <v>01013324100</v>
      </c>
      <c r="B9089" s="1" t="str">
        <f>"NEER KELLY J, NEER CHERYL R"</f>
        <v>NEER KELLY J, NEER CHERYL R</v>
      </c>
      <c r="C9089" s="1" t="str">
        <f>"MAYWOOD RD WALNUT BLUFF 1 LOT 386"</f>
        <v>MAYWOOD RD WALNUT BLUFF 1 LOT 386</v>
      </c>
      <c r="D9089" s="1">
        <v>134.81</v>
      </c>
    </row>
    <row r="9090" spans="1:4" x14ac:dyDescent="0.3">
      <c r="A9090" s="1" t="str">
        <f>"14000141100"</f>
        <v>14000141100</v>
      </c>
      <c r="B9090" s="1" t="str">
        <f>"NEESE DARRELL G"</f>
        <v>NEESE DARRELL G</v>
      </c>
      <c r="C9090" s="1" t="str">
        <f>"1678 HARRISBURG PIKE 1.041 ACRES O Q 1000 NO OF ENTRY 971"</f>
        <v>1678 HARRISBURG PIKE 1.041 ACRES O Q 1000 NO OF ENTRY 971</v>
      </c>
      <c r="D9090" s="1">
        <v>810.5</v>
      </c>
    </row>
    <row r="9091" spans="1:4" x14ac:dyDescent="0.3">
      <c r="A9091" s="1" t="str">
        <f>"24000405100"</f>
        <v>24000405100</v>
      </c>
      <c r="B9091" s="1" t="str">
        <f>"NEFF DONALD E JR"</f>
        <v>NEFF DONALD E JR</v>
      </c>
      <c r="C9091" s="1" t="str">
        <f>"ALKIRE RD EDWARD E LAVELY 8 "</f>
        <v xml:space="preserve">ALKIRE RD EDWARD E LAVELY 8 </v>
      </c>
      <c r="D9091" s="1">
        <v>4948.37</v>
      </c>
    </row>
    <row r="9092" spans="1:4" x14ac:dyDescent="0.3">
      <c r="A9092" s="1" t="str">
        <f>"56027626200"</f>
        <v>56027626200</v>
      </c>
      <c r="B9092" s="1" t="str">
        <f>"NEGASH SOFIA SALEH"</f>
        <v>NEGASH SOFIA SALEH</v>
      </c>
      <c r="C9092" s="1" t="str">
        <f>"5724 GALVESTON DRIVE VILLAGE AT HILLIARD RUN SECTION 1 PART 1 LOT 63"</f>
        <v>5724 GALVESTON DRIVE VILLAGE AT HILLIARD RUN SECTION 1 PART 1 LOT 63</v>
      </c>
      <c r="D9092" s="1">
        <v>261.22000000000003</v>
      </c>
    </row>
    <row r="9093" spans="1:4" x14ac:dyDescent="0.3">
      <c r="A9093" s="1" t="str">
        <f>"01008873800"</f>
        <v>01008873800</v>
      </c>
      <c r="B9093" s="1" t="str">
        <f>"NEGASH YONAS H"</f>
        <v>NEGASH YONAS H</v>
      </c>
      <c r="C9093" s="1" t="str">
        <f>"MAIN ST MAIN ST TERRACE LOT 15"</f>
        <v>MAIN ST MAIN ST TERRACE LOT 15</v>
      </c>
      <c r="D9093" s="1">
        <v>1547.89</v>
      </c>
    </row>
    <row r="9094" spans="1:4" x14ac:dyDescent="0.3">
      <c r="A9094" s="1" t="str">
        <f>"21000349400"</f>
        <v>21000349400</v>
      </c>
      <c r="B9094" s="1" t="str">
        <f>"NEIDECKER DEREK"</f>
        <v>NEIDECKER DEREK</v>
      </c>
      <c r="C9094" s="1" t="str">
        <f>"ARLINGTON POINTE CONDOMINIUM UNIT I 2547"</f>
        <v>ARLINGTON POINTE CONDOMINIUM UNIT I 2547</v>
      </c>
      <c r="D9094" s="1">
        <v>5499.04</v>
      </c>
    </row>
    <row r="9095" spans="1:4" x14ac:dyDescent="0.3">
      <c r="A9095" s="1" t="str">
        <f>"01014658900"</f>
        <v>01014658900</v>
      </c>
      <c r="B9095" s="1" t="str">
        <f>"NEIGHBARGER NORMA J"</f>
        <v>NEIGHBARGER NORMA J</v>
      </c>
      <c r="C9095" s="1" t="str">
        <f>"GLENOAK DR SUNBURY DOWNS 2 LOT 2"</f>
        <v>GLENOAK DR SUNBURY DOWNS 2 LOT 2</v>
      </c>
      <c r="D9095" s="1">
        <v>181.83</v>
      </c>
    </row>
    <row r="9096" spans="1:4" x14ac:dyDescent="0.3">
      <c r="A9096" s="1" t="str">
        <f>"11000431200"</f>
        <v>11000431200</v>
      </c>
      <c r="B9096" s="1" t="str">
        <f>"NEIL ERIC S, NEIL AMY B"</f>
        <v>NEIL ERIC S, NEIL AMY B</v>
      </c>
      <c r="C9096" s="1" t="str">
        <f>"MANILA DR GLENGARY HTS 388"</f>
        <v>MANILA DR GLENGARY HTS 388</v>
      </c>
      <c r="D9096" s="1">
        <v>2959.61</v>
      </c>
    </row>
    <row r="9097" spans="1:4" x14ac:dyDescent="0.3">
      <c r="A9097" s="1" t="str">
        <f>"01000693700"</f>
        <v>01000693700</v>
      </c>
      <c r="B9097" s="1" t="str">
        <f>"NEILJOSEPH INVESTMENTS LLC"</f>
        <v>NEILJOSEPH INVESTMENTS LLC</v>
      </c>
      <c r="C9097" s="1" t="str">
        <f>"824 W RICH ST MARTINS WESTERN LOT 79"</f>
        <v>824 W RICH ST MARTINS WESTERN LOT 79</v>
      </c>
      <c r="D9097" s="1">
        <v>141.59</v>
      </c>
    </row>
    <row r="9098" spans="1:4" x14ac:dyDescent="0.3">
      <c r="A9098" s="1" t="str">
        <f>"60016833300"</f>
        <v>60016833300</v>
      </c>
      <c r="B9098" s="1" t="str">
        <f>"NEIRIOS S 4J INVESTMENTS LLC"</f>
        <v>NEIRIOS S 4J INVESTMENTS LLC</v>
      </c>
      <c r="C9098" s="1" t="str">
        <f>"EDMONTON SQ PH1 COND 2426 OTTAWA DRIVE UNIT 2426"</f>
        <v>EDMONTON SQ PH1 COND 2426 OTTAWA DRIVE UNIT 2426</v>
      </c>
      <c r="D9098" s="1">
        <v>2891.47</v>
      </c>
    </row>
    <row r="9099" spans="1:4" x14ac:dyDescent="0.3">
      <c r="A9099" s="1" t="str">
        <f>"01007537000"</f>
        <v>01007537000</v>
      </c>
      <c r="B9099" s="1" t="str">
        <f>"NEISWANDER TODD J"</f>
        <v>NEISWANDER TODD J</v>
      </c>
      <c r="C9099" s="1" t="str">
        <f>"876 BELLOWS AVE OSBORNE PLACE LOT 106"</f>
        <v>876 BELLOWS AVE OSBORNE PLACE LOT 106</v>
      </c>
      <c r="D9099" s="1">
        <v>53.3</v>
      </c>
    </row>
    <row r="9100" spans="1:4" x14ac:dyDescent="0.3">
      <c r="A9100" s="1" t="str">
        <f>"01001969300"</f>
        <v>01001969300</v>
      </c>
      <c r="B9100" s="1" t="str">
        <f>"NEISWANDER TODD J"</f>
        <v>NEISWANDER TODD J</v>
      </c>
      <c r="C9100" s="1" t="str">
        <f>"927 BELLOWS AVE OSBORN PLC LOT 197"</f>
        <v>927 BELLOWS AVE OSBORN PLC LOT 197</v>
      </c>
      <c r="D9100" s="1">
        <v>47.81</v>
      </c>
    </row>
    <row r="9101" spans="1:4" x14ac:dyDescent="0.3">
      <c r="A9101" s="1" t="str">
        <f>"06000281700"</f>
        <v>06000281700</v>
      </c>
      <c r="B9101" s="1" t="str">
        <f>"NEISWANDER TODD J"</f>
        <v>NEISWANDER TODD J</v>
      </c>
      <c r="C9101" s="1" t="str">
        <f>"CARROUSEL DR S BRIARCLIFF 3 LOT 258"</f>
        <v>CARROUSEL DR S BRIARCLIFF 3 LOT 258</v>
      </c>
      <c r="D9101" s="1">
        <v>104.76</v>
      </c>
    </row>
    <row r="9102" spans="1:4" x14ac:dyDescent="0.3">
      <c r="A9102" s="1" t="str">
        <f>"27301167900"</f>
        <v>27301167900</v>
      </c>
      <c r="B9102" s="1" t="str">
        <f>"NEKOUEI AMIR S, ESFAHANI NOUSHIN S"</f>
        <v>NEKOUEI AMIR S, ESFAHANI NOUSHIN S</v>
      </c>
      <c r="C9102" s="1" t="str">
        <f>"GORDEN FARMS CONDOMINIUM UNIT 022 (GARAGE)"</f>
        <v>GORDEN FARMS CONDOMINIUM UNIT 022 (GARAGE)</v>
      </c>
      <c r="D9102" s="1">
        <v>425.82</v>
      </c>
    </row>
    <row r="9103" spans="1:4" x14ac:dyDescent="0.3">
      <c r="A9103" s="1" t="str">
        <f>"56020380700"</f>
        <v>56020380700</v>
      </c>
      <c r="B9103" s="1" t="str">
        <f>"NELLA PROPERTIES LLC"</f>
        <v>NELLA PROPERTIES LLC</v>
      </c>
      <c r="C9103" s="1" t="str">
        <f>"WESTBELT DR 3.05 ACRES "</f>
        <v xml:space="preserve">WESTBELT DR 3.05 ACRES </v>
      </c>
      <c r="D9103" s="1">
        <v>9491.31</v>
      </c>
    </row>
    <row r="9104" spans="1:4" x14ac:dyDescent="0.3">
      <c r="A9104" s="1" t="str">
        <f>"01009315000"</f>
        <v>01009315000</v>
      </c>
      <c r="B9104" s="1" t="str">
        <f>"NELMS KYMBRA S"</f>
        <v>NELMS KYMBRA S</v>
      </c>
      <c r="C9104" s="1" t="str">
        <f>"MINNESOTA AVE ALL 540&amp;6.67FT ES 541 LINDEN LOT 540-541"</f>
        <v>MINNESOTA AVE ALL 540&amp;6.67FT ES 541 LINDEN LOT 540-541</v>
      </c>
      <c r="D9104" s="1">
        <v>2487.54</v>
      </c>
    </row>
    <row r="9105" spans="1:4" x14ac:dyDescent="0.3">
      <c r="A9105" s="1" t="str">
        <f>"07001194800"</f>
        <v>07001194800</v>
      </c>
      <c r="B9105" s="1" t="str">
        <f>"NELSON AMY, NELSON CARLETON"</f>
        <v>NELSON AMY, NELSON CARLETON</v>
      </c>
      <c r="C9105" s="1" t="str">
        <f>"3846 WALDO PLACE ORCHARD VIEW EXT 2 L 42"</f>
        <v>3846 WALDO PLACE ORCHARD VIEW EXT 2 L 42</v>
      </c>
      <c r="D9105" s="1">
        <v>34832.83</v>
      </c>
    </row>
    <row r="9106" spans="1:4" x14ac:dyDescent="0.3">
      <c r="A9106" s="1" t="str">
        <f>"24000389300"</f>
        <v>24000389300</v>
      </c>
      <c r="B9106" s="1" t="str">
        <f>"NELSON E J, NELSON G W"</f>
        <v>NELSON E J, NELSON G W</v>
      </c>
      <c r="C9106" s="1" t="str">
        <f>"TAUNTON WAY LINCOLN VILLAGE 753 "</f>
        <v xml:space="preserve">TAUNTON WAY LINCOLN VILLAGE 753 </v>
      </c>
      <c r="D9106" s="1">
        <v>2761.97</v>
      </c>
    </row>
    <row r="9107" spans="1:4" x14ac:dyDescent="0.3">
      <c r="A9107" s="1" t="str">
        <f>"01009617700"</f>
        <v>01009617700</v>
      </c>
      <c r="B9107" s="1" t="str">
        <f>"NELSON EDWARD H"</f>
        <v>NELSON EDWARD H</v>
      </c>
      <c r="C9107" s="1" t="str">
        <f>"CLEVELAND AVE CLEVEMONT S 1/2 LOT 8"</f>
        <v>CLEVELAND AVE CLEVEMONT S 1/2 LOT 8</v>
      </c>
      <c r="D9107" s="1">
        <v>1366.91</v>
      </c>
    </row>
    <row r="9108" spans="1:4" x14ac:dyDescent="0.3">
      <c r="A9108" s="1" t="str">
        <f>"01007950800"</f>
        <v>01007950800</v>
      </c>
      <c r="B9108" s="1" t="str">
        <f>"NELSON EDWARD H"</f>
        <v>NELSON EDWARD H</v>
      </c>
      <c r="C9108" s="1" t="str">
        <f>"CLEVELAND AVE CLEVEMONT LOT 6"</f>
        <v>CLEVELAND AVE CLEVEMONT LOT 6</v>
      </c>
      <c r="D9108" s="1">
        <v>970.12</v>
      </c>
    </row>
    <row r="9109" spans="1:4" x14ac:dyDescent="0.3">
      <c r="A9109" s="1" t="str">
        <f>"01007950900"</f>
        <v>01007950900</v>
      </c>
      <c r="B9109" s="1" t="str">
        <f>"NELSON EDWARD H"</f>
        <v>NELSON EDWARD H</v>
      </c>
      <c r="C9109" s="1" t="str">
        <f>"CLEVELAND AVE CLEVEMONT LOT 7"</f>
        <v>CLEVELAND AVE CLEVEMONT LOT 7</v>
      </c>
      <c r="D9109" s="1">
        <v>960.61</v>
      </c>
    </row>
    <row r="9110" spans="1:4" x14ac:dyDescent="0.3">
      <c r="A9110" s="1" t="str">
        <f>"19000049100"</f>
        <v>19000049100</v>
      </c>
      <c r="B9110" s="1" t="str">
        <f>"NELSON EDWARD H"</f>
        <v>NELSON EDWARD H</v>
      </c>
      <c r="C9110" s="1" t="str">
        <f>"BERRELL AVE 2716 50 FT NS 42&amp;45FT S MID PT E LINDEN 2ND 42"</f>
        <v>BERRELL AVE 2716 50 FT NS 42&amp;45FT S MID PT E LINDEN 2ND 42</v>
      </c>
      <c r="D9110" s="1">
        <v>4493.3599999999997</v>
      </c>
    </row>
    <row r="9111" spans="1:4" x14ac:dyDescent="0.3">
      <c r="A9111" s="1" t="str">
        <f>"15200089800"</f>
        <v>15200089800</v>
      </c>
      <c r="B9111" s="1" t="str">
        <f>"NELSON ERMA M"</f>
        <v>NELSON ERMA M</v>
      </c>
      <c r="C9111" s="1" t="str">
        <f>"ORCHARD LANE ACRES .310 R22 T4 S13 "</f>
        <v xml:space="preserve">ORCHARD LANE ACRES .310 R22 T4 S13 </v>
      </c>
      <c r="D9111" s="1">
        <v>272.12</v>
      </c>
    </row>
    <row r="9112" spans="1:4" x14ac:dyDescent="0.3">
      <c r="A9112" s="1" t="str">
        <f>"01026958000"</f>
        <v>01026958000</v>
      </c>
      <c r="B9112" s="1" t="str">
        <f>"NELSON JAMES C, NELSON CHERIE J"</f>
        <v>NELSON JAMES C, NELSON CHERIE J</v>
      </c>
      <c r="C9112" s="1" t="str">
        <f>"SWEET SHADOW AVENUE THE WILLOWS AT PRESERVE CROSSING  LOT 103"</f>
        <v>SWEET SHADOW AVENUE THE WILLOWS AT PRESERVE CROSSING  LOT 103</v>
      </c>
      <c r="D9112" s="1">
        <v>2448.6999999999998</v>
      </c>
    </row>
    <row r="9113" spans="1:4" x14ac:dyDescent="0.3">
      <c r="A9113" s="1" t="str">
        <f>"10000381100"</f>
        <v>10000381100</v>
      </c>
      <c r="B9113" s="1" t="str">
        <f>"NELSON JEFFREY, NELSON CHERIE S"</f>
        <v>NELSON JEFFREY, NELSON CHERIE S</v>
      </c>
      <c r="C9113" s="1" t="str">
        <f>"837 OXFORD ST 124.20FT EL &amp; 140FT SL SE COR LOT 39"</f>
        <v>837 OXFORD ST 124.20FT EL &amp; 140FT SL SE COR LOT 39</v>
      </c>
      <c r="D9113" s="1">
        <v>8261.76</v>
      </c>
    </row>
    <row r="9114" spans="1:4" x14ac:dyDescent="0.3">
      <c r="A9114" s="1" t="str">
        <f>"07000055500"</f>
        <v>07000055500</v>
      </c>
      <c r="B9114" s="1" t="str">
        <f>"NELSON LINDA R TR"</f>
        <v>NELSON LINDA R TR</v>
      </c>
      <c r="C9114" s="1" t="str">
        <f>"1740 ARLINGTON AVE UPPER ARLINGTON LOT 6 BLK 16"</f>
        <v>1740 ARLINGTON AVE UPPER ARLINGTON LOT 6 BLK 16</v>
      </c>
      <c r="D9114" s="1">
        <v>524.49</v>
      </c>
    </row>
    <row r="9115" spans="1:4" x14ac:dyDescent="0.3">
      <c r="A9115" s="1" t="str">
        <f>"16100026300"</f>
        <v>16100026300</v>
      </c>
      <c r="B9115" s="1" t="str">
        <f>"NELSON RANDOLPH"</f>
        <v>NELSON RANDOLPH</v>
      </c>
      <c r="C9115" s="1" t="str">
        <f>"3531 1ST AVE URBANCREST 82-3"</f>
        <v>3531 1ST AVE URBANCREST 82-3</v>
      </c>
      <c r="D9115" s="1">
        <v>2041.65</v>
      </c>
    </row>
    <row r="9116" spans="1:4" x14ac:dyDescent="0.3">
      <c r="A9116" s="1" t="str">
        <f>"17000347600"</f>
        <v>17000347600</v>
      </c>
      <c r="B9116" s="1" t="str">
        <f>"NELSON RICHARD, NELSON TIGIST"</f>
        <v>NELSON RICHARD, NELSON TIGIST</v>
      </c>
      <c r="C9116" s="1" t="str">
        <f>"LANGLY COURT FIELDSTONE SECTION 2 LOT 42"</f>
        <v>LANGLY COURT FIELDSTONE SECTION 2 LOT 42</v>
      </c>
      <c r="D9116" s="1">
        <v>12486.97</v>
      </c>
    </row>
    <row r="9117" spans="1:4" x14ac:dyDescent="0.3">
      <c r="A9117" s="1" t="str">
        <f>"01002033100"</f>
        <v>01002033100</v>
      </c>
      <c r="B9117" s="1" t="str">
        <f>"NELUSE INVESTMENT GROUP INC"</f>
        <v>NELUSE INVESTMENT GROUP INC</v>
      </c>
      <c r="C9117" s="1" t="str">
        <f>"944S OHIO AVE 20FT SS LT158&amp;10FT NS LOT 159 OLD ORCHARD"</f>
        <v>944S OHIO AVE 20FT SS LT158&amp;10FT NS LOT 159 OLD ORCHARD</v>
      </c>
      <c r="D9117" s="1">
        <v>1845.46</v>
      </c>
    </row>
    <row r="9118" spans="1:4" x14ac:dyDescent="0.3">
      <c r="A9118" s="1" t="str">
        <f>"27300609400"</f>
        <v>27300609400</v>
      </c>
      <c r="B9118" s="1" t="str">
        <f>"NEMECEK PAULINE C TTEE"</f>
        <v>NEMECEK PAULINE C TTEE</v>
      </c>
      <c r="C9118" s="1" t="str">
        <f>"RESUB OF PART OF KENTIGERN PLACE LOT 2049"</f>
        <v>RESUB OF PART OF KENTIGERN PLACE LOT 2049</v>
      </c>
      <c r="D9118" s="1">
        <v>5329.82</v>
      </c>
    </row>
    <row r="9119" spans="1:4" x14ac:dyDescent="0.3">
      <c r="A9119" s="1" t="str">
        <f>"05001176600"</f>
        <v>05001176600</v>
      </c>
      <c r="B9119" s="1" t="str">
        <f>"NERDERMAN STANLEY J TTEE, NERDERMAN RENEE Y TTEE"</f>
        <v>NERDERMAN STANLEY J TTEE, NERDERMAN RENEE Y TTEE</v>
      </c>
      <c r="C9119" s="1" t="str">
        <f>"THE COURTYARDS AT CARR FARMS SECTION 1 LOT 123"</f>
        <v>THE COURTYARDS AT CARR FARMS SECTION 1 LOT 123</v>
      </c>
      <c r="D9119" s="1">
        <v>613.88</v>
      </c>
    </row>
    <row r="9120" spans="1:4" x14ac:dyDescent="0.3">
      <c r="A9120" s="1" t="str">
        <f>"01015239100"</f>
        <v>01015239100</v>
      </c>
      <c r="B9120" s="1" t="str">
        <f>"NERIOS 4J INVESTMENTS LLC"</f>
        <v>NERIOS 4J INVESTMENTS LLC</v>
      </c>
      <c r="C9120" s="1" t="str">
        <f>"GRAYFAIRS LANE HYDE PARK PLAT 2 LOT 223"</f>
        <v>GRAYFAIRS LANE HYDE PARK PLAT 2 LOT 223</v>
      </c>
      <c r="D9120" s="1">
        <v>1794.76</v>
      </c>
    </row>
    <row r="9121" spans="1:4" x14ac:dyDescent="0.3">
      <c r="A9121" s="1" t="str">
        <f>"01007777100"</f>
        <v>01007777100</v>
      </c>
      <c r="B9121" s="1" t="str">
        <f>"NERIOS 4J INVESTMENTS LLC"</f>
        <v>NERIOS 4J INVESTMENTS LLC</v>
      </c>
      <c r="C9121" s="1" t="str">
        <f>"WEBER RD 707&amp;W.1/2 708 SUNNYSIDE LOT707-708"</f>
        <v>WEBER RD 707&amp;W.1/2 708 SUNNYSIDE LOT707-708</v>
      </c>
      <c r="D9121" s="1">
        <v>3858.87</v>
      </c>
    </row>
    <row r="9122" spans="1:4" x14ac:dyDescent="0.3">
      <c r="A9122" s="1" t="str">
        <f>"13000215100"</f>
        <v>13000215100</v>
      </c>
      <c r="B9122" s="1" t="str">
        <f>"NERIOS 4J INVESTMENTS LLC"</f>
        <v>NERIOS 4J INVESTMENTS LLC</v>
      </c>
      <c r="C9122" s="1" t="str">
        <f>"SALE ROAD NORTH LINDEN 3 52 "</f>
        <v xml:space="preserve">SALE ROAD NORTH LINDEN 3 52 </v>
      </c>
      <c r="D9122" s="1">
        <v>1152.1600000000001</v>
      </c>
    </row>
    <row r="9123" spans="1:4" x14ac:dyDescent="0.3">
      <c r="A9123" s="1" t="str">
        <f>"01006236300"</f>
        <v>01006236300</v>
      </c>
      <c r="B9123" s="1" t="str">
        <f>"NERIOS 4J INVESTMENTS LLC"</f>
        <v>NERIOS 4J INVESTMENTS LLC</v>
      </c>
      <c r="C9123" s="1" t="str">
        <f>"2356 JOYCE AVE MUL-BUR HTS AMD LOT 266-267"</f>
        <v>2356 JOYCE AVE MUL-BUR HTS AMD LOT 266-267</v>
      </c>
      <c r="D9123" s="1">
        <v>872.66</v>
      </c>
    </row>
    <row r="9124" spans="1:4" x14ac:dyDescent="0.3">
      <c r="A9124" s="1" t="str">
        <f>"01010916400"</f>
        <v>01010916400</v>
      </c>
      <c r="B9124" s="1" t="str">
        <f>"NERIOS 4J INVESTMENTS LLC"</f>
        <v>NERIOS 4J INVESTMENTS LLC</v>
      </c>
      <c r="C9124" s="1" t="str">
        <f>"2272 MINNESOTA AVE ARLINGTON PK TR 2 LOT 7 BLK K"</f>
        <v>2272 MINNESOTA AVE ARLINGTON PK TR 2 LOT 7 BLK K</v>
      </c>
      <c r="D9124" s="1">
        <v>1340.21</v>
      </c>
    </row>
    <row r="9125" spans="1:4" x14ac:dyDescent="0.3">
      <c r="A9125" s="1" t="str">
        <f>"08000406800"</f>
        <v>08000406800</v>
      </c>
      <c r="B9125" s="1" t="str">
        <f>"NESBITT NICHOLAS D, NESBITT JENNIFER L"</f>
        <v>NESBITT NICHOLAS D, NESBITT JENNIFER L</v>
      </c>
      <c r="C9125" s="1" t="str">
        <f>"HANBY AVE ANNEHURST VILLAGE 6 LOT 283"</f>
        <v>HANBY AVE ANNEHURST VILLAGE 6 LOT 283</v>
      </c>
      <c r="D9125" s="1">
        <v>6504.41</v>
      </c>
    </row>
    <row r="9126" spans="1:4" x14ac:dyDescent="0.3">
      <c r="A9126" s="1" t="str">
        <f>"61020265200"</f>
        <v>61020265200</v>
      </c>
      <c r="B9126" s="1" t="str">
        <f>"NESTOR CHRISTOPHER M"</f>
        <v>NESTOR CHRISTOPHER M</v>
      </c>
      <c r="C9126" s="1" t="str">
        <f>"VILLAGE AT DEERCREEK CONDOMINIUM 1ST AMD BLDG 14 UNIT 7642"</f>
        <v>VILLAGE AT DEERCREEK CONDOMINIUM 1ST AMD BLDG 14 UNIT 7642</v>
      </c>
      <c r="D9126" s="1">
        <v>2201.87</v>
      </c>
    </row>
    <row r="9127" spans="1:4" x14ac:dyDescent="0.3">
      <c r="A9127" s="1" t="str">
        <f>"01002858600"</f>
        <v>01002858600</v>
      </c>
      <c r="B9127" s="1" t="str">
        <f>"NETWORK RESTORATIONS II LLC"</f>
        <v>NETWORK RESTORATIONS II LLC</v>
      </c>
      <c r="C9127" s="1" t="str">
        <f>"1178-80 FRANKLIN AVE HOFFMAN &amp; MC GREW 2ND AMD LOT 202"</f>
        <v>1178-80 FRANKLIN AVE HOFFMAN &amp; MC GREW 2ND AMD LOT 202</v>
      </c>
      <c r="D9127" s="1">
        <v>877.16</v>
      </c>
    </row>
    <row r="9128" spans="1:4" x14ac:dyDescent="0.3">
      <c r="A9128" s="1" t="str">
        <f>"01008790400"</f>
        <v>01008790400</v>
      </c>
      <c r="B9128" s="1" t="str">
        <f>"NETWORK RESTORATIONS II LLC"</f>
        <v>NETWORK RESTORATIONS II LLC</v>
      </c>
      <c r="C9128" s="1" t="str">
        <f>"969 MCALLISTER AVE KIMBALL &amp; MILLERS 26.67'X93.75'NE PT LOT 14"</f>
        <v>969 MCALLISTER AVE KIMBALL &amp; MILLERS 26.67'X93.75'NE PT LOT 14</v>
      </c>
      <c r="D9128" s="1">
        <v>282</v>
      </c>
    </row>
    <row r="9129" spans="1:4" x14ac:dyDescent="0.3">
      <c r="A9129" s="1" t="str">
        <f>"01018740600"</f>
        <v>01018740600</v>
      </c>
      <c r="B9129" s="1" t="str">
        <f>"NEUBERT CHRISTINE"</f>
        <v>NEUBERT CHRISTINE</v>
      </c>
      <c r="C9129" s="1" t="str">
        <f>"PINE TREE N TAMARACK CONDOMINIUM UNIT 1755-A BLDG 7"</f>
        <v>PINE TREE N TAMARACK CONDOMINIUM UNIT 1755-A BLDG 7</v>
      </c>
      <c r="D9129" s="1">
        <v>86.49</v>
      </c>
    </row>
    <row r="9130" spans="1:4" x14ac:dyDescent="0.3">
      <c r="A9130" s="1" t="str">
        <f>"01018783300"</f>
        <v>01018783300</v>
      </c>
      <c r="B9130" s="1" t="str">
        <f>"NEUBERT CHRISTINE M"</f>
        <v>NEUBERT CHRISTINE M</v>
      </c>
      <c r="C9130" s="1" t="str">
        <f>"BEECHCROFT RD BEECHCROFT CONDO BLDG 8 UNIT 5738-K"</f>
        <v>BEECHCROFT RD BEECHCROFT CONDO BLDG 8 UNIT 5738-K</v>
      </c>
      <c r="D9130" s="1">
        <v>90.84</v>
      </c>
    </row>
    <row r="9131" spans="1:4" x14ac:dyDescent="0.3">
      <c r="A9131" s="1" t="str">
        <f>"19000309400"</f>
        <v>19000309400</v>
      </c>
      <c r="B9131" s="1" t="str">
        <f>"NEVAREZ JOSE S"</f>
        <v>NEVAREZ JOSE S</v>
      </c>
      <c r="C9131" s="1" t="str">
        <f>"2594 PARKWOOD AVE DENUNE E LINDEN LOT 55X100FTSW PT LOT107"</f>
        <v>2594 PARKWOOD AVE DENUNE E LINDEN LOT 55X100FTSW PT LOT107</v>
      </c>
      <c r="D9131" s="1">
        <v>3596.82</v>
      </c>
    </row>
    <row r="9132" spans="1:4" x14ac:dyDescent="0.3">
      <c r="A9132" s="1" t="str">
        <f>"01005912600"</f>
        <v>01005912600</v>
      </c>
      <c r="B9132" s="1" t="str">
        <f>"NEVEL DAVID I, NEVEL MARY D"</f>
        <v>NEVEL DAVID I, NEVEL MARY D</v>
      </c>
      <c r="C9132" s="1" t="str">
        <f>"1381 ABERDEEN AVE LINDEN LOT 436"</f>
        <v>1381 ABERDEEN AVE LINDEN LOT 436</v>
      </c>
      <c r="D9132" s="1">
        <v>3018</v>
      </c>
    </row>
    <row r="9133" spans="1:4" x14ac:dyDescent="0.3">
      <c r="A9133" s="1" t="str">
        <f>"22200008500"</f>
        <v>22200008500</v>
      </c>
      <c r="B9133" s="1" t="str">
        <f>"NEW ALBANY TOWN CENTER LLC"</f>
        <v>NEW ALBANY TOWN CENTER LLC</v>
      </c>
      <c r="C9133" s="1" t="str">
        <f>"HIGH ST ALL 20 &amp; 7FT N S 21 20-1 "</f>
        <v xml:space="preserve">HIGH ST ALL 20 &amp; 7FT N S 21 20-1 </v>
      </c>
      <c r="D9133" s="1">
        <v>3516.93</v>
      </c>
    </row>
    <row r="9134" spans="1:4" x14ac:dyDescent="0.3">
      <c r="A9134" s="1" t="str">
        <f>"22200001300"</f>
        <v>22200001300</v>
      </c>
      <c r="B9134" s="1" t="str">
        <f>"NEW ALBANY TOWNE CENTER LLC"</f>
        <v>NEW ALBANY TOWNE CENTER LLC</v>
      </c>
      <c r="C9134" s="1" t="str">
        <f>"HIGH ST 50 X 100 FT "</f>
        <v xml:space="preserve">HIGH ST 50 X 100 FT </v>
      </c>
      <c r="D9134" s="1">
        <v>1286.77</v>
      </c>
    </row>
    <row r="9135" spans="1:4" x14ac:dyDescent="0.3">
      <c r="A9135" s="1" t="str">
        <f>"22200005100"</f>
        <v>22200005100</v>
      </c>
      <c r="B9135" s="1" t="str">
        <f>"NEW ALBANY TOWNE CENTER LLC"</f>
        <v>NEW ALBANY TOWNE CENTER LLC</v>
      </c>
      <c r="C9135" s="1" t="str">
        <f>"CHERRY ALLEY .125 ACRE "</f>
        <v xml:space="preserve">CHERRY ALLEY .125 ACRE </v>
      </c>
      <c r="D9135" s="1">
        <v>2482.87</v>
      </c>
    </row>
    <row r="9136" spans="1:4" x14ac:dyDescent="0.3">
      <c r="A9136" s="1" t="str">
        <f>"22200005200"</f>
        <v>22200005200</v>
      </c>
      <c r="B9136" s="1" t="str">
        <f>"NEW ALBANY TOWNE CENTER LLC"</f>
        <v>NEW ALBANY TOWNE CENTER LLC</v>
      </c>
      <c r="C9136" s="1" t="str">
        <f>"HIGH ST 19  "</f>
        <v xml:space="preserve">HIGH ST 19  </v>
      </c>
      <c r="D9136" s="1">
        <v>3456.75</v>
      </c>
    </row>
    <row r="9137" spans="1:4" x14ac:dyDescent="0.3">
      <c r="A9137" s="1" t="str">
        <f>"22200006000"</f>
        <v>22200006000</v>
      </c>
      <c r="B9137" s="1" t="str">
        <f>"NEW ALBANY TOWNE CENTER LLC"</f>
        <v>NEW ALBANY TOWNE CENTER LLC</v>
      </c>
      <c r="C9137" s="1" t="str">
        <f>"HIGH ST 61 X 100FT &amp; 50 X 100 FT "</f>
        <v xml:space="preserve">HIGH ST 61 X 100FT &amp; 50 X 100 FT </v>
      </c>
      <c r="D9137" s="1">
        <v>4870.63</v>
      </c>
    </row>
    <row r="9138" spans="1:4" x14ac:dyDescent="0.3">
      <c r="A9138" s="1" t="str">
        <f>"22200008600"</f>
        <v>22200008600</v>
      </c>
      <c r="B9138" s="1" t="str">
        <f>"NEW ALBANY TOWNE CENTER LLC"</f>
        <v>NEW ALBANY TOWNE CENTER LLC</v>
      </c>
      <c r="C9138" s="1" t="str">
        <f>"CHERRY ALLEY 1.666 ACRE &amp; 67 X 100 ON CHERRY ST"</f>
        <v>CHERRY ALLEY 1.666 ACRE &amp; 67 X 100 ON CHERRY ST</v>
      </c>
      <c r="D9138" s="1">
        <v>45028.18</v>
      </c>
    </row>
    <row r="9139" spans="1:4" x14ac:dyDescent="0.3">
      <c r="A9139" s="1" t="str">
        <f>"22200011200"</f>
        <v>22200011200</v>
      </c>
      <c r="B9139" s="1" t="str">
        <f>"NEW ALBANY TOWNE CENTER LLC"</f>
        <v>NEW ALBANY TOWNE CENTER LLC</v>
      </c>
      <c r="C9139" s="1" t="str">
        <f>"CHERRY ST 50 X 100 FT "</f>
        <v xml:space="preserve">CHERRY ST 50 X 100 FT </v>
      </c>
      <c r="D9139" s="1">
        <v>1183.5999999999999</v>
      </c>
    </row>
    <row r="9140" spans="1:4" x14ac:dyDescent="0.3">
      <c r="A9140" s="1" t="str">
        <f>"22000124000"</f>
        <v>22000124000</v>
      </c>
      <c r="B9140" s="1" t="str">
        <f>"NEW ALBANY UNITED METHODIST CHURCH"</f>
        <v>NEW ALBANY UNITED METHODIST CHURCH</v>
      </c>
      <c r="C9140" s="1" t="str">
        <f>"WALNUT ST WILBUR FRANK ADD SEC 1 LOT 1"</f>
        <v>WALNUT ST WILBUR FRANK ADD SEC 1 LOT 1</v>
      </c>
      <c r="D9140" s="1">
        <v>444.68</v>
      </c>
    </row>
    <row r="9141" spans="1:4" x14ac:dyDescent="0.3">
      <c r="A9141" s="1" t="str">
        <f>"54530163800"</f>
        <v>54530163800</v>
      </c>
      <c r="B9141" s="1" t="str">
        <f>"NEW ALBANY WASH INVESTMENTS LLC"</f>
        <v>NEW ALBANY WASH INVESTMENTS LLC</v>
      </c>
      <c r="C9141" s="1" t="str">
        <f>"HAMILTON RD R16 T2 S3 1.158 ACRES"</f>
        <v>HAMILTON RD R16 T2 S3 1.158 ACRES</v>
      </c>
      <c r="D9141" s="1">
        <v>1734.63</v>
      </c>
    </row>
    <row r="9142" spans="1:4" x14ac:dyDescent="0.3">
      <c r="A9142" s="1" t="str">
        <f>"01031716500"</f>
        <v>01031716500</v>
      </c>
      <c r="B9142" s="1" t="str">
        <f>"NEW CITY HOMES LLC"</f>
        <v>NEW CITY HOMES LLC</v>
      </c>
      <c r="C9142" s="1" t="str">
        <f>"INNIS AVE KRANER SUB LOT 2"</f>
        <v>INNIS AVE KRANER SUB LOT 2</v>
      </c>
      <c r="D9142" s="1">
        <v>970.06</v>
      </c>
    </row>
    <row r="9143" spans="1:4" x14ac:dyDescent="0.3">
      <c r="A9143" s="1" t="str">
        <f>"01000321800"</f>
        <v>01000321800</v>
      </c>
      <c r="B9143" s="1" t="str">
        <f>"NEW CITY HOMES LLC"</f>
        <v>NEW CITY HOMES LLC</v>
      </c>
      <c r="C9143" s="1" t="str">
        <f>"1381 ATCHESON ST HILDRETH &amp;CHITTENDEN SUMMIT ADD LOT 77"</f>
        <v>1381 ATCHESON ST HILDRETH &amp;CHITTENDEN SUMMIT ADD LOT 77</v>
      </c>
      <c r="D9143" s="1">
        <v>371.66</v>
      </c>
    </row>
    <row r="9144" spans="1:4" x14ac:dyDescent="0.3">
      <c r="A9144" s="1" t="str">
        <f>"60019164000"</f>
        <v>60019164000</v>
      </c>
      <c r="B9144" s="1" t="str">
        <f>"NEW DELHI LAND II LLC"</f>
        <v>NEW DELHI LAND II LLC</v>
      </c>
      <c r="C9144" s="1" t="str">
        <f>"GRANVILLE RD R17 T2 1/4T3 .849 ACRE LOT 4"</f>
        <v>GRANVILLE RD R17 T2 1/4T3 .849 ACRE LOT 4</v>
      </c>
      <c r="D9144" s="1">
        <v>658.29</v>
      </c>
    </row>
    <row r="9145" spans="1:4" x14ac:dyDescent="0.3">
      <c r="A9145" s="1" t="str">
        <f>"59014366300"</f>
        <v>59014366300</v>
      </c>
      <c r="B9145" s="1" t="str">
        <f>"NEW DELHI LAND II LLC"</f>
        <v>NEW DELHI LAND II LLC</v>
      </c>
      <c r="C9145" s="1" t="str">
        <f>"3500 SNOUFFER RD .6819 ACRE LOT 7"</f>
        <v>3500 SNOUFFER RD .6819 ACRE LOT 7</v>
      </c>
      <c r="D9145" s="1">
        <v>1275.5899999999999</v>
      </c>
    </row>
    <row r="9146" spans="1:4" x14ac:dyDescent="0.3">
      <c r="A9146" s="1" t="str">
        <f>"04001364300"</f>
        <v>04001364300</v>
      </c>
      <c r="B9146" s="1" t="str">
        <f>"NEW FARM WAY LLC"</f>
        <v>NEW FARM WAY LLC</v>
      </c>
      <c r="C9146" s="1" t="str">
        <f>"BROADWAY PROFESSIONAL VILLAGE CONDOMINIUM UNIT 3421"</f>
        <v>BROADWAY PROFESSIONAL VILLAGE CONDOMINIUM UNIT 3421</v>
      </c>
      <c r="D9146" s="1">
        <v>3934.95</v>
      </c>
    </row>
    <row r="9147" spans="1:4" x14ac:dyDescent="0.3">
      <c r="A9147" s="1" t="str">
        <f>"01000925700"</f>
        <v>01000925700</v>
      </c>
      <c r="B9147" s="1" t="str">
        <f>"NEW HOUSING OHIO INC"</f>
        <v>NEW HOUSING OHIO INC</v>
      </c>
      <c r="C9147" s="1" t="str">
        <f>"44 E DUNCAN RHODES &amp; URLIN LTS 9 &amp; 10 &amp; 16.5'ES LT 8"</f>
        <v>44 E DUNCAN RHODES &amp; URLIN LTS 9 &amp; 10 &amp; 16.5'ES LT 8</v>
      </c>
      <c r="D9147" s="1">
        <v>1422.87</v>
      </c>
    </row>
    <row r="9148" spans="1:4" x14ac:dyDescent="0.3">
      <c r="A9148" s="1" t="str">
        <f>"06000141100"</f>
        <v>06000141100</v>
      </c>
      <c r="B9148" s="1" t="str">
        <f>"NEW LIFE PROPERTY SOLUTION LTD"</f>
        <v>NEW LIFE PROPERTY SOLUTION LTD</v>
      </c>
      <c r="C9148" s="1" t="str">
        <f>"ROUNDELAY RD E BRIARCLIFF 1 51 "</f>
        <v xml:space="preserve">ROUNDELAY RD E BRIARCLIFF 1 51 </v>
      </c>
      <c r="D9148" s="1">
        <v>3777.25</v>
      </c>
    </row>
    <row r="9149" spans="1:4" x14ac:dyDescent="0.3">
      <c r="A9149" s="1" t="str">
        <f>"01000048600"</f>
        <v>01000048600</v>
      </c>
      <c r="B9149" s="1" t="str">
        <f>"NEW LIFE PROPERTY SOLUTIONS LLC"</f>
        <v>NEW LIFE PROPERTY SOLUTIONS LLC</v>
      </c>
      <c r="C9149" s="1" t="str">
        <f>"1054 BULEN AVE LIVINGSTON WHITTIER LOTS 193-194"</f>
        <v>1054 BULEN AVE LIVINGSTON WHITTIER LOTS 193-194</v>
      </c>
      <c r="D9149" s="1">
        <v>2666.98</v>
      </c>
    </row>
    <row r="9150" spans="1:4" x14ac:dyDescent="0.3">
      <c r="A9150" s="1" t="str">
        <f>"01000365900"</f>
        <v>01000365900</v>
      </c>
      <c r="B9150" s="1" t="str">
        <f>"NEW LIFE PROPERTY SOLUTIONS LLC"</f>
        <v>NEW LIFE PROPERTY SOLUTIONS LLC</v>
      </c>
      <c r="C9150" s="1" t="str">
        <f>"1151 MILLER AVE SPENCERS LOT 19"</f>
        <v>1151 MILLER AVE SPENCERS LOT 19</v>
      </c>
      <c r="D9150" s="1">
        <v>3423.56</v>
      </c>
    </row>
    <row r="9151" spans="1:4" x14ac:dyDescent="0.3">
      <c r="A9151" s="1" t="str">
        <f>"14000068000"</f>
        <v>14000068000</v>
      </c>
      <c r="B9151" s="1" t="str">
        <f>"NEW LIFE PROPERTY SOLUTIONS LLC"</f>
        <v>NEW LIFE PROPERTY SOLUTIONS LLC</v>
      </c>
      <c r="C9151" s="1" t="str">
        <f>"1812 HOPKINS AVE GIBSON 376 "</f>
        <v xml:space="preserve">1812 HOPKINS AVE GIBSON 376 </v>
      </c>
      <c r="D9151" s="1">
        <v>2685.27</v>
      </c>
    </row>
    <row r="9152" spans="1:4" x14ac:dyDescent="0.3">
      <c r="A9152" s="1" t="str">
        <f>"01006552100"</f>
        <v>01006552100</v>
      </c>
      <c r="B9152" s="1" t="str">
        <f>"NEW LIFE PROPERTY SOLUTIONS LLC"</f>
        <v>NEW LIFE PROPERTY SOLUTIONS LLC</v>
      </c>
      <c r="C9152" s="1" t="str">
        <f>"WESTMOOR AVE COLUMBIA PARK LOT 4 BLK 6"</f>
        <v>WESTMOOR AVE COLUMBIA PARK LOT 4 BLK 6</v>
      </c>
      <c r="D9152" s="1">
        <v>3824.38</v>
      </c>
    </row>
    <row r="9153" spans="1:4" x14ac:dyDescent="0.3">
      <c r="A9153" s="1" t="str">
        <f>"01021921300"</f>
        <v>01021921300</v>
      </c>
      <c r="B9153" s="1" t="str">
        <f>"NEW MILLENIUM HOME HEALTH LLC"</f>
        <v>NEW MILLENIUM HOME HEALTH LLC</v>
      </c>
      <c r="C9153" s="1" t="str">
        <f>"CLEVELAND PRO PARK CONDO PH 4 3RD AMD UNIT I"</f>
        <v>CLEVELAND PRO PARK CONDO PH 4 3RD AMD UNIT I</v>
      </c>
      <c r="D9153" s="1">
        <v>4950</v>
      </c>
    </row>
    <row r="9154" spans="1:4" x14ac:dyDescent="0.3">
      <c r="A9154" s="1" t="str">
        <f>"01020775400"</f>
        <v>01020775400</v>
      </c>
      <c r="B9154" s="1" t="str">
        <f>"NEW ORLEANS LLC"</f>
        <v>NEW ORLEANS LLC</v>
      </c>
      <c r="C9154" s="1" t="str">
        <f>"RIVERWATCH TOWER CONDOMINIUM UNIT 215"</f>
        <v>RIVERWATCH TOWER CONDOMINIUM UNIT 215</v>
      </c>
      <c r="D9154" s="1">
        <v>1472.83</v>
      </c>
    </row>
    <row r="9155" spans="1:4" x14ac:dyDescent="0.3">
      <c r="A9155" s="1" t="str">
        <f>"01018572000"</f>
        <v>01018572000</v>
      </c>
      <c r="B9155" s="1" t="str">
        <f>"NEW ORLEANS MANAGEMENT LLC"</f>
        <v>NEW ORLEANS MANAGEMENT LLC</v>
      </c>
      <c r="C9155" s="1" t="str">
        <f>"KENNY RD CHATHAM VILL CONDO UNIT 952 H BLDG 8"</f>
        <v>KENNY RD CHATHAM VILL CONDO UNIT 952 H BLDG 8</v>
      </c>
      <c r="D9155" s="1">
        <v>1825.04</v>
      </c>
    </row>
    <row r="9156" spans="1:4" x14ac:dyDescent="0.3">
      <c r="A9156" s="1" t="str">
        <f>"01000882400"</f>
        <v>01000882400</v>
      </c>
      <c r="B9156" s="1" t="str">
        <f>"NEW VICTORIANS 31 LLC"</f>
        <v>NEW VICTORIANS 31 LLC</v>
      </c>
      <c r="C9156" s="1" t="str">
        <f>"453 W 3RD AVE             COLLINS ET AL             LOT 648-49               "</f>
        <v xml:space="preserve">453 W 3RD AVE             COLLINS ET AL             LOT 648-49               </v>
      </c>
      <c r="D9156" s="1">
        <v>2838.42</v>
      </c>
    </row>
    <row r="9157" spans="1:4" x14ac:dyDescent="0.3">
      <c r="A9157" s="1" t="str">
        <f>"01001254800"</f>
        <v>01001254800</v>
      </c>
      <c r="B9157" s="1" t="str">
        <f>"NEWCOMB AUDREY"</f>
        <v>NEWCOMB AUDREY</v>
      </c>
      <c r="C9157" s="1" t="str">
        <f>"2966 SIXTH AVENUE CASSADYS 5TH AVE LOT 141"</f>
        <v>2966 SIXTH AVENUE CASSADYS 5TH AVE LOT 141</v>
      </c>
      <c r="D9157" s="1">
        <v>679.67</v>
      </c>
    </row>
    <row r="9158" spans="1:4" x14ac:dyDescent="0.3">
      <c r="A9158" s="1" t="str">
        <f>"24000172800"</f>
        <v>24000172800</v>
      </c>
      <c r="B9158" s="1" t="str">
        <f>"NEWELL CARSON JAMES"</f>
        <v>NEWELL CARSON JAMES</v>
      </c>
      <c r="C9158" s="1" t="str">
        <f>"N HIGH ST GALLOWAY &amp; SMITH 84 "</f>
        <v xml:space="preserve">N HIGH ST GALLOWAY &amp; SMITH 84 </v>
      </c>
      <c r="D9158" s="1">
        <v>725.57</v>
      </c>
    </row>
    <row r="9159" spans="1:4" x14ac:dyDescent="0.3">
      <c r="A9159" s="1" t="str">
        <f>"59016835100"</f>
        <v>59016835100</v>
      </c>
      <c r="B9159" s="1" t="str">
        <f>"NEWGAARD LORENTZ J, NEWGAARD JANE E"</f>
        <v>NEWGAARD LORENTZ J, NEWGAARD JANE E</v>
      </c>
      <c r="C9159" s="1" t="str">
        <f>"STRATHMOORE RD OLDE SAWMILL PHASE 1 RESUB LOTS-LOT 256"</f>
        <v>STRATHMOORE RD OLDE SAWMILL PHASE 1 RESUB LOTS-LOT 256</v>
      </c>
      <c r="D9159" s="1">
        <v>372.88</v>
      </c>
    </row>
    <row r="9160" spans="1:4" x14ac:dyDescent="0.3">
      <c r="A9160" s="1" t="str">
        <f>"04000135600"</f>
        <v>04000135600</v>
      </c>
      <c r="B9160" s="1" t="str">
        <f>"NEWKIRK MELISSA M"</f>
        <v>NEWKIRK MELISSA M</v>
      </c>
      <c r="C9160" s="1" t="str">
        <f>"3271 KINGSWOOD DR KINGSWOOD HTS LOT 40 55 FT S S"</f>
        <v>3271 KINGSWOOD DR KINGSWOOD HTS LOT 40 55 FT S S</v>
      </c>
      <c r="D9160" s="1">
        <v>182.7</v>
      </c>
    </row>
    <row r="9161" spans="1:4" x14ac:dyDescent="0.3">
      <c r="A9161" s="1" t="str">
        <f>"01008440800"</f>
        <v>01008440800</v>
      </c>
      <c r="B9161" s="1" t="str">
        <f>"NEWMAN DONNA A TTEE"</f>
        <v>NEWMAN DONNA A TTEE</v>
      </c>
      <c r="C9161" s="1" t="str">
        <f>"655 OVERBROOK DR ALL L289 &amp; W1/2 L290 &amp; 10FT ES L310"</f>
        <v>655 OVERBROOK DR ALL L289 &amp; W1/2 L290 &amp; 10FT ES L310</v>
      </c>
      <c r="D9161" s="1">
        <v>4648.49</v>
      </c>
    </row>
    <row r="9162" spans="1:4" x14ac:dyDescent="0.3">
      <c r="A9162" s="1" t="str">
        <f>"01008442500"</f>
        <v>01008442500</v>
      </c>
      <c r="B9162" s="1" t="str">
        <f>"NEWMAN DONNA A TTEE"</f>
        <v>NEWMAN DONNA A TTEE</v>
      </c>
      <c r="C9162" s="1" t="str">
        <f>"YARONIA DRIVE 55 FT WS INDIAN SPRINGS LOT 310"</f>
        <v>YARONIA DRIVE 55 FT WS INDIAN SPRINGS LOT 310</v>
      </c>
      <c r="D9162" s="1">
        <v>754.95</v>
      </c>
    </row>
    <row r="9163" spans="1:4" x14ac:dyDescent="0.3">
      <c r="A9163" s="1" t="str">
        <f>"01008442600"</f>
        <v>01008442600</v>
      </c>
      <c r="B9163" s="1" t="str">
        <f>"NEWMAN DONNA A TTEE"</f>
        <v>NEWMAN DONNA A TTEE</v>
      </c>
      <c r="C9163" s="1" t="str">
        <f>"YARONIA DRIVE 20 FT ES INDIAN SPRINGS LOT 311"</f>
        <v>YARONIA DRIVE 20 FT ES INDIAN SPRINGS LOT 311</v>
      </c>
      <c r="D9163" s="1">
        <v>271.79000000000002</v>
      </c>
    </row>
    <row r="9164" spans="1:4" x14ac:dyDescent="0.3">
      <c r="A9164" s="1" t="str">
        <f>"01024149800"</f>
        <v>01024149800</v>
      </c>
      <c r="B9164" s="1" t="str">
        <f>"NEWMAN ROBERT W"</f>
        <v>NEWMAN ROBERT W</v>
      </c>
      <c r="C9164" s="1" t="str">
        <f>"PISCES COURT CHERRINGTON PLACE LOT 19"</f>
        <v>PISCES COURT CHERRINGTON PLACE LOT 19</v>
      </c>
      <c r="D9164" s="1">
        <v>2941.81</v>
      </c>
    </row>
    <row r="9165" spans="1:4" x14ac:dyDescent="0.3">
      <c r="A9165" s="1" t="str">
        <f>"23000198900"</f>
        <v>23000198900</v>
      </c>
      <c r="B9165" s="1" t="str">
        <f>"NEWSOM BRIAN KEITH"</f>
        <v>NEWSOM BRIAN KEITH</v>
      </c>
      <c r="C9165" s="1" t="str">
        <f>"TIMBERLAKE CIRCLE TIMBERLAKE NO 4 LOT 90"</f>
        <v>TIMBERLAKE CIRCLE TIMBERLAKE NO 4 LOT 90</v>
      </c>
      <c r="D9165" s="1">
        <v>2731.22</v>
      </c>
    </row>
    <row r="9166" spans="1:4" x14ac:dyDescent="0.3">
      <c r="A9166" s="1" t="str">
        <f>"57019887200"</f>
        <v>57019887200</v>
      </c>
      <c r="B9166" s="1" t="str">
        <f>"NEWSOME CONLEY TR"</f>
        <v>NEWSOME CONLEY TR</v>
      </c>
      <c r="C9166" s="1" t="str">
        <f>"MARLANE DR .622AC BROWNE ESTATES ENTRY 4641-6839"</f>
        <v>MARLANE DR .622AC BROWNE ESTATES ENTRY 4641-6839</v>
      </c>
      <c r="D9166" s="1">
        <v>67.38</v>
      </c>
    </row>
    <row r="9167" spans="1:4" x14ac:dyDescent="0.3">
      <c r="A9167" s="1" t="str">
        <f>"57019887000"</f>
        <v>57019887000</v>
      </c>
      <c r="B9167" s="1" t="str">
        <f>"NEWSOME CONLEY TR"</f>
        <v>NEWSOME CONLEY TR</v>
      </c>
      <c r="C9167" s="1" t="str">
        <f>"MARLANE DR .467 ACRE BROWN ESTATES"</f>
        <v>MARLANE DR .467 ACRE BROWN ESTATES</v>
      </c>
      <c r="D9167" s="1">
        <v>61.05</v>
      </c>
    </row>
    <row r="9168" spans="1:4" x14ac:dyDescent="0.3">
      <c r="A9168" s="1" t="str">
        <f>"57019886900"</f>
        <v>57019886900</v>
      </c>
      <c r="B9168" s="1" t="str">
        <f>"NEWSOME CONLEY TR"</f>
        <v>NEWSOME CONLEY TR</v>
      </c>
      <c r="C9168" s="1" t="str">
        <f>"MARLANE .999 ACRE ENTRY 4641-6839"</f>
        <v>MARLANE .999 ACRE ENTRY 4641-6839</v>
      </c>
      <c r="D9168" s="1">
        <v>83.2</v>
      </c>
    </row>
    <row r="9169" spans="1:4" x14ac:dyDescent="0.3">
      <c r="A9169" s="1" t="str">
        <f>"01020770300"</f>
        <v>01020770300</v>
      </c>
      <c r="B9169" s="1" t="str">
        <f>"NEWSOME CONLEY TR"</f>
        <v>NEWSOME CONLEY TR</v>
      </c>
      <c r="C9169" s="1" t="str">
        <f>"BROWN RD AC .65 M JEANNETT MCDOWELLS DYER RD 23"</f>
        <v>BROWN RD AC .65 M JEANNETT MCDOWELLS DYER RD 23</v>
      </c>
      <c r="D9169" s="1">
        <v>1037.94</v>
      </c>
    </row>
    <row r="9170" spans="1:4" x14ac:dyDescent="0.3">
      <c r="A9170" s="1" t="str">
        <f>"01025245600"</f>
        <v>01025245600</v>
      </c>
      <c r="B9170" s="1" t="str">
        <f>"NEWSOME CONLEY TR"</f>
        <v>NEWSOME CONLEY TR</v>
      </c>
      <c r="C9170" s="1" t="str">
        <f>"MARLANE DR BROWNE ESTATE ENTRY 4641-6839"</f>
        <v>MARLANE DR BROWNE ESTATE ENTRY 4641-6839</v>
      </c>
      <c r="D9170" s="1">
        <v>102.36</v>
      </c>
    </row>
    <row r="9171" spans="1:4" x14ac:dyDescent="0.3">
      <c r="A9171" s="1" t="str">
        <f>"16000009600"</f>
        <v>16000009600</v>
      </c>
      <c r="B9171" s="1" t="str">
        <f>"NEWSOME CONLEY TR"</f>
        <v>NEWSOME CONLEY TR</v>
      </c>
      <c r="C9171" s="1" t="str">
        <f>"BROWN RD M JEANNETTE MCDOWELL LOT 24"</f>
        <v>BROWN RD M JEANNETTE MCDOWELL LOT 24</v>
      </c>
      <c r="D9171" s="1">
        <v>1163.1400000000001</v>
      </c>
    </row>
    <row r="9172" spans="1:4" x14ac:dyDescent="0.3">
      <c r="A9172" s="1" t="str">
        <f>"57019887100"</f>
        <v>57019887100</v>
      </c>
      <c r="B9172" s="1" t="str">
        <f>"NEWSOME CONLEY TR"</f>
        <v>NEWSOME CONLEY TR</v>
      </c>
      <c r="C9172" s="1" t="str">
        <f>"MARLANE DR .657 ACRE BROWNE ESTATE ENTRY 4641-6839"</f>
        <v>MARLANE DR .657 ACRE BROWNE ESTATE ENTRY 4641-6839</v>
      </c>
      <c r="D9172" s="1">
        <v>68.959999999999994</v>
      </c>
    </row>
    <row r="9173" spans="1:4" x14ac:dyDescent="0.3">
      <c r="A9173" s="1" t="str">
        <f>"01025245500"</f>
        <v>01025245500</v>
      </c>
      <c r="B9173" s="1" t="str">
        <f>"NEWSOME CONLEY TR"</f>
        <v>NEWSOME CONLEY TR</v>
      </c>
      <c r="C9173" s="1" t="str">
        <f>"FLORINE DR 1.181 ACRES ENTRY 4641-6839"</f>
        <v>FLORINE DR 1.181 ACRES ENTRY 4641-6839</v>
      </c>
      <c r="D9173" s="1">
        <v>110.97</v>
      </c>
    </row>
    <row r="9174" spans="1:4" x14ac:dyDescent="0.3">
      <c r="A9174" s="1" t="str">
        <f>"16000172100"</f>
        <v>16000172100</v>
      </c>
      <c r="B9174" s="1" t="str">
        <f>"NEWSOME CONLEY TR"</f>
        <v>NEWSOME CONLEY TR</v>
      </c>
      <c r="C9174" s="1" t="str">
        <f>"BROWN RD (R) M JEANNETTE MCDOWELL 300FT WE LOT 22"</f>
        <v>BROWN RD (R) M JEANNETTE MCDOWELL 300FT WE LOT 22</v>
      </c>
      <c r="D9174" s="1">
        <v>1269.6199999999999</v>
      </c>
    </row>
    <row r="9175" spans="1:4" x14ac:dyDescent="0.3">
      <c r="A9175" s="1" t="str">
        <f>"57019887300"</f>
        <v>57019887300</v>
      </c>
      <c r="B9175" s="1" t="str">
        <f>"NEWSOME CONLEY TR"</f>
        <v>NEWSOME CONLEY TR</v>
      </c>
      <c r="C9175" s="1" t="str">
        <f>"MARLANE DR .695 ACRE ENTRY 4641-6839"</f>
        <v>MARLANE DR .695 ACRE ENTRY 4641-6839</v>
      </c>
      <c r="D9175" s="1">
        <v>70.53</v>
      </c>
    </row>
    <row r="9176" spans="1:4" x14ac:dyDescent="0.3">
      <c r="A9176" s="1" t="str">
        <f>"24000109600"</f>
        <v>24000109600</v>
      </c>
      <c r="B9176" s="1" t="str">
        <f>"NEWSOME JAMES J"</f>
        <v>NEWSOME JAMES J</v>
      </c>
      <c r="C9176" s="1" t="str">
        <f>"GREENER AVE20 FT SS W COLUMBUS PARK LOT 106"</f>
        <v>GREENER AVE20 FT SS W COLUMBUS PARK LOT 106</v>
      </c>
      <c r="D9176" s="1">
        <v>6.16</v>
      </c>
    </row>
    <row r="9177" spans="1:4" x14ac:dyDescent="0.3">
      <c r="A9177" s="1" t="str">
        <f>"24000109700"</f>
        <v>24000109700</v>
      </c>
      <c r="B9177" s="1" t="str">
        <f>"NEWSOME JAMES J"</f>
        <v>NEWSOME JAMES J</v>
      </c>
      <c r="C9177" s="1" t="str">
        <f>"428 GREENER AVE W COLUMBUS PARK LOT 107-108"</f>
        <v>428 GREENER AVE W COLUMBUS PARK LOT 107-108</v>
      </c>
      <c r="D9177" s="1">
        <v>27.3</v>
      </c>
    </row>
    <row r="9178" spans="1:4" x14ac:dyDescent="0.3">
      <c r="A9178" s="1" t="str">
        <f>"01005283900"</f>
        <v>01005283900</v>
      </c>
      <c r="B9178" s="1" t="str">
        <f>"NEWSOME TIMOTHY"</f>
        <v>NEWSOME TIMOTHY</v>
      </c>
      <c r="C9178" s="1" t="str">
        <f>"FRANKLIN LOT 130 N 1/2 "</f>
        <v xml:space="preserve">FRANKLIN LOT 130 N 1/2 </v>
      </c>
      <c r="D9178" s="1">
        <v>1216.17</v>
      </c>
    </row>
    <row r="9179" spans="1:4" x14ac:dyDescent="0.3">
      <c r="A9179" s="1" t="str">
        <f>"18000113500"</f>
        <v>18000113500</v>
      </c>
      <c r="B9179" s="1" t="str">
        <f>"NEWTON CHANDLER E, NEWTON KRISTIN L"</f>
        <v>NEWTON CHANDLER E, NEWTON KRISTIN L</v>
      </c>
      <c r="C9179" s="1" t="str">
        <f>"COURTRIGHT RD COURTRIGHT PLAZA 6 "</f>
        <v xml:space="preserve">COURTRIGHT RD COURTRIGHT PLAZA 6 </v>
      </c>
      <c r="D9179" s="1">
        <v>4048.13</v>
      </c>
    </row>
    <row r="9180" spans="1:4" x14ac:dyDescent="0.3">
      <c r="A9180" s="1" t="str">
        <f>"01004163300"</f>
        <v>01004163300</v>
      </c>
      <c r="B9180" s="1" t="str">
        <f>"NEXGEN COASTAL INVESTMENTS LLC"</f>
        <v>NEXGEN COASTAL INVESTMENTS LLC</v>
      </c>
      <c r="C9180" s="1" t="str">
        <f>"243 S CENTRAL AVE RICKENBACHER LOT 1"</f>
        <v>243 S CENTRAL AVE RICKENBACHER LOT 1</v>
      </c>
      <c r="D9180" s="1">
        <v>1098.45</v>
      </c>
    </row>
    <row r="9181" spans="1:4" x14ac:dyDescent="0.3">
      <c r="A9181" s="1" t="str">
        <f>"01005553400"</f>
        <v>01005553400</v>
      </c>
      <c r="B9181" s="1" t="str">
        <f>"NEXT CHAPTER HOMES LLC"</f>
        <v>NEXT CHAPTER HOMES LLC</v>
      </c>
      <c r="C9181" s="1" t="str">
        <f>"WINNERS 2ND LOT 41 "</f>
        <v xml:space="preserve">WINNERS 2ND LOT 41 </v>
      </c>
      <c r="D9181" s="1">
        <v>1797.31</v>
      </c>
    </row>
    <row r="9182" spans="1:4" x14ac:dyDescent="0.3">
      <c r="A9182" s="1" t="str">
        <f>"01010930100"</f>
        <v>01010930100</v>
      </c>
      <c r="B9182" s="1" t="str">
        <f>"NEXT FRONTIER INVESTMENTS LLC"</f>
        <v>NEXT FRONTIER INVESTMENTS LLC</v>
      </c>
      <c r="C9182" s="1" t="str">
        <f>"2220 MYRTLE AVE ARLINGTON PK TRACT 2 LOT 32 BLK V"</f>
        <v>2220 MYRTLE AVE ARLINGTON PK TRACT 2 LOT 32 BLK V</v>
      </c>
      <c r="D9182" s="1">
        <v>923.1</v>
      </c>
    </row>
    <row r="9183" spans="1:4" x14ac:dyDescent="0.3">
      <c r="A9183" s="1" t="str">
        <f>"01007080900"</f>
        <v>01007080900</v>
      </c>
      <c r="B9183" s="1" t="str">
        <f>"NEXT FRONTIER INVESTMENTS LLC"</f>
        <v>NEXT FRONTIER INVESTMENTS LLC</v>
      </c>
      <c r="C9183" s="1" t="str">
        <f>"2237PARKWOOD AVE NS LOT 41 &amp; SS 42 MUL-BUR HTS AMD"</f>
        <v>2237PARKWOOD AVE NS LOT 41 &amp; SS 42 MUL-BUR HTS AMD</v>
      </c>
      <c r="D9183" s="1">
        <v>806.31</v>
      </c>
    </row>
    <row r="9184" spans="1:4" x14ac:dyDescent="0.3">
      <c r="A9184" s="1" t="str">
        <f>"01000451100"</f>
        <v>01000451100</v>
      </c>
      <c r="B9184" s="1" t="str">
        <f>"NEXT GEN REALTY &amp; REDEVELOPMENT LLC"</f>
        <v>NEXT GEN REALTY &amp; REDEVELOPMENT LLC</v>
      </c>
      <c r="C9184" s="1" t="str">
        <f>"305 MIDLAND AVE WESTWOOD HTS LOT 186"</f>
        <v>305 MIDLAND AVE WESTWOOD HTS LOT 186</v>
      </c>
      <c r="D9184" s="1">
        <v>99.12</v>
      </c>
    </row>
    <row r="9185" spans="1:4" x14ac:dyDescent="0.3">
      <c r="A9185" s="1" t="str">
        <f>"61022437500"</f>
        <v>61022437500</v>
      </c>
      <c r="B9185" s="1" t="str">
        <f>"NEXUS HOMES LLC"</f>
        <v>NEXUS HOMES LLC</v>
      </c>
      <c r="C9185" s="1" t="str">
        <f>"RAVINES AT WORTHINGTON SEC 2 LOT 72"</f>
        <v>RAVINES AT WORTHINGTON SEC 2 LOT 72</v>
      </c>
      <c r="D9185" s="1">
        <v>4001.69</v>
      </c>
    </row>
    <row r="9186" spans="1:4" x14ac:dyDescent="0.3">
      <c r="A9186" s="1" t="str">
        <f>"01022528000"</f>
        <v>01022528000</v>
      </c>
      <c r="B9186" s="1" t="str">
        <f>"NEY PROPERTIES LLC"</f>
        <v>NEY PROPERTIES LLC</v>
      </c>
      <c r="C9186" s="1" t="str">
        <f>"708 INTERNET DR RONK BROS PROPERTIES SUB PT LOT 2=2.018 ACRES"</f>
        <v>708 INTERNET DR RONK BROS PROPERTIES SUB PT LOT 2=2.018 ACRES</v>
      </c>
      <c r="D9186" s="1">
        <v>206.42</v>
      </c>
    </row>
    <row r="9187" spans="1:4" x14ac:dyDescent="0.3">
      <c r="A9187" s="1" t="str">
        <f>"01025596200"</f>
        <v>01025596200</v>
      </c>
      <c r="B9187" s="1" t="str">
        <f>"NEY PROPERTIES LLC"</f>
        <v>NEY PROPERTIES LLC</v>
      </c>
      <c r="C9187" s="1" t="str">
        <f>"HEIMAN AVE RONK BROTHERS PROP PT LOT 2=1.172 ACRES"</f>
        <v>HEIMAN AVE RONK BROTHERS PROP PT LOT 2=1.172 ACRES</v>
      </c>
      <c r="D9187" s="1">
        <v>664.37</v>
      </c>
    </row>
    <row r="9188" spans="1:4" x14ac:dyDescent="0.3">
      <c r="A9188" s="1" t="str">
        <f>"16100113000"</f>
        <v>16100113000</v>
      </c>
      <c r="B9188" s="1" t="str">
        <f>"NF V ES-W II COL URBANCREST LLC"</f>
        <v>NF V ES-W II COL URBANCREST LLC</v>
      </c>
      <c r="C9188" s="1" t="str">
        <f>"CENTERPOINT DR ENTRY 5745 0.630 ACRE"</f>
        <v>CENTERPOINT DR ENTRY 5745 0.630 ACRE</v>
      </c>
      <c r="D9188" s="1">
        <v>6178.62</v>
      </c>
    </row>
    <row r="9189" spans="1:4" x14ac:dyDescent="0.3">
      <c r="A9189" s="1" t="str">
        <f>"16100116900"</f>
        <v>16100116900</v>
      </c>
      <c r="B9189" s="1" t="str">
        <f>"NF V ES-W II COL URBANCREST LLC"</f>
        <v>NF V ES-W II COL URBANCREST LLC</v>
      </c>
      <c r="C9189" s="1" t="str">
        <f>"HARRISBURG PIKE ENTRY 5745 0.076 ACRE"</f>
        <v>HARRISBURG PIKE ENTRY 5745 0.076 ACRE</v>
      </c>
      <c r="D9189" s="1">
        <v>175.45</v>
      </c>
    </row>
    <row r="9190" spans="1:4" x14ac:dyDescent="0.3">
      <c r="A9190" s="1" t="str">
        <f>"53033000200"</f>
        <v>53033000200</v>
      </c>
      <c r="B9190" s="1" t="str">
        <f>"NFONGEH BRENDA ANIE"</f>
        <v>NFONGEH BRENDA ANIE</v>
      </c>
      <c r="C9190" s="1" t="str">
        <f>"SPANGLER FARMS LOT 25 "</f>
        <v xml:space="preserve">SPANGLER FARMS LOT 25 </v>
      </c>
      <c r="D9190" s="1">
        <v>4.83</v>
      </c>
    </row>
    <row r="9191" spans="1:4" x14ac:dyDescent="0.3">
      <c r="A9191" s="1" t="str">
        <f>"01003440200"</f>
        <v>01003440200</v>
      </c>
      <c r="B9191" s="1" t="str">
        <f>"NGI LLC"</f>
        <v>NGI LLC</v>
      </c>
      <c r="C9191" s="1" t="str">
        <f>"544 RYAN AVE PORTERS PARCELS LOT 124"</f>
        <v>544 RYAN AVE PORTERS PARCELS LOT 124</v>
      </c>
      <c r="D9191" s="1">
        <v>586.07000000000005</v>
      </c>
    </row>
    <row r="9192" spans="1:4" x14ac:dyDescent="0.3">
      <c r="A9192" s="1" t="str">
        <f>"01003231500"</f>
        <v>01003231500</v>
      </c>
      <c r="B9192" s="1" t="str">
        <f>"NGI LLC"</f>
        <v>NGI LLC</v>
      </c>
      <c r="C9192" s="1" t="str">
        <f>"1185 S OHIO AVE ROSE HILL LOT 51"</f>
        <v>1185 S OHIO AVE ROSE HILL LOT 51</v>
      </c>
      <c r="D9192" s="1">
        <v>1733.69</v>
      </c>
    </row>
    <row r="9193" spans="1:4" x14ac:dyDescent="0.3">
      <c r="A9193" s="1" t="str">
        <f>"01028923900"</f>
        <v>01028923900</v>
      </c>
      <c r="B9193" s="1" t="str">
        <f>"NGUYEN ANH, PALICH CHRISTIAN"</f>
        <v>NGUYEN ANH, PALICH CHRISTIAN</v>
      </c>
      <c r="C9193" s="1" t="str">
        <f>"BROADWAY CONDOMINIUM 8TH AMD UNIT 12-4220"</f>
        <v>BROADWAY CONDOMINIUM 8TH AMD UNIT 12-4220</v>
      </c>
      <c r="D9193" s="1">
        <v>215.01</v>
      </c>
    </row>
    <row r="9194" spans="1:4" x14ac:dyDescent="0.3">
      <c r="A9194" s="1" t="str">
        <f>"27400073400"</f>
        <v>27400073400</v>
      </c>
      <c r="B9194" s="1" t="str">
        <f>"NGUYEN CINDY T"</f>
        <v>NGUYEN CINDY T</v>
      </c>
      <c r="C9194" s="1" t="str">
        <f>"PENSWORTHY DRIVE CRAMERS CROSSING LOT 74"</f>
        <v>PENSWORTHY DRIVE CRAMERS CROSSING LOT 74</v>
      </c>
      <c r="D9194" s="1">
        <v>489.64</v>
      </c>
    </row>
    <row r="9195" spans="1:4" x14ac:dyDescent="0.3">
      <c r="A9195" s="1" t="str">
        <f>"01009493800"</f>
        <v>01009493800</v>
      </c>
      <c r="B9195" s="1" t="str">
        <f>"NGUYEN DUC BUI"</f>
        <v>NGUYEN DUC BUI</v>
      </c>
      <c r="C9195" s="1" t="str">
        <f>"393 KENDALL PL TAYLORS PARCELS LOT 15-16"</f>
        <v>393 KENDALL PL TAYLORS PARCELS LOT 15-16</v>
      </c>
      <c r="D9195" s="1">
        <v>489.79</v>
      </c>
    </row>
    <row r="9196" spans="1:4" x14ac:dyDescent="0.3">
      <c r="A9196" s="1" t="str">
        <f>"61019033500"</f>
        <v>61019033500</v>
      </c>
      <c r="B9196" s="1" t="str">
        <f>"NGUYEN HA M, NGUYEN VAN T"</f>
        <v>NGUYEN HA M, NGUYEN VAN T</v>
      </c>
      <c r="C9196" s="1" t="str">
        <f>"BIERSTAD DR SMOKY RIDGE EST SEC7 LOT 677"</f>
        <v>BIERSTAD DR SMOKY RIDGE EST SEC7 LOT 677</v>
      </c>
      <c r="D9196" s="1">
        <v>330.2</v>
      </c>
    </row>
    <row r="9197" spans="1:4" x14ac:dyDescent="0.3">
      <c r="A9197" s="1" t="str">
        <f>"43529045400"</f>
        <v>43529045400</v>
      </c>
      <c r="B9197" s="1" t="str">
        <f>"NGUYEN HOANG THI"</f>
        <v>NGUYEN HOANG THI</v>
      </c>
      <c r="C9197" s="1" t="str">
        <f>"BIG RUN RIDGE SECTION 2 PART 1 LOT 117"</f>
        <v>BIG RUN RIDGE SECTION 2 PART 1 LOT 117</v>
      </c>
      <c r="D9197" s="1">
        <v>3066.6</v>
      </c>
    </row>
    <row r="9198" spans="1:4" x14ac:dyDescent="0.3">
      <c r="A9198" s="1" t="str">
        <f>"01002954700"</f>
        <v>01002954700</v>
      </c>
      <c r="B9198" s="1" t="str">
        <f>"NGUYEN JENNIFER"</f>
        <v>NGUYEN JENNIFER</v>
      </c>
      <c r="C9198" s="1" t="str">
        <f>"808 SUNBURY RD WILSHIRE PL PT LOT 1"</f>
        <v>808 SUNBURY RD WILSHIRE PL PT LOT 1</v>
      </c>
      <c r="D9198" s="1">
        <v>1248.1600000000001</v>
      </c>
    </row>
    <row r="9199" spans="1:4" x14ac:dyDescent="0.3">
      <c r="A9199" s="1" t="str">
        <f>"01015760700"</f>
        <v>01015760700</v>
      </c>
      <c r="B9199" s="1" t="str">
        <f>"NGUYEN LONG V, LUU KIEU T"</f>
        <v>NGUYEN LONG V, LUU KIEU T</v>
      </c>
      <c r="C9199" s="1" t="str">
        <f>"RESUB LOT 1-25&amp;27-33 IVYWOOD AQUA ST LOT 6"</f>
        <v>RESUB LOT 1-25&amp;27-33 IVYWOOD AQUA ST LOT 6</v>
      </c>
      <c r="D9199" s="1">
        <v>208.58</v>
      </c>
    </row>
    <row r="9200" spans="1:4" x14ac:dyDescent="0.3">
      <c r="A9200" s="1" t="str">
        <f>"27300763700"</f>
        <v>27300763700</v>
      </c>
      <c r="B9200" s="1" t="str">
        <f>"NGUYEN NHAN H, DOAN TRANG MINH"</f>
        <v>NGUYEN NHAN H, DOAN TRANG MINH</v>
      </c>
      <c r="C9200" s="1" t="str">
        <f>"CASTLEKNOCK ROAD TRINITY PARK PH 1 SECTION 2 LOT 56"</f>
        <v>CASTLEKNOCK ROAD TRINITY PARK PH 1 SECTION 2 LOT 56</v>
      </c>
      <c r="D9200" s="1">
        <v>498.26</v>
      </c>
    </row>
    <row r="9201" spans="1:4" x14ac:dyDescent="0.3">
      <c r="A9201" s="1" t="str">
        <f>"27300956300"</f>
        <v>27300956300</v>
      </c>
      <c r="B9201" s="1" t="str">
        <f>"NGUYEN PHU, TRAN HANG"</f>
        <v>NGUYEN PHU, TRAN HANG</v>
      </c>
      <c r="C9201" s="1" t="str">
        <f>"SANDY RINGS LANE SANDY CORNERS SECTION 1 LOT 43"</f>
        <v>SANDY RINGS LANE SANDY CORNERS SECTION 1 LOT 43</v>
      </c>
      <c r="D9201" s="1">
        <v>23.1</v>
      </c>
    </row>
    <row r="9202" spans="1:4" x14ac:dyDescent="0.3">
      <c r="A9202" s="1" t="str">
        <f>"09000020100"</f>
        <v>09000020100</v>
      </c>
      <c r="B9202" s="1" t="str">
        <f>"NGUYEN PHUONG MAI, PHETTAPHONG AMPHAPHONE"</f>
        <v>NGUYEN PHUONG MAI, PHETTAPHONG AMPHAPHONE</v>
      </c>
      <c r="C9202" s="1" t="str">
        <f>"HAMILTON RD BERNHARD      LOT 28 .054 ACRES         IN HI-WAY EASEMENT       "</f>
        <v xml:space="preserve">HAMILTON RD BERNHARD      LOT 28 .054 ACRES         IN HI-WAY EASEMENT       </v>
      </c>
      <c r="D9202" s="1">
        <v>6948.29</v>
      </c>
    </row>
    <row r="9203" spans="1:4" x14ac:dyDescent="0.3">
      <c r="A9203" s="1" t="str">
        <f>"54524754600"</f>
        <v>54524754600</v>
      </c>
      <c r="B9203" s="1" t="str">
        <f>"NGUYEN PHUONG UYEN T"</f>
        <v>NGUYEN PHUONG UYEN T</v>
      </c>
      <c r="C9203" s="1" t="str">
        <f>"ALBANY PARK DRIVE ALBANY PARK SECTION 1 PART 1 LOT 35"</f>
        <v>ALBANY PARK DRIVE ALBANY PARK SECTION 1 PART 1 LOT 35</v>
      </c>
      <c r="D9203" s="1">
        <v>10789.13</v>
      </c>
    </row>
    <row r="9204" spans="1:4" x14ac:dyDescent="0.3">
      <c r="A9204" s="1" t="str">
        <f>"05000721000"</f>
        <v>05000721000</v>
      </c>
      <c r="B9204" s="1" t="str">
        <f>"NGUYEN THANH, NGUYEN BICH N"</f>
        <v>NGUYEN THANH, NGUYEN BICH N</v>
      </c>
      <c r="C9204" s="1" t="str">
        <f>"BRITTON FARMS SECTION 3 PHASE 2 LOT 206"</f>
        <v>BRITTON FARMS SECTION 3 PHASE 2 LOT 206</v>
      </c>
      <c r="D9204" s="1">
        <v>254.66</v>
      </c>
    </row>
    <row r="9205" spans="1:4" x14ac:dyDescent="0.3">
      <c r="A9205" s="1" t="str">
        <f>"60022939200"</f>
        <v>60022939200</v>
      </c>
      <c r="B9205" s="1" t="str">
        <f>"NGUYEN TUNG TUAN, NGUYEN THI NGOC LOAN"</f>
        <v>NGUYEN TUNG TUAN, NGUYEN THI NGOC LOAN</v>
      </c>
      <c r="C9205" s="1" t="str">
        <f>"WESTERVILLE WOODS SECTION 2 PART 2 LOT 161"</f>
        <v>WESTERVILLE WOODS SECTION 2 PART 2 LOT 161</v>
      </c>
      <c r="D9205" s="1">
        <v>2204.73</v>
      </c>
    </row>
    <row r="9206" spans="1:4" x14ac:dyDescent="0.3">
      <c r="A9206" s="1" t="str">
        <f>"07000444900"</f>
        <v>07000444900</v>
      </c>
      <c r="B9206" s="1" t="str">
        <f>"NGUYEN TUONGVI V, NGUYEN THANH V"</f>
        <v>NGUYEN TUONGVI V, NGUYEN THANH V</v>
      </c>
      <c r="C9206" s="1" t="str">
        <f>"EXMOOR RD CANTERBURY PL EXT 3 11 BLK 272"</f>
        <v>EXMOOR RD CANTERBURY PL EXT 3 11 BLK 272</v>
      </c>
      <c r="D9206" s="1">
        <v>20552.740000000002</v>
      </c>
    </row>
    <row r="9207" spans="1:4" x14ac:dyDescent="0.3">
      <c r="A9207" s="1" t="str">
        <f>"07000688500"</f>
        <v>07000688500</v>
      </c>
      <c r="B9207" s="1" t="str">
        <f>"NGUYEN TUONGVI, NGUYEN THANH"</f>
        <v>NGUYEN TUONGVI, NGUYEN THANH</v>
      </c>
      <c r="C9207" s="1" t="str">
        <f>"EDGEVALE RD RIVER RIDGE 6 BLK 31"</f>
        <v>EDGEVALE RD RIVER RIDGE 6 BLK 31</v>
      </c>
      <c r="D9207" s="1">
        <v>7485.32</v>
      </c>
    </row>
    <row r="9208" spans="1:4" x14ac:dyDescent="0.3">
      <c r="A9208" s="1" t="str">
        <f>"01017833000"</f>
        <v>01017833000</v>
      </c>
      <c r="B9208" s="1" t="str">
        <f>"NHA CLEANING LLC"</f>
        <v>NHA CLEANING LLC</v>
      </c>
      <c r="C9208" s="1" t="str">
        <f>"WOODGATE CONDO PH 1 BLDG 2 UNIT 2393 "</f>
        <v xml:space="preserve">WOODGATE CONDO PH 1 BLDG 2 UNIT 2393 </v>
      </c>
      <c r="D9208" s="1">
        <v>1277.31</v>
      </c>
    </row>
    <row r="9209" spans="1:4" x14ac:dyDescent="0.3">
      <c r="A9209" s="1" t="str">
        <f>"01017832600"</f>
        <v>01017832600</v>
      </c>
      <c r="B9209" s="1" t="str">
        <f>"NHA CLEANING LLC"</f>
        <v>NHA CLEANING LLC</v>
      </c>
      <c r="C9209" s="1" t="str">
        <f>"WOODGATE CONDO PH 1 BLDG 1 UNIT 2392 "</f>
        <v xml:space="preserve">WOODGATE CONDO PH 1 BLDG 1 UNIT 2392 </v>
      </c>
      <c r="D9209" s="1">
        <v>1074.27</v>
      </c>
    </row>
    <row r="9210" spans="1:4" x14ac:dyDescent="0.3">
      <c r="A9210" s="1" t="str">
        <f>"01027704600"</f>
        <v>01027704600</v>
      </c>
      <c r="B9210" s="1" t="str">
        <f>"NICCOLINI ANTHONY"</f>
        <v>NICCOLINI ANTHONY</v>
      </c>
      <c r="C9210" s="1" t="str">
        <f>"OLENTANGY POINT AND COVE CONDOMINIUM UNIT E-183"</f>
        <v>OLENTANGY POINT AND COVE CONDOMINIUM UNIT E-183</v>
      </c>
      <c r="D9210" s="1">
        <v>3763.5</v>
      </c>
    </row>
    <row r="9211" spans="1:4" x14ac:dyDescent="0.3">
      <c r="A9211" s="1" t="str">
        <f>"01006856000"</f>
        <v>01006856000</v>
      </c>
      <c r="B9211" s="1" t="str">
        <f>"NICHOLS BANKS ANGEL, NICHOLS PAUL"</f>
        <v>NICHOLS BANKS ANGEL, NICHOLS PAUL</v>
      </c>
      <c r="C9211" s="1" t="str">
        <f>"HARRIS AVE WILSHIRE HTS LOT 5 BLK 11"</f>
        <v>HARRIS AVE WILSHIRE HTS LOT 5 BLK 11</v>
      </c>
      <c r="D9211" s="1">
        <v>1449.82</v>
      </c>
    </row>
    <row r="9212" spans="1:4" x14ac:dyDescent="0.3">
      <c r="A9212" s="1" t="str">
        <f>"09000342600"</f>
        <v>09000342600</v>
      </c>
      <c r="B9212" s="1" t="str">
        <f>"NICHOLS CHARLES A, NICHOLS SANDRA M"</f>
        <v>NICHOLS CHARLES A, NICHOLS SANDRA M</v>
      </c>
      <c r="C9212" s="1" t="str">
        <f>"970 BUCKNELL RD TRURO ESTATES 196 "</f>
        <v xml:space="preserve">970 BUCKNELL RD TRURO ESTATES 196 </v>
      </c>
      <c r="D9212" s="1">
        <v>1266.68</v>
      </c>
    </row>
    <row r="9213" spans="1:4" x14ac:dyDescent="0.3">
      <c r="A9213" s="1" t="str">
        <f>"57015397100"</f>
        <v>57015397100</v>
      </c>
      <c r="B9213" s="1" t="str">
        <f>"NICHOLS KAREN L"</f>
        <v>NICHOLS KAREN L</v>
      </c>
      <c r="C9213" s="1" t="str">
        <f>"GREENVILLE RD RIVER BEND SEC 4 LOT 388"</f>
        <v>GREENVILLE RD RIVER BEND SEC 4 LOT 388</v>
      </c>
      <c r="D9213" s="1">
        <v>401.97</v>
      </c>
    </row>
    <row r="9214" spans="1:4" x14ac:dyDescent="0.3">
      <c r="A9214" s="1" t="str">
        <f>"01008278900"</f>
        <v>01008278900</v>
      </c>
      <c r="B9214" s="1" t="str">
        <f>"NICHOLS KEITH L"</f>
        <v>NICHOLS KEITH L</v>
      </c>
      <c r="C9214" s="1" t="str">
        <f>"ACTON RD EDGEMONT GARDENS LOT 148"</f>
        <v>ACTON RD EDGEMONT GARDENS LOT 148</v>
      </c>
      <c r="D9214" s="1">
        <v>1352.14</v>
      </c>
    </row>
    <row r="9215" spans="1:4" x14ac:dyDescent="0.3">
      <c r="A9215" s="1" t="str">
        <f>"01003121200"</f>
        <v>01003121200</v>
      </c>
      <c r="B9215" s="1" t="str">
        <f>"NICHOLSON STUART F, NICHOLSON KATHY N"</f>
        <v>NICHOLSON STUART F, NICHOLSON KATHY N</v>
      </c>
      <c r="C9215" s="1" t="str">
        <f>"276 TULANE RD CRESTVIEW LOT 373-4"</f>
        <v>276 TULANE RD CRESTVIEW LOT 373-4</v>
      </c>
      <c r="D9215" s="1">
        <v>2889.28</v>
      </c>
    </row>
    <row r="9216" spans="1:4" x14ac:dyDescent="0.3">
      <c r="A9216" s="1" t="str">
        <f>"01028413100"</f>
        <v>01028413100</v>
      </c>
      <c r="B9216" s="1" t="str">
        <f>"NICKELL TIMOTHY W"</f>
        <v>NICKELL TIMOTHY W</v>
      </c>
      <c r="C9216" s="1" t="str">
        <f>"WELCH CROSSING CONDOMIIUM UNIT 1542"</f>
        <v>WELCH CROSSING CONDOMIIUM UNIT 1542</v>
      </c>
      <c r="D9216" s="1">
        <v>173.89</v>
      </c>
    </row>
    <row r="9217" spans="1:4" x14ac:dyDescent="0.3">
      <c r="A9217" s="1" t="str">
        <f>"02000112600"</f>
        <v>02000112600</v>
      </c>
      <c r="B9217" s="1" t="str">
        <f>"NICOL MEGAN EMILY, KELLOGG ANDREW WILLISON"</f>
        <v>NICOL MEGAN EMILY, KELLOGG ANDREW WILLISON</v>
      </c>
      <c r="C9217" s="1" t="str">
        <f>"235 N REMINGTON RD LOT 620 ARDMORE 2"</f>
        <v>235 N REMINGTON RD LOT 620 ARDMORE 2</v>
      </c>
      <c r="D9217" s="1">
        <v>565.70000000000005</v>
      </c>
    </row>
    <row r="9218" spans="1:4" x14ac:dyDescent="0.3">
      <c r="A9218" s="1" t="str">
        <f>"01011621900"</f>
        <v>01011621900</v>
      </c>
      <c r="B9218" s="1" t="str">
        <f>"NICOLA RICHARD J, NICOLA LESLIE M"</f>
        <v>NICOLA RICHARD J, NICOLA LESLIE M</v>
      </c>
      <c r="C9218" s="1" t="str">
        <f>"SHADY HILL DR SHADY HILL ESTATES LOT 39"</f>
        <v>SHADY HILL DR SHADY HILL ESTATES LOT 39</v>
      </c>
      <c r="D9218" s="1">
        <v>251.95</v>
      </c>
    </row>
    <row r="9219" spans="1:4" x14ac:dyDescent="0.3">
      <c r="A9219" s="1" t="str">
        <f>"01010229900"</f>
        <v>01010229900</v>
      </c>
      <c r="B9219" s="1" t="str">
        <f>"NIEMEYER BARRY W"</f>
        <v>NIEMEYER BARRY W</v>
      </c>
      <c r="C9219" s="1" t="str">
        <f>"BELCHER DR BEAUMONT LOT 59"</f>
        <v>BELCHER DR BEAUMONT LOT 59</v>
      </c>
      <c r="D9219" s="1">
        <v>2544.19</v>
      </c>
    </row>
    <row r="9220" spans="1:4" x14ac:dyDescent="0.3">
      <c r="A9220" s="1" t="str">
        <f>"56017504500"</f>
        <v>56017504500</v>
      </c>
      <c r="B9220" s="1" t="str">
        <f>"NIEMI BRIAN P"</f>
        <v>NIEMI BRIAN P</v>
      </c>
      <c r="C9220" s="1" t="str">
        <f>"STEFFI DR THE MEADOWS PHASE 2 LOT 158"</f>
        <v>STEFFI DR THE MEADOWS PHASE 2 LOT 158</v>
      </c>
      <c r="D9220" s="1">
        <v>5757.91</v>
      </c>
    </row>
    <row r="9221" spans="1:4" x14ac:dyDescent="0.3">
      <c r="A9221" s="1" t="str">
        <f>"01010026400"</f>
        <v>01010026400</v>
      </c>
      <c r="B9221" s="1" t="str">
        <f>"NIETO INVESTMENTS LLC"</f>
        <v>NIETO INVESTMENTS LLC</v>
      </c>
      <c r="C9221" s="1" t="str">
        <f>"SHADY LANE RD SHADY LANE PARK LOT 212"</f>
        <v>SHADY LANE RD SHADY LANE PARK LOT 212</v>
      </c>
      <c r="D9221" s="1">
        <v>255.97</v>
      </c>
    </row>
    <row r="9222" spans="1:4" x14ac:dyDescent="0.3">
      <c r="A9222" s="1" t="str">
        <f>"01009572300"</f>
        <v>01009572300</v>
      </c>
      <c r="B9222" s="1" t="str">
        <f>"NIGHT &amp; DAY PROPERTY GROUP LLC"</f>
        <v>NIGHT &amp; DAY PROPERTY GROUP LLC</v>
      </c>
      <c r="C9222" s="1" t="str">
        <f>"HAMPTON RD RESUB PT MAYFAIR &amp; PT MAYFAIR AMD LOT 361"</f>
        <v>HAMPTON RD RESUB PT MAYFAIR &amp; PT MAYFAIR AMD LOT 361</v>
      </c>
      <c r="D9222" s="1">
        <v>1288.79</v>
      </c>
    </row>
    <row r="9223" spans="1:4" x14ac:dyDescent="0.3">
      <c r="A9223" s="1" t="str">
        <f>"01004901900"</f>
        <v>01004901900</v>
      </c>
      <c r="B9223" s="1" t="str">
        <f>"NIKLAS ANDREW"</f>
        <v>NIKLAS ANDREW</v>
      </c>
      <c r="C9223" s="1" t="str">
        <f>"80 MIDLAND AVE JOHNSON LOT 6"</f>
        <v>80 MIDLAND AVE JOHNSON LOT 6</v>
      </c>
      <c r="D9223" s="1">
        <v>1155.4100000000001</v>
      </c>
    </row>
    <row r="9224" spans="1:4" x14ac:dyDescent="0.3">
      <c r="A9224" s="1" t="str">
        <f>"56022746100"</f>
        <v>56022746100</v>
      </c>
      <c r="B9224" s="1" t="str">
        <f>"NIKOLAUS ROBERT A, NIKOLAUS MADELEINE A"</f>
        <v>NIKOLAUS ROBERT A, NIKOLAUS MADELEINE A</v>
      </c>
      <c r="C9224" s="1" t="str">
        <f>"CHARLES MILL CT WESTERN LAKES SEC 6 PART 1 LOT 279"</f>
        <v>CHARLES MILL CT WESTERN LAKES SEC 6 PART 1 LOT 279</v>
      </c>
      <c r="D9224" s="1">
        <v>397.24</v>
      </c>
    </row>
    <row r="9225" spans="1:4" x14ac:dyDescent="0.3">
      <c r="A9225" s="1" t="str">
        <f>"01025250300"</f>
        <v>01025250300</v>
      </c>
      <c r="B9225" s="1" t="str">
        <f>"NILAVAR ANITA"</f>
        <v>NILAVAR ANITA</v>
      </c>
      <c r="C9225" s="1" t="str">
        <f>"WINDING HOLLOW DRIVE ALKIRE LAKES SECTION 1 PART 2 LOT 34"</f>
        <v>WINDING HOLLOW DRIVE ALKIRE LAKES SECTION 1 PART 2 LOT 34</v>
      </c>
      <c r="D9225" s="1">
        <v>2818.6</v>
      </c>
    </row>
    <row r="9226" spans="1:4" x14ac:dyDescent="0.3">
      <c r="A9226" s="1" t="str">
        <f>"53026334900"</f>
        <v>53026334900</v>
      </c>
      <c r="B9226" s="1" t="str">
        <f>"NILAVAR MAYA"</f>
        <v>NILAVAR MAYA</v>
      </c>
      <c r="C9226" s="1" t="str">
        <f>"BARKWILLOW LANE WILLIAMS CREEK SECTION 5 PART 2 LOT 257"</f>
        <v>BARKWILLOW LANE WILLIAMS CREEK SECTION 5 PART 2 LOT 257</v>
      </c>
      <c r="D9226" s="1">
        <v>2506.2199999999998</v>
      </c>
    </row>
    <row r="9227" spans="1:4" x14ac:dyDescent="0.3">
      <c r="A9227" s="1" t="str">
        <f>"60018784900"</f>
        <v>60018784900</v>
      </c>
      <c r="B9227" s="1" t="str">
        <f>"NILE BUSINESS HOLDINGS LLC"</f>
        <v>NILE BUSINESS HOLDINGS LLC</v>
      </c>
      <c r="C9227" s="1" t="str">
        <f>"FOREST EDGE DR RESUB PT FOREST EDGE LOT 18-A"</f>
        <v>FOREST EDGE DR RESUB PT FOREST EDGE LOT 18-A</v>
      </c>
      <c r="D9227" s="1">
        <v>3409.03</v>
      </c>
    </row>
    <row r="9228" spans="1:4" x14ac:dyDescent="0.3">
      <c r="A9228" s="1" t="str">
        <f>"01006074800"</f>
        <v>01006074800</v>
      </c>
      <c r="B9228" s="1" t="str">
        <f>"NIM BOPHA"</f>
        <v>NIM BOPHA</v>
      </c>
      <c r="C9228" s="1" t="str">
        <f>"20TH AVE RICHMOND LOT 134"</f>
        <v>20TH AVE RICHMOND LOT 134</v>
      </c>
      <c r="D9228" s="1">
        <v>145.56</v>
      </c>
    </row>
    <row r="9229" spans="1:4" x14ac:dyDescent="0.3">
      <c r="A9229" s="1" t="str">
        <f>"02501227700"</f>
        <v>02501227700</v>
      </c>
      <c r="B9229" s="1" t="str">
        <f>"NINGYANG LLC"</f>
        <v>NINGYANG LLC</v>
      </c>
      <c r="C9229" s="1" t="str">
        <f>"CROSSROADS COMMERCE       CENTER BUILDING 5         CONDOMINIUMS UNIT 750H   "</f>
        <v xml:space="preserve">CROSSROADS COMMERCE       CENTER BUILDING 5         CONDOMINIUMS UNIT 750H   </v>
      </c>
      <c r="D9229" s="1">
        <v>683.1</v>
      </c>
    </row>
    <row r="9230" spans="1:4" x14ac:dyDescent="0.3">
      <c r="A9230" s="1" t="str">
        <f>"01028166000"</f>
        <v>01028166000</v>
      </c>
      <c r="B9230" s="1" t="str">
        <f>"NININGER JOHN S, NININGER MARY E"</f>
        <v>NININGER JOHN S, NININGER MARY E</v>
      </c>
      <c r="C9230" s="1" t="str">
        <f>"5946 BUCKSBURN DRIVE      SUMMERLYN SECTION 1       LOT 43                   "</f>
        <v xml:space="preserve">5946 BUCKSBURN DRIVE      SUMMERLYN SECTION 1       LOT 43                   </v>
      </c>
      <c r="D9230" s="1">
        <v>2418.09</v>
      </c>
    </row>
    <row r="9231" spans="1:4" x14ac:dyDescent="0.3">
      <c r="A9231" s="1" t="str">
        <f>"01012375000"</f>
        <v>01012375000</v>
      </c>
      <c r="B9231" s="1" t="str">
        <f>"NISWANDER PAUL S"</f>
        <v>NISWANDER PAUL S</v>
      </c>
      <c r="C9231" s="1" t="str">
        <f>"HAVENDALE DR BRENTWOOD PK LOT 104"</f>
        <v>HAVENDALE DR BRENTWOOD PK LOT 104</v>
      </c>
      <c r="D9231" s="1">
        <v>2669.4</v>
      </c>
    </row>
    <row r="9232" spans="1:4" x14ac:dyDescent="0.3">
      <c r="A9232" s="1" t="str">
        <f>"20000061000"</f>
        <v>20000061000</v>
      </c>
      <c r="B9232" s="1" t="str">
        <f>"NISWONGER STEPHEN ANDREW"</f>
        <v>NISWONGER STEPHEN ANDREW</v>
      </c>
      <c r="C9232" s="1" t="str">
        <f>"DUBLIN RD .573 AC ENTRY 547 "</f>
        <v xml:space="preserve">DUBLIN RD .573 AC ENTRY 547 </v>
      </c>
      <c r="D9232" s="1">
        <v>8689.31</v>
      </c>
    </row>
    <row r="9233" spans="1:4" x14ac:dyDescent="0.3">
      <c r="A9233" s="1" t="str">
        <f>"61022520000"</f>
        <v>61022520000</v>
      </c>
      <c r="B9233" s="1" t="str">
        <f>"NIU XILI"</f>
        <v>NIU XILI</v>
      </c>
      <c r="C9233" s="1" t="str">
        <f>"955CHARLESTON WAY DR CARRIAGE OAKS CONDO 1ST AMD UNIT 9D"</f>
        <v>955CHARLESTON WAY DR CARRIAGE OAKS CONDO 1ST AMD UNIT 9D</v>
      </c>
      <c r="D9233" s="1">
        <v>2745.46</v>
      </c>
    </row>
    <row r="9234" spans="1:4" x14ac:dyDescent="0.3">
      <c r="A9234" s="1" t="str">
        <f>"49023245200"</f>
        <v>49023245200</v>
      </c>
      <c r="B9234" s="1" t="str">
        <f>"NIXON ANTHONY J, NIXON CARLETTE R"</f>
        <v>NIXON ANTHONY J, NIXON CARLETTE R</v>
      </c>
      <c r="C9234" s="1" t="str">
        <f>"GREEN BAY COURT ESSEX PLACE SEC 3 LOT 147"</f>
        <v>GREEN BAY COURT ESSEX PLACE SEC 3 LOT 147</v>
      </c>
      <c r="D9234" s="1">
        <v>5711.01</v>
      </c>
    </row>
    <row r="9235" spans="1:4" x14ac:dyDescent="0.3">
      <c r="A9235" s="1" t="str">
        <f>"01012890500"</f>
        <v>01012890500</v>
      </c>
      <c r="B9235" s="1" t="str">
        <f>"NIXON HAMP, NIXON ELVIRA"</f>
        <v>NIXON HAMP, NIXON ELVIRA</v>
      </c>
      <c r="C9235" s="1" t="str">
        <f>"PANNELL AVE MILLBROOK LOT 43"</f>
        <v>PANNELL AVE MILLBROOK LOT 43</v>
      </c>
      <c r="D9235" s="1">
        <v>1005.3</v>
      </c>
    </row>
    <row r="9236" spans="1:4" x14ac:dyDescent="0.3">
      <c r="A9236" s="1" t="str">
        <f>"01010974400"</f>
        <v>01010974400</v>
      </c>
      <c r="B9236" s="1" t="str">
        <f>"NIXON JAMES R"</f>
        <v>NIXON JAMES R</v>
      </c>
      <c r="C9236" s="1" t="str">
        <f>"FAHRWAY DR 45FT WS GLEN BURN LOT 52"</f>
        <v>FAHRWAY DR 45FT WS GLEN BURN LOT 52</v>
      </c>
      <c r="D9236" s="1">
        <v>4236.1000000000004</v>
      </c>
    </row>
    <row r="9237" spans="1:4" x14ac:dyDescent="0.3">
      <c r="A9237" s="1" t="str">
        <f>"24000636900"</f>
        <v>24000636900</v>
      </c>
      <c r="B9237" s="1" t="str">
        <f>"NIXON MARTHA K"</f>
        <v>NIXON MARTHA K</v>
      </c>
      <c r="C9237" s="1" t="str">
        <f>"WYNBROOK CT RESUB LK DARBY EST 4 LOT 1700"</f>
        <v>WYNBROOK CT RESUB LK DARBY EST 4 LOT 1700</v>
      </c>
      <c r="D9237" s="1">
        <v>1383.98</v>
      </c>
    </row>
    <row r="9238" spans="1:4" x14ac:dyDescent="0.3">
      <c r="A9238" s="1" t="str">
        <f>"01002577500"</f>
        <v>01002577500</v>
      </c>
      <c r="B9238" s="1" t="str">
        <f>"NIZ LOPEZ LUCIA, CHAVEZ RUBEN LUCAS"</f>
        <v>NIZ LOPEZ LUCIA, CHAVEZ RUBEN LUCAS</v>
      </c>
      <c r="C9238" s="1" t="str">
        <f>"462 S EUREKA BELLAIRE EX LOT 217&amp; S1/2 218"</f>
        <v>462 S EUREKA BELLAIRE EX LOT 217&amp; S1/2 218</v>
      </c>
      <c r="D9238" s="1">
        <v>2522.36</v>
      </c>
    </row>
    <row r="9239" spans="1:4" x14ac:dyDescent="0.3">
      <c r="A9239" s="1" t="str">
        <f>"01001585800"</f>
        <v>01001585800</v>
      </c>
      <c r="B9239" s="1" t="str">
        <f>"NIZ LOPEZ LUCIA, CHAVEZ RUBEN LUCAS"</f>
        <v>NIZ LOPEZ LUCIA, CHAVEZ RUBEN LUCAS</v>
      </c>
      <c r="C9239" s="1" t="str">
        <f>"EUREKA AVE BELLAIRE EX LOT 216"</f>
        <v>EUREKA AVE BELLAIRE EX LOT 216</v>
      </c>
      <c r="D9239" s="1">
        <v>284.58999999999997</v>
      </c>
    </row>
    <row r="9240" spans="1:4" x14ac:dyDescent="0.3">
      <c r="A9240" s="1" t="str">
        <f>"06000933800"</f>
        <v>06000933800</v>
      </c>
      <c r="B9240" s="1" t="str">
        <f>"NKWENYA ELVIS"</f>
        <v>NKWENYA ELVIS</v>
      </c>
      <c r="C9240" s="1" t="str">
        <f>"WAGGONER RD R20 T16 S6 1/2S6 0.433"</f>
        <v>WAGGONER RD R20 T16 S6 1/2S6 0.433</v>
      </c>
      <c r="D9240" s="1">
        <v>897.21</v>
      </c>
    </row>
    <row r="9241" spans="1:4" x14ac:dyDescent="0.3">
      <c r="A9241" s="1" t="str">
        <f>"01004065700"</f>
        <v>01004065700</v>
      </c>
      <c r="B9241" s="1" t="str">
        <f>"NM CONSULTING LLC"</f>
        <v>NM CONSULTING LLC</v>
      </c>
      <c r="C9241" s="1" t="str">
        <f>"1705-1707 E MAIN ST 41 X 134 FT ON MAIN ST 1/2 SEC 22"</f>
        <v>1705-1707 E MAIN ST 41 X 134 FT ON MAIN ST 1/2 SEC 22</v>
      </c>
      <c r="D9241" s="1">
        <v>1908.94</v>
      </c>
    </row>
    <row r="9242" spans="1:4" x14ac:dyDescent="0.3">
      <c r="A9242" s="1" t="str">
        <f>"24100036200"</f>
        <v>24100036200</v>
      </c>
      <c r="B9242" s="1" t="str">
        <f>"NMAO INVESTMENTS LLC"</f>
        <v>NMAO INVESTMENTS LLC</v>
      </c>
      <c r="C9242" s="1" t="str">
        <f>"CRESTWATER DRIVE LAKE DARBY ESTATES 2 LOT 428"</f>
        <v>CRESTWATER DRIVE LAKE DARBY ESTATES 2 LOT 428</v>
      </c>
      <c r="D9242" s="1">
        <v>3071.18</v>
      </c>
    </row>
    <row r="9243" spans="1:4" x14ac:dyDescent="0.3">
      <c r="A9243" s="1" t="str">
        <f>"01017879700"</f>
        <v>01017879700</v>
      </c>
      <c r="B9243" s="1" t="str">
        <f>"NMD ESTATES LLC"</f>
        <v>NMD ESTATES LLC</v>
      </c>
      <c r="C9243" s="1" t="str">
        <f>"CHILLOWICK VILL COND UNIT 59 "</f>
        <v xml:space="preserve">CHILLOWICK VILL COND UNIT 59 </v>
      </c>
      <c r="D9243" s="1">
        <v>1135.3499999999999</v>
      </c>
    </row>
    <row r="9244" spans="1:4" x14ac:dyDescent="0.3">
      <c r="A9244" s="1" t="str">
        <f>"01017875700"</f>
        <v>01017875700</v>
      </c>
      <c r="B9244" s="1" t="str">
        <f>"NMD ESTATES LLC"</f>
        <v>NMD ESTATES LLC</v>
      </c>
      <c r="C9244" s="1" t="str">
        <f>"CHILLOWICK VILL COND UNIT 19 "</f>
        <v xml:space="preserve">CHILLOWICK VILL COND UNIT 19 </v>
      </c>
      <c r="D9244" s="1">
        <v>1135.3499999999999</v>
      </c>
    </row>
    <row r="9245" spans="1:4" x14ac:dyDescent="0.3">
      <c r="A9245" s="1" t="str">
        <f>"01017875800"</f>
        <v>01017875800</v>
      </c>
      <c r="B9245" s="1" t="str">
        <f>"NMD ESTATES LLC"</f>
        <v>NMD ESTATES LLC</v>
      </c>
      <c r="C9245" s="1" t="str">
        <f>"CHILLOWICK VILL COND UNIT 20 "</f>
        <v xml:space="preserve">CHILLOWICK VILL COND UNIT 20 </v>
      </c>
      <c r="D9245" s="1">
        <v>1135.3499999999999</v>
      </c>
    </row>
    <row r="9246" spans="1:4" x14ac:dyDescent="0.3">
      <c r="A9246" s="1" t="str">
        <f>"01017876100"</f>
        <v>01017876100</v>
      </c>
      <c r="B9246" s="1" t="str">
        <f>"NMD ESTATES LLC"</f>
        <v>NMD ESTATES LLC</v>
      </c>
      <c r="C9246" s="1" t="str">
        <f>"CHILLOWICK VILL COND UNIT 23 "</f>
        <v xml:space="preserve">CHILLOWICK VILL COND UNIT 23 </v>
      </c>
      <c r="D9246" s="1">
        <v>1135.3499999999999</v>
      </c>
    </row>
    <row r="9247" spans="1:4" x14ac:dyDescent="0.3">
      <c r="A9247" s="1" t="str">
        <f>"01017880200"</f>
        <v>01017880200</v>
      </c>
      <c r="B9247" s="1" t="str">
        <f>"NMD ESTATES LLC"</f>
        <v>NMD ESTATES LLC</v>
      </c>
      <c r="C9247" s="1" t="str">
        <f>"CHILLOWICK VILL COND UNIT 64 "</f>
        <v xml:space="preserve">CHILLOWICK VILL COND UNIT 64 </v>
      </c>
      <c r="D9247" s="1">
        <v>1135.3499999999999</v>
      </c>
    </row>
    <row r="9248" spans="1:4" x14ac:dyDescent="0.3">
      <c r="A9248" s="1" t="str">
        <f>"01017875900"</f>
        <v>01017875900</v>
      </c>
      <c r="B9248" s="1" t="str">
        <f>"NMD ESTATES LLC"</f>
        <v>NMD ESTATES LLC</v>
      </c>
      <c r="C9248" s="1" t="str">
        <f>"CHILLOWICK VILL COND UNIT 21 "</f>
        <v xml:space="preserve">CHILLOWICK VILL COND UNIT 21 </v>
      </c>
      <c r="D9248" s="1">
        <v>1135.3499999999999</v>
      </c>
    </row>
    <row r="9249" spans="1:4" x14ac:dyDescent="0.3">
      <c r="A9249" s="1" t="str">
        <f>"01017879800"</f>
        <v>01017879800</v>
      </c>
      <c r="B9249" s="1" t="str">
        <f>"NMD ESTATES LLC"</f>
        <v>NMD ESTATES LLC</v>
      </c>
      <c r="C9249" s="1" t="str">
        <f>"CHILLOWICK VILL COND UNIT 60 "</f>
        <v xml:space="preserve">CHILLOWICK VILL COND UNIT 60 </v>
      </c>
      <c r="D9249" s="1">
        <v>1135.3499999999999</v>
      </c>
    </row>
    <row r="9250" spans="1:4" x14ac:dyDescent="0.3">
      <c r="A9250" s="1" t="str">
        <f>"01017880800"</f>
        <v>01017880800</v>
      </c>
      <c r="B9250" s="1" t="str">
        <f>"NMD ESTATES LLC"</f>
        <v>NMD ESTATES LLC</v>
      </c>
      <c r="C9250" s="1" t="str">
        <f>"CHILLOWICK VILL COND UNIT 70 "</f>
        <v xml:space="preserve">CHILLOWICK VILL COND UNIT 70 </v>
      </c>
      <c r="D9250" s="1">
        <v>1135.3499999999999</v>
      </c>
    </row>
    <row r="9251" spans="1:4" x14ac:dyDescent="0.3">
      <c r="A9251" s="1" t="str">
        <f>"01017876000"</f>
        <v>01017876000</v>
      </c>
      <c r="B9251" s="1" t="str">
        <f>"NMD ESTATES LLC"</f>
        <v>NMD ESTATES LLC</v>
      </c>
      <c r="C9251" s="1" t="str">
        <f>"CHILLOWICK VILL COND UNIT 22 "</f>
        <v xml:space="preserve">CHILLOWICK VILL COND UNIT 22 </v>
      </c>
      <c r="D9251" s="1">
        <v>1135.3499999999999</v>
      </c>
    </row>
    <row r="9252" spans="1:4" x14ac:dyDescent="0.3">
      <c r="A9252" s="1" t="str">
        <f>"59021892000"</f>
        <v>59021892000</v>
      </c>
      <c r="B9252" s="1" t="str">
        <f>"NMD ESTATES LLC"</f>
        <v>NMD ESTATES LLC</v>
      </c>
      <c r="C9252" s="1" t="str">
        <f>"TERM OF SAWBURY COMMONS CONDO 14 SANDBURY BLVD .235AC"</f>
        <v>TERM OF SAWBURY COMMONS CONDO 14 SANDBURY BLVD .235AC</v>
      </c>
      <c r="D9252" s="1">
        <v>9402.83</v>
      </c>
    </row>
    <row r="9253" spans="1:4" x14ac:dyDescent="0.3">
      <c r="A9253" s="1" t="str">
        <f>"01004626800"</f>
        <v>01004626800</v>
      </c>
      <c r="B9253" s="1" t="str">
        <f>"NNADI STANLEY E"</f>
        <v>NNADI STANLEY E</v>
      </c>
      <c r="C9253" s="1" t="str">
        <f>"803 LEONA AVE S A SHOEMAKER HRS LOT 84"</f>
        <v>803 LEONA AVE S A SHOEMAKER HRS LOT 84</v>
      </c>
      <c r="D9253" s="1">
        <v>1825.41</v>
      </c>
    </row>
    <row r="9254" spans="1:4" x14ac:dyDescent="0.3">
      <c r="A9254" s="1" t="str">
        <f>"27300448800"</f>
        <v>27300448800</v>
      </c>
      <c r="B9254" s="1" t="str">
        <f>"NOCKOWITZ RICHARD"</f>
        <v>NOCKOWITZ RICHARD</v>
      </c>
      <c r="C9254" s="1" t="str">
        <f>"5600 TURNBURY SECTION 1 LOT 3"</f>
        <v>5600 TURNBURY SECTION 1 LOT 3</v>
      </c>
      <c r="D9254" s="1">
        <v>5706.35</v>
      </c>
    </row>
    <row r="9255" spans="1:4" x14ac:dyDescent="0.3">
      <c r="A9255" s="1" t="str">
        <f>"26000011300"</f>
        <v>26000011300</v>
      </c>
      <c r="B9255" s="1" t="str">
        <f>"NOE BIXBY 3018 LLC"</f>
        <v>NOE BIXBY 3018 LLC</v>
      </c>
      <c r="C9255" s="1" t="str">
        <f>"NOE-BIXBY RD .016 ACRE QUALSTAN EAST RES A"</f>
        <v>NOE-BIXBY RD .016 ACRE QUALSTAN EAST RES A</v>
      </c>
      <c r="D9255" s="1">
        <v>7.18</v>
      </c>
    </row>
    <row r="9256" spans="1:4" x14ac:dyDescent="0.3">
      <c r="A9256" s="1" t="str">
        <f>"26000052100"</f>
        <v>26000052100</v>
      </c>
      <c r="B9256" s="1" t="str">
        <f>"NOE BIXBY 3018 LLC"</f>
        <v>NOE BIXBY 3018 LLC</v>
      </c>
      <c r="C9256" s="1" t="str">
        <f>"NOE-BIXBY RD QUALSTAN EAST SUB PT RES A=0.517 ACRE"</f>
        <v>NOE-BIXBY RD QUALSTAN EAST SUB PT RES A=0.517 ACRE</v>
      </c>
      <c r="D9256" s="1">
        <v>938.84</v>
      </c>
    </row>
    <row r="9257" spans="1:4" x14ac:dyDescent="0.3">
      <c r="A9257" s="1" t="str">
        <f>"57016520600"</f>
        <v>57016520600</v>
      </c>
      <c r="B9257" s="1" t="str">
        <f>"NOEL THOMAS W, NOEL SUSAN A"</f>
        <v>NOEL THOMAS W, NOEL SUSAN A</v>
      </c>
      <c r="C9257" s="1" t="str">
        <f>"LAUREL GREENE PLACE LAUREL GREENE LOT 39"</f>
        <v>LAUREL GREENE PLACE LAUREL GREENE LOT 39</v>
      </c>
      <c r="D9257" s="1">
        <v>1700</v>
      </c>
    </row>
    <row r="9258" spans="1:4" x14ac:dyDescent="0.3">
      <c r="A9258" s="1" t="str">
        <f>"27300530700"</f>
        <v>27300530700</v>
      </c>
      <c r="B9258" s="1" t="str">
        <f>"NOGGLE GLEN L, NOGGLE ARDELLE Y"</f>
        <v>NOGGLE GLEN L, NOGGLE ARDELLE Y</v>
      </c>
      <c r="C9258" s="1" t="str">
        <f>"TWONOTCH COURT LOWELL TRACE SEC 3 LOT 110"</f>
        <v>TWONOTCH COURT LOWELL TRACE SEC 3 LOT 110</v>
      </c>
      <c r="D9258" s="1">
        <v>320.17</v>
      </c>
    </row>
    <row r="9259" spans="1:4" x14ac:dyDescent="0.3">
      <c r="A9259" s="1" t="str">
        <f>"59021678800"</f>
        <v>59021678800</v>
      </c>
      <c r="B9259" s="1" t="str">
        <f>"NOLAN CINDY B"</f>
        <v>NOLAN CINDY B</v>
      </c>
      <c r="C9259" s="1" t="str">
        <f>"TROTTERS CHASE CONDOMINIUM BLDG 19 UNIT 2555"</f>
        <v>TROTTERS CHASE CONDOMINIUM BLDG 19 UNIT 2555</v>
      </c>
      <c r="D9259" s="1">
        <v>193.87</v>
      </c>
    </row>
    <row r="9260" spans="1:4" x14ac:dyDescent="0.3">
      <c r="A9260" s="1" t="str">
        <f>"14000283600"</f>
        <v>14000283600</v>
      </c>
      <c r="B9260" s="1" t="str">
        <f>"NOLAND JOYCE E TR"</f>
        <v>NOLAND JOYCE E TR</v>
      </c>
      <c r="C9260" s="1" t="str">
        <f>"87 BROADLAWN AVE BROAD-LAWN 125 "</f>
        <v xml:space="preserve">87 BROADLAWN AVE BROAD-LAWN 125 </v>
      </c>
      <c r="D9260" s="1">
        <v>2858.52</v>
      </c>
    </row>
    <row r="9261" spans="1:4" x14ac:dyDescent="0.3">
      <c r="A9261" s="1" t="str">
        <f>"01012999500"</f>
        <v>01012999500</v>
      </c>
      <c r="B9261" s="1" t="str">
        <f>"NOLL JAMES J"</f>
        <v>NOLL JAMES J</v>
      </c>
      <c r="C9261" s="1" t="str">
        <f>"BOXWOOD DR FOREST PARK LOT 54"</f>
        <v>BOXWOOD DR FOREST PARK LOT 54</v>
      </c>
      <c r="D9261" s="1">
        <v>2091.25</v>
      </c>
    </row>
    <row r="9262" spans="1:4" x14ac:dyDescent="0.3">
      <c r="A9262" s="1" t="str">
        <f>"11000279800"</f>
        <v>11000279800</v>
      </c>
      <c r="B9262" s="1" t="str">
        <f>"NONATO MONTOYA FERNANDO"</f>
        <v>NONATO MONTOYA FERNANDO</v>
      </c>
      <c r="C9262" s="1" t="str">
        <f>"2539 CLYBOURNE ROAD BELMONT PLACE AMD 73-4"</f>
        <v>2539 CLYBOURNE ROAD BELMONT PLACE AMD 73-4</v>
      </c>
      <c r="D9262" s="1">
        <v>3507.55</v>
      </c>
    </row>
    <row r="9263" spans="1:4" x14ac:dyDescent="0.3">
      <c r="A9263" s="1" t="str">
        <f>"19000051000"</f>
        <v>19000051000</v>
      </c>
      <c r="B9263" s="1" t="str">
        <f>"NONATO MONTOYA FERNANDO"</f>
        <v>NONATO MONTOYA FERNANDO</v>
      </c>
      <c r="C9263" s="1" t="str">
        <f>"DRAKE RD 0.924 ACRE LOT 5"</f>
        <v>DRAKE RD 0.924 ACRE LOT 5</v>
      </c>
      <c r="D9263" s="1">
        <v>960.16</v>
      </c>
    </row>
    <row r="9264" spans="1:4" x14ac:dyDescent="0.3">
      <c r="A9264" s="1" t="str">
        <f>"01008318200"</f>
        <v>01008318200</v>
      </c>
      <c r="B9264" s="1" t="str">
        <f>"NONATO PEREZ VENANCIO, NONATO SANCHEZ VICTORINA"</f>
        <v>NONATO PEREZ VENANCIO, NONATO SANCHEZ VICTORINA</v>
      </c>
      <c r="C9264" s="1" t="str">
        <f>"PONTIAC ST SUNNYSIDE LOT 19"</f>
        <v>PONTIAC ST SUNNYSIDE LOT 19</v>
      </c>
      <c r="D9264" s="1">
        <v>110.08</v>
      </c>
    </row>
    <row r="9265" spans="1:4" x14ac:dyDescent="0.3">
      <c r="A9265" s="1" t="str">
        <f>"01015057500"</f>
        <v>01015057500</v>
      </c>
      <c r="B9265" s="1" t="str">
        <f>"NOOR HAJI ALI"</f>
        <v>NOOR HAJI ALI</v>
      </c>
      <c r="C9265" s="1" t="str">
        <f>"MAPLEWOOD DR FOREST PARK E SEC 8 LOT 671"</f>
        <v>MAPLEWOOD DR FOREST PARK E SEC 8 LOT 671</v>
      </c>
      <c r="D9265" s="1">
        <v>230.45</v>
      </c>
    </row>
    <row r="9266" spans="1:4" x14ac:dyDescent="0.3">
      <c r="A9266" s="1" t="str">
        <f>"01010120300"</f>
        <v>01010120300</v>
      </c>
      <c r="B9266" s="1" t="str">
        <f>"NOOR INVESTMENTS LLC"</f>
        <v>NOOR INVESTMENTS LLC</v>
      </c>
      <c r="C9266" s="1" t="str">
        <f>"ROSWELL DR 67.6 FT ES BERWICK MANOR LOT 257"</f>
        <v>ROSWELL DR 67.6 FT ES BERWICK MANOR LOT 257</v>
      </c>
      <c r="D9266" s="1">
        <v>124.81</v>
      </c>
    </row>
    <row r="9267" spans="1:4" x14ac:dyDescent="0.3">
      <c r="A9267" s="1" t="str">
        <f>"01010064800"</f>
        <v>01010064800</v>
      </c>
      <c r="B9267" s="1" t="str">
        <f>"NOOR INVESTMENTS LLC"</f>
        <v>NOOR INVESTMENTS LLC</v>
      </c>
      <c r="C9267" s="1" t="str">
        <f>"ASTOR AVE LIVINGSTON GARDENS LOT 81"</f>
        <v>ASTOR AVE LIVINGSTON GARDENS LOT 81</v>
      </c>
      <c r="D9267" s="1">
        <v>168.62</v>
      </c>
    </row>
    <row r="9268" spans="1:4" x14ac:dyDescent="0.3">
      <c r="A9268" s="1" t="str">
        <f>"01010138400"</f>
        <v>01010138400</v>
      </c>
      <c r="B9268" s="1" t="str">
        <f>"NOOR INVESTMENTS LLC"</f>
        <v>NOOR INVESTMENTS LLC</v>
      </c>
      <c r="C9268" s="1" t="str">
        <f>"SELKIRK RD BERWICK MANOR LOT 438"</f>
        <v>SELKIRK RD BERWICK MANOR LOT 438</v>
      </c>
      <c r="D9268" s="1">
        <v>152.4</v>
      </c>
    </row>
    <row r="9269" spans="1:4" x14ac:dyDescent="0.3">
      <c r="A9269" s="1" t="str">
        <f>"01007311000"</f>
        <v>01007311000</v>
      </c>
      <c r="B9269" s="1" t="str">
        <f>"NOOR INVESTMENTS LLC"</f>
        <v>NOOR INVESTMENTS LLC</v>
      </c>
      <c r="C9269" s="1" t="str">
        <f>"19TH AVE RICHMOND LOT 25"</f>
        <v>19TH AVE RICHMOND LOT 25</v>
      </c>
      <c r="D9269" s="1">
        <v>115.71</v>
      </c>
    </row>
    <row r="9270" spans="1:4" x14ac:dyDescent="0.3">
      <c r="A9270" s="1" t="str">
        <f>"01013716800"</f>
        <v>01013716800</v>
      </c>
      <c r="B9270" s="1" t="str">
        <f>"NOOR INVESTMENTS LLC"</f>
        <v>NOOR INVESTMENTS LLC</v>
      </c>
      <c r="C9270" s="1" t="str">
        <f>"SOMERSET COURT W HAVILAND 1 LOT 15"</f>
        <v>SOMERSET COURT W HAVILAND 1 LOT 15</v>
      </c>
      <c r="D9270" s="1">
        <v>105.9</v>
      </c>
    </row>
    <row r="9271" spans="1:4" x14ac:dyDescent="0.3">
      <c r="A9271" s="1" t="str">
        <f>"01015485700"</f>
        <v>01015485700</v>
      </c>
      <c r="B9271" s="1" t="str">
        <f>"NOOR INVESTMENTS LLC"</f>
        <v>NOOR INVESTMENTS LLC</v>
      </c>
      <c r="C9271" s="1" t="str">
        <f>"CLARKSTON AVE LEXINGTON SEC 2 LOT 319"</f>
        <v>CLARKSTON AVE LEXINGTON SEC 2 LOT 319</v>
      </c>
      <c r="D9271" s="1">
        <v>115.19</v>
      </c>
    </row>
    <row r="9272" spans="1:4" x14ac:dyDescent="0.3">
      <c r="A9272" s="1" t="str">
        <f>"01014075900"</f>
        <v>01014075900</v>
      </c>
      <c r="B9272" s="1" t="str">
        <f>"NOOR INVESTMENTS LLC"</f>
        <v>NOOR INVESTMENTS LLC</v>
      </c>
      <c r="C9272" s="1" t="str">
        <f>"PENFIELD RD HAVILAND 3 LOT 156"</f>
        <v>PENFIELD RD HAVILAND 3 LOT 156</v>
      </c>
      <c r="D9272" s="1">
        <v>115.71</v>
      </c>
    </row>
    <row r="9273" spans="1:4" x14ac:dyDescent="0.3">
      <c r="A9273" s="1" t="str">
        <f>"61018619900"</f>
        <v>61018619900</v>
      </c>
      <c r="B9273" s="1" t="str">
        <f>"NOOR PINES LLC"</f>
        <v>NOOR PINES LLC</v>
      </c>
      <c r="C9273" s="1" t="str">
        <f>"SLATON CT SLATON PINES CONDO 1 UNIT 1892"</f>
        <v>SLATON CT SLATON PINES CONDO 1 UNIT 1892</v>
      </c>
      <c r="D9273" s="1">
        <v>1926.83</v>
      </c>
    </row>
    <row r="9274" spans="1:4" x14ac:dyDescent="0.3">
      <c r="A9274" s="1" t="str">
        <f>"56023034100"</f>
        <v>56023034100</v>
      </c>
      <c r="B9274" s="1" t="str">
        <f>"NOP VANNA, NOP VICTOR, NOP HEAK"</f>
        <v>NOP VANNA, NOP VICTOR, NOP HEAK</v>
      </c>
      <c r="C9274" s="1" t="str">
        <f>"THE VILLAGE AT THORNAPPLE SECTION 3 LOT 109"</f>
        <v>THE VILLAGE AT THORNAPPLE SECTION 3 LOT 109</v>
      </c>
      <c r="D9274" s="1">
        <v>366.24</v>
      </c>
    </row>
    <row r="9275" spans="1:4" x14ac:dyDescent="0.3">
      <c r="A9275" s="1" t="str">
        <f>"60016811800"</f>
        <v>60016811800</v>
      </c>
      <c r="B9275" s="1" t="str">
        <f>"NORASING JERICA V, NORASING SALEUNG"</f>
        <v>NORASING JERICA V, NORASING SALEUNG</v>
      </c>
      <c r="C9275" s="1" t="str">
        <f>"BRANDYWINE MEADOWS BRETTON WOODS DR LOT 12"</f>
        <v>BRANDYWINE MEADOWS BRETTON WOODS DR LOT 12</v>
      </c>
      <c r="D9275" s="1">
        <v>4029.16</v>
      </c>
    </row>
    <row r="9276" spans="1:4" x14ac:dyDescent="0.3">
      <c r="A9276" s="1" t="str">
        <f>"18400245900"</f>
        <v>18400245900</v>
      </c>
      <c r="B9276" s="1" t="str">
        <f>"NORDSTROM KARIN TR"</f>
        <v>NORDSTROM KARIN TR</v>
      </c>
      <c r="C9276" s="1" t="str">
        <f>"GREENSVIEW VILLAGE CONDOMINIUM 3RD AMD BLDG 16 UNIT 6947"</f>
        <v>GREENSVIEW VILLAGE CONDOMINIUM 3RD AMD BLDG 16 UNIT 6947</v>
      </c>
      <c r="D9276" s="1">
        <v>5328.71</v>
      </c>
    </row>
    <row r="9277" spans="1:4" x14ac:dyDescent="0.3">
      <c r="A9277" s="1" t="str">
        <f>"01002785900"</f>
        <v>01002785900</v>
      </c>
      <c r="B9277" s="1" t="str">
        <f>"NORIA SABRENA F"</f>
        <v>NORIA SABRENA F</v>
      </c>
      <c r="C9277" s="1" t="str">
        <f>"862 S 3RD ST S 1/2 JAEGER LOT 92"</f>
        <v>862 S 3RD ST S 1/2 JAEGER LOT 92</v>
      </c>
      <c r="D9277" s="1">
        <v>616.16999999999996</v>
      </c>
    </row>
    <row r="9278" spans="1:4" x14ac:dyDescent="0.3">
      <c r="A9278" s="1" t="str">
        <f>"01001991100"</f>
        <v>01001991100</v>
      </c>
      <c r="B9278" s="1" t="str">
        <f>"NORMAN THERESA L"</f>
        <v>NORMAN THERESA L</v>
      </c>
      <c r="C9278" s="1" t="str">
        <f>"1034 E 16TH AVE LOUIS HTS LOT 347"</f>
        <v>1034 E 16TH AVE LOUIS HTS LOT 347</v>
      </c>
      <c r="D9278" s="1">
        <v>2634.01</v>
      </c>
    </row>
    <row r="9279" spans="1:4" x14ac:dyDescent="0.3">
      <c r="A9279" s="1" t="str">
        <f>"10000662100"</f>
        <v>10000662100</v>
      </c>
      <c r="B9279" s="1" t="str">
        <f>"NORRIS TED ANDREW, NORRIS ROBIN JEAN"</f>
        <v>NORRIS TED ANDREW, NORRIS ROBIN JEAN</v>
      </c>
      <c r="C9279" s="1" t="str">
        <f>"THE WORTHINGTON INN CONDOMINIUM UNIT 201"</f>
        <v>THE WORTHINGTON INN CONDOMINIUM UNIT 201</v>
      </c>
      <c r="D9279" s="1">
        <v>5491.66</v>
      </c>
    </row>
    <row r="9280" spans="1:4" x14ac:dyDescent="0.3">
      <c r="A9280" s="1" t="str">
        <f>"01003604500"</f>
        <v>01003604500</v>
      </c>
      <c r="B9280" s="1" t="str">
        <f>"NORRIS TERESA M"</f>
        <v>NORRIS TERESA M</v>
      </c>
      <c r="C9280" s="1" t="str">
        <f>"191 YALE AVE WEST PARK LOT 584"</f>
        <v>191 YALE AVE WEST PARK LOT 584</v>
      </c>
      <c r="D9280" s="1">
        <v>1338.27</v>
      </c>
    </row>
    <row r="9281" spans="1:4" x14ac:dyDescent="0.3">
      <c r="A9281" s="1" t="str">
        <f>"24000542800"</f>
        <v>24000542800</v>
      </c>
      <c r="B9281" s="1" t="str">
        <f>"NORRIS TERESA M"</f>
        <v>NORRIS TERESA M</v>
      </c>
      <c r="C9281" s="1" t="str">
        <f>"BLUE LAKE CIRCLE LAKE DARBY EST 1 LOT 213"</f>
        <v>BLUE LAKE CIRCLE LAKE DARBY EST 1 LOT 213</v>
      </c>
      <c r="D9281" s="1">
        <v>1205.5999999999999</v>
      </c>
    </row>
    <row r="9282" spans="1:4" x14ac:dyDescent="0.3">
      <c r="A9282" s="1" t="str">
        <f>"09000786400"</f>
        <v>09000786400</v>
      </c>
      <c r="B9282" s="1" t="str">
        <f>"NORRIS VEDA A"</f>
        <v>NORRIS VEDA A</v>
      </c>
      <c r="C9282" s="1" t="str">
        <f>"4855 ASHLEY AVE FAIRWAY OAKS LOT 31"</f>
        <v>4855 ASHLEY AVE FAIRWAY OAKS LOT 31</v>
      </c>
      <c r="D9282" s="1">
        <v>74.239999999999995</v>
      </c>
    </row>
    <row r="9283" spans="1:4" x14ac:dyDescent="0.3">
      <c r="A9283" s="1" t="str">
        <f>"04000136400"</f>
        <v>04000136400</v>
      </c>
      <c r="B9283" s="1" t="str">
        <f>"NORTH ADRIENNE"</f>
        <v>NORTH ADRIENNE</v>
      </c>
      <c r="C9283" s="1" t="str">
        <f>"4328 ROBIN STREET SHERRY LYNNE HOMES LOT 5"</f>
        <v>4328 ROBIN STREET SHERRY LYNNE HOMES LOT 5</v>
      </c>
      <c r="D9283" s="1">
        <v>1545.48</v>
      </c>
    </row>
    <row r="9284" spans="1:4" x14ac:dyDescent="0.3">
      <c r="A9284" s="1" t="str">
        <f>"01002161300"</f>
        <v>01002161300</v>
      </c>
      <c r="B9284" s="1" t="str">
        <f>"NORTH BAY HOLDINGS LLC"</f>
        <v>NORTH BAY HOLDINGS LLC</v>
      </c>
      <c r="C9284" s="1" t="str">
        <f>"1327 ATCHESON ST HILDRETH&amp;CHITTENDEN LOT 89"</f>
        <v>1327 ATCHESON ST HILDRETH&amp;CHITTENDEN LOT 89</v>
      </c>
      <c r="D9284" s="1">
        <v>1356.68</v>
      </c>
    </row>
    <row r="9285" spans="1:4" x14ac:dyDescent="0.3">
      <c r="A9285" s="1" t="str">
        <f>"01021849300"</f>
        <v>01021849300</v>
      </c>
      <c r="B9285" s="1" t="str">
        <f>"NORTH COMMUNITY COUNSELING CENTERS INC"</f>
        <v>NORTH COMMUNITY COUNSELING CENTERS INC</v>
      </c>
      <c r="C9285" s="1" t="str">
        <f>"CLEVELAND PRO PARK CONDO PH 3 2ND AMD UNIT H"</f>
        <v>CLEVELAND PRO PARK CONDO PH 3 2ND AMD UNIT H</v>
      </c>
      <c r="D9285" s="1">
        <v>6271.82</v>
      </c>
    </row>
    <row r="9286" spans="1:4" x14ac:dyDescent="0.3">
      <c r="A9286" s="1" t="str">
        <f>"01015241600"</f>
        <v>01015241600</v>
      </c>
      <c r="B9286" s="1" t="str">
        <f>"NORTH JAMES ROGER"</f>
        <v>NORTH JAMES ROGER</v>
      </c>
      <c r="C9286" s="1" t="str">
        <f>"LINWORTH RD DOTSON SUB LOT 3"</f>
        <v>LINWORTH RD DOTSON SUB LOT 3</v>
      </c>
      <c r="D9286" s="1">
        <v>276.43</v>
      </c>
    </row>
    <row r="9287" spans="1:4" x14ac:dyDescent="0.3">
      <c r="A9287" s="1" t="str">
        <f>"07000747600"</f>
        <v>07000747600</v>
      </c>
      <c r="B9287" s="1" t="str">
        <f>"NORTH LAKE DEVELOPMENT LLC"</f>
        <v>NORTH LAKE DEVELOPMENT LLC</v>
      </c>
      <c r="C9287" s="1" t="str">
        <f>"3051 NORTHWEST BLVD BLVD .1988 ACRES R 19 T 1 1 4 SEC 4"</f>
        <v>3051 NORTHWEST BLVD BLVD .1988 ACRES R 19 T 1 1 4 SEC 4</v>
      </c>
      <c r="D9287" s="1">
        <v>557.09</v>
      </c>
    </row>
    <row r="9288" spans="1:4" x14ac:dyDescent="0.3">
      <c r="A9288" s="1" t="str">
        <f>"01002550300"</f>
        <v>01002550300</v>
      </c>
      <c r="B9288" s="1" t="str">
        <f>"NORTH OF BROAD LLC"</f>
        <v>NORTH OF BROAD LLC</v>
      </c>
      <c r="C9288" s="1" t="str">
        <f>"GUILFORD PARK LOT 93 "</f>
        <v xml:space="preserve">GUILFORD PARK LOT 93 </v>
      </c>
      <c r="D9288" s="1">
        <v>2434.2600000000002</v>
      </c>
    </row>
    <row r="9289" spans="1:4" x14ac:dyDescent="0.3">
      <c r="A9289" s="1" t="str">
        <f>"27300898500"</f>
        <v>27300898500</v>
      </c>
      <c r="B9289" s="1" t="str">
        <f>"NORTH WESTERVILLE DEVELOPMENT LLC"</f>
        <v>NORTH WESTERVILLE DEVELOPMENT LLC</v>
      </c>
      <c r="C9289" s="1" t="str">
        <f>"VILLAGE AT INVERNESS PRO OFFICE CONDO 2ND AMD UNIT 7239B"</f>
        <v>VILLAGE AT INVERNESS PRO OFFICE CONDO 2ND AMD UNIT 7239B</v>
      </c>
      <c r="D9289" s="1">
        <v>2371.2600000000002</v>
      </c>
    </row>
    <row r="9290" spans="1:4" x14ac:dyDescent="0.3">
      <c r="A9290" s="1" t="str">
        <f>"01003699100"</f>
        <v>01003699100</v>
      </c>
      <c r="B9290" s="1" t="str">
        <f>"NORTHERN FAMILY PROPERTIES LLC"</f>
        <v>NORTHERN FAMILY PROPERTIES LLC</v>
      </c>
      <c r="C9290" s="1" t="str">
        <f>"380 HOSACK ST RR OF PARSONS 20TH CENTURY LOT 126"</f>
        <v>380 HOSACK ST RR OF PARSONS 20TH CENTURY LOT 126</v>
      </c>
      <c r="D9290" s="1">
        <v>721.7</v>
      </c>
    </row>
    <row r="9291" spans="1:4" x14ac:dyDescent="0.3">
      <c r="A9291" s="1" t="str">
        <f>"18000487200"</f>
        <v>18000487200</v>
      </c>
      <c r="B9291" s="1" t="str">
        <f>"NORTHERN FAMILY PROPERTIES LLC"</f>
        <v>NORTHERN FAMILY PROPERTIES LLC</v>
      </c>
      <c r="C9291" s="1" t="str">
        <f>"MADISON DR BLACKLICK ESTATES 8 LOT 1569"</f>
        <v>MADISON DR BLACKLICK ESTATES 8 LOT 1569</v>
      </c>
      <c r="D9291" s="1">
        <v>1588.12</v>
      </c>
    </row>
    <row r="9292" spans="1:4" x14ac:dyDescent="0.3">
      <c r="A9292" s="1" t="str">
        <f>"01005530900"</f>
        <v>01005530900</v>
      </c>
      <c r="B9292" s="1" t="str">
        <f>"NORTHERN FAMILY PROPERTIES LLC"</f>
        <v>NORTHERN FAMILY PROPERTIES LLC</v>
      </c>
      <c r="C9292" s="1" t="str">
        <f>"77 N YALE AVE FRANKLIN 2ND LOT 61"</f>
        <v>77 N YALE AVE FRANKLIN 2ND LOT 61</v>
      </c>
      <c r="D9292" s="1">
        <v>1942.53</v>
      </c>
    </row>
    <row r="9293" spans="1:4" x14ac:dyDescent="0.3">
      <c r="A9293" s="1" t="str">
        <f>"01011288400"</f>
        <v>01011288400</v>
      </c>
      <c r="B9293" s="1" t="str">
        <f>"NORTHERN FAMILY PROPERTIES LLC"</f>
        <v>NORTHERN FAMILY PROPERTIES LLC</v>
      </c>
      <c r="C9293" s="1" t="str">
        <f>"GROVEPORT PIKE STAMBAUGH LOT 8"</f>
        <v>GROVEPORT PIKE STAMBAUGH LOT 8</v>
      </c>
      <c r="D9293" s="1">
        <v>419.69</v>
      </c>
    </row>
    <row r="9294" spans="1:4" x14ac:dyDescent="0.3">
      <c r="A9294" s="1" t="str">
        <f>"01004545400"</f>
        <v>01004545400</v>
      </c>
      <c r="B9294" s="1" t="str">
        <f>"NORTHERN MAYNARD LLC"</f>
        <v>NORTHERN MAYNARD LLC</v>
      </c>
      <c r="C9294" s="1" t="str">
        <f>"1390-2-4 E MAIN ST 411 LOEFFLER NELSON LOT 2-168"</f>
        <v>1390-2-4 E MAIN ST 411 LOEFFLER NELSON LOT 2-168</v>
      </c>
      <c r="D9294" s="1">
        <v>5898.93</v>
      </c>
    </row>
    <row r="9295" spans="1:4" x14ac:dyDescent="0.3">
      <c r="A9295" s="1" t="str">
        <f>"01015033700"</f>
        <v>01015033700</v>
      </c>
      <c r="B9295" s="1" t="str">
        <f>"NORTHERN PLACE LLC"</f>
        <v>NORTHERN PLACE LLC</v>
      </c>
      <c r="C9295" s="1" t="str">
        <f>"BELCHER DR DAVIS MORSE RD 1 LOT 5"</f>
        <v>BELCHER DR DAVIS MORSE RD 1 LOT 5</v>
      </c>
      <c r="D9295" s="1">
        <v>4805.29</v>
      </c>
    </row>
    <row r="9296" spans="1:4" x14ac:dyDescent="0.3">
      <c r="A9296" s="1" t="str">
        <f>"22000181200"</f>
        <v>22000181200</v>
      </c>
      <c r="B9296" s="1" t="str">
        <f>"NORTHWEST AXIS LLC"</f>
        <v>NORTHWEST AXIS LLC</v>
      </c>
      <c r="C9296" s="1" t="str">
        <f>"SMOTHERS RD R16 T2 1/4T2 5.001 ACRE LOT 5"</f>
        <v>SMOTHERS RD R16 T2 1/4T2 5.001 ACRE LOT 5</v>
      </c>
      <c r="D9296" s="1">
        <v>4417.47</v>
      </c>
    </row>
    <row r="9297" spans="1:4" x14ac:dyDescent="0.3">
      <c r="A9297" s="1" t="str">
        <f>"60029941800"</f>
        <v>60029941800</v>
      </c>
      <c r="B9297" s="1" t="str">
        <f>"NORTHWOLD 2620 LLC"</f>
        <v>NORTHWOLD 2620 LLC</v>
      </c>
      <c r="C9297" s="1" t="str">
        <f>"MINERVA AVE PT VAC BEAUMONT AVE 0.115 ACRE"</f>
        <v>MINERVA AVE PT VAC BEAUMONT AVE 0.115 ACRE</v>
      </c>
      <c r="D9297" s="1">
        <v>409.94</v>
      </c>
    </row>
    <row r="9298" spans="1:4" x14ac:dyDescent="0.3">
      <c r="A9298" s="1" t="str">
        <f>"01000081800"</f>
        <v>01000081800</v>
      </c>
      <c r="B9298" s="1" t="str">
        <f>"NORTON SOUTH HOLDINGS LLC"</f>
        <v>NORTON SOUTH HOLDINGS LLC</v>
      </c>
      <c r="C9298" s="1" t="str">
        <f>"45-47 N GIFT ST OLDING LOT 175"</f>
        <v>45-47 N GIFT ST OLDING LOT 175</v>
      </c>
      <c r="D9298" s="1">
        <v>1437.12</v>
      </c>
    </row>
    <row r="9299" spans="1:4" x14ac:dyDescent="0.3">
      <c r="A9299" s="1" t="str">
        <f>"23000140700"</f>
        <v>23000140700</v>
      </c>
      <c r="B9299" s="1" t="str">
        <f>"NORWOOD CYNTHIA"</f>
        <v>NORWOOD CYNTHIA</v>
      </c>
      <c r="C9299" s="1" t="str">
        <f>"WM SCOTT RD OQ 640 ENTRY 6309 38.866 ACRES"</f>
        <v>WM SCOTT RD OQ 640 ENTRY 6309 38.866 ACRES</v>
      </c>
      <c r="D9299" s="1">
        <v>9</v>
      </c>
    </row>
    <row r="9300" spans="1:4" x14ac:dyDescent="0.3">
      <c r="A9300" s="1" t="str">
        <f>"01008738500"</f>
        <v>01008738500</v>
      </c>
      <c r="B9300" s="1" t="str">
        <f>"NOSCHANG CARA K, LOECHLER MATTHEW R"</f>
        <v>NOSCHANG CARA K, LOECHLER MATTHEW R</v>
      </c>
      <c r="C9300" s="1" t="str">
        <f>"N BROADWAY BROADWAY VILLA LOT 5-6-7"</f>
        <v>N BROADWAY BROADWAY VILLA LOT 5-6-7</v>
      </c>
      <c r="D9300" s="1">
        <v>412.09</v>
      </c>
    </row>
    <row r="9301" spans="1:4" x14ac:dyDescent="0.3">
      <c r="A9301" s="1" t="str">
        <f>"18400027300"</f>
        <v>18400027300</v>
      </c>
      <c r="B9301" s="1" t="str">
        <f>"NOTE ANTHONY W, NOTE CAROL A"</f>
        <v>NOTE ANTHONY W, NOTE CAROL A</v>
      </c>
      <c r="C9301" s="1" t="str">
        <f>"COLUMBUS ST ALL L 32 &amp; 6FT ES OF L 33 DOVES 32-33"</f>
        <v>COLUMBUS ST ALL L 32 &amp; 6FT ES OF L 33 DOVES 32-33</v>
      </c>
      <c r="D9301" s="1">
        <v>376.55</v>
      </c>
    </row>
    <row r="9302" spans="1:4" x14ac:dyDescent="0.3">
      <c r="A9302" s="1" t="str">
        <f>"01002819500"</f>
        <v>01002819500</v>
      </c>
      <c r="B9302" s="1" t="str">
        <f>"NOVOGRODER GEORGE"</f>
        <v>NOVOGRODER GEORGE</v>
      </c>
      <c r="C9302" s="1" t="str">
        <f>"4250 N HIGH ST R18 T1 1/4T2 1.080 ACRES"</f>
        <v>4250 N HIGH ST R18 T1 1/4T2 1.080 ACRES</v>
      </c>
      <c r="D9302" s="1">
        <v>11606.3</v>
      </c>
    </row>
    <row r="9303" spans="1:4" x14ac:dyDescent="0.3">
      <c r="A9303" s="1" t="str">
        <f>"06000029400"</f>
        <v>06000029400</v>
      </c>
      <c r="B9303" s="1" t="str">
        <f>"NOVOSELSKI MICHAEL R, NOVOSELSKI CHRISTINA L"</f>
        <v>NOVOSELSKI MICHAEL R, NOVOSELSKI CHRISTINA L</v>
      </c>
      <c r="C9303" s="1" t="str">
        <f>"E BRYDEN RD 50 FT E MED PT OF EACH HIGHLAND TER 40-41"</f>
        <v>E BRYDEN RD 50 FT E MED PT OF EACH HIGHLAND TER 40-41</v>
      </c>
      <c r="D9303" s="1">
        <v>103.26</v>
      </c>
    </row>
    <row r="9304" spans="1:4" x14ac:dyDescent="0.3">
      <c r="A9304" s="1" t="str">
        <f>"01024651400"</f>
        <v>01024651400</v>
      </c>
      <c r="B9304" s="1" t="str">
        <f>"NOWLIN WILLIAM E"</f>
        <v>NOWLIN WILLIAM E</v>
      </c>
      <c r="C9304" s="1" t="str">
        <f>"MCNAUGHTEN GROVE LN MCNAUGHTEN GROVE LOT 49"</f>
        <v>MCNAUGHTEN GROVE LN MCNAUGHTEN GROVE LOT 49</v>
      </c>
      <c r="D9304" s="1">
        <v>3932.67</v>
      </c>
    </row>
    <row r="9305" spans="1:4" x14ac:dyDescent="0.3">
      <c r="A9305" s="1" t="str">
        <f>"01002675000"</f>
        <v>01002675000</v>
      </c>
      <c r="B9305" s="1" t="str">
        <f>"NRHQ LLC"</f>
        <v>NRHQ LLC</v>
      </c>
      <c r="C9305" s="1" t="str">
        <f>"111-13 SYCAMORE ST 50.42 FT FRONT ON SYCAMORE"</f>
        <v>111-13 SYCAMORE ST 50.42 FT FRONT ON SYCAMORE</v>
      </c>
      <c r="D9305" s="1">
        <v>3520.74</v>
      </c>
    </row>
    <row r="9306" spans="1:4" x14ac:dyDescent="0.3">
      <c r="A9306" s="1" t="str">
        <f>"01005503200"</f>
        <v>01005503200</v>
      </c>
      <c r="B9306" s="1" t="str">
        <f>"NRHQ LLC"</f>
        <v>NRHQ LLC</v>
      </c>
      <c r="C9306" s="1" t="str">
        <f>"405-7 E 13TH AVE DENNISON SUMMIT LOT 170"</f>
        <v>405-7 E 13TH AVE DENNISON SUMMIT LOT 170</v>
      </c>
      <c r="D9306" s="1">
        <v>2574.2199999999998</v>
      </c>
    </row>
    <row r="9307" spans="1:4" x14ac:dyDescent="0.3">
      <c r="A9307" s="1" t="str">
        <f>"01006051400"</f>
        <v>01006051400</v>
      </c>
      <c r="B9307" s="1" t="str">
        <f>"NUMEZ VILLALON FRANCISCO JAVIER"</f>
        <v>NUMEZ VILLALON FRANCISCO JAVIER</v>
      </c>
      <c r="C9307" s="1" t="str">
        <f>"1371 21ST AVE WALDMERE LOT 271"</f>
        <v>1371 21ST AVE WALDMERE LOT 271</v>
      </c>
      <c r="D9307" s="1">
        <v>335.56</v>
      </c>
    </row>
    <row r="9308" spans="1:4" x14ac:dyDescent="0.3">
      <c r="A9308" s="1" t="str">
        <f>"57023298700"</f>
        <v>57023298700</v>
      </c>
      <c r="B9308" s="1" t="str">
        <f>"NUNAMAKER KELLY"</f>
        <v>NUNAMAKER KELLY</v>
      </c>
      <c r="C9308" s="1" t="str">
        <f>"CAPE HENRY DRIVE CHESAPEAKE FARMS SECTION 3 LOT 212"</f>
        <v>CAPE HENRY DRIVE CHESAPEAKE FARMS SECTION 3 LOT 212</v>
      </c>
      <c r="D9308" s="1">
        <v>2085.1999999999998</v>
      </c>
    </row>
    <row r="9309" spans="1:4" x14ac:dyDescent="0.3">
      <c r="A9309" s="1" t="str">
        <f>"57022080600"</f>
        <v>57022080600</v>
      </c>
      <c r="B9309" s="1" t="str">
        <f>"NUNEZ BLANCA E"</f>
        <v>NUNEZ BLANCA E</v>
      </c>
      <c r="C9309" s="1" t="str">
        <f>"CHESTERVIEW DRIVE WESTCHESTER SEC 1 LOT 2"</f>
        <v>CHESTERVIEW DRIVE WESTCHESTER SEC 1 LOT 2</v>
      </c>
      <c r="D9309" s="1">
        <v>3831.03</v>
      </c>
    </row>
    <row r="9310" spans="1:4" x14ac:dyDescent="0.3">
      <c r="A9310" s="1" t="str">
        <f>"01027802000"</f>
        <v>01027802000</v>
      </c>
      <c r="B9310" s="1" t="str">
        <f>"NUNGESSER JOSH"</f>
        <v>NUNGESSER JOSH</v>
      </c>
      <c r="C9310" s="1" t="str">
        <f>"4202 WHITE SPRUCE LANE VILLAGE AT PINE GROVE SECTION 1 PART 2 LOT 6"</f>
        <v>4202 WHITE SPRUCE LANE VILLAGE AT PINE GROVE SECTION 1 PART 2 LOT 6</v>
      </c>
      <c r="D9310" s="1">
        <v>4057.01</v>
      </c>
    </row>
    <row r="9311" spans="1:4" x14ac:dyDescent="0.3">
      <c r="A9311" s="1" t="str">
        <f>"19100064000"</f>
        <v>19100064000</v>
      </c>
      <c r="B9311" s="1" t="str">
        <f>"NURRE SHERIFF"</f>
        <v>NURRE SHERIFF</v>
      </c>
      <c r="C9311" s="1" t="str">
        <f>"MISSOURI AVE LEONARD PARK 49 BLK G"</f>
        <v>MISSOURI AVE LEONARD PARK 49 BLK G</v>
      </c>
      <c r="D9311" s="1">
        <v>377.05</v>
      </c>
    </row>
    <row r="9312" spans="1:4" x14ac:dyDescent="0.3">
      <c r="A9312" s="1" t="str">
        <f>"01022094600"</f>
        <v>01022094600</v>
      </c>
      <c r="B9312" s="1" t="str">
        <f>"NURTEN INC"</f>
        <v>NURTEN INC</v>
      </c>
      <c r="C9312" s="1" t="str">
        <f>"MORSE ROAD                DAVIS MORSE ROAD          50'E&amp;WL SE LOT 1         "</f>
        <v xml:space="preserve">MORSE ROAD                DAVIS MORSE ROAD          50'E&amp;WL SE LOT 1         </v>
      </c>
      <c r="D9312" s="1">
        <v>100.99</v>
      </c>
    </row>
    <row r="9313" spans="1:4" x14ac:dyDescent="0.3">
      <c r="A9313" s="1" t="str">
        <f>"01015033300"</f>
        <v>01015033300</v>
      </c>
      <c r="B9313" s="1" t="str">
        <f>"NURTEN INC"</f>
        <v>NURTEN INC</v>
      </c>
      <c r="C9313" s="1" t="str">
        <f>"MORSE RD                  DAVIS MORSE RD 1          99'X152' NE COR LT 1     "</f>
        <v xml:space="preserve">MORSE RD                  DAVIS MORSE RD 1          99'X152' NE COR LT 1     </v>
      </c>
      <c r="D9313" s="1">
        <v>375.86</v>
      </c>
    </row>
    <row r="9314" spans="1:4" x14ac:dyDescent="0.3">
      <c r="A9314" s="1" t="str">
        <f>"07001077700"</f>
        <v>07001077700</v>
      </c>
      <c r="B9314" s="1" t="str">
        <f>"NUTTER CHARLES R, NUTTER KATHY A"</f>
        <v>NUTTER CHARLES R, NUTTER KATHY A</v>
      </c>
      <c r="C9314" s="1" t="str">
        <f>"3870 KENNY RD KENBROOK HTS EXT 2 PT 36 EXT 5FT WE"</f>
        <v>3870 KENNY RD KENBROOK HTS EXT 2 PT 36 EXT 5FT WE</v>
      </c>
      <c r="D9314" s="1">
        <v>897.04</v>
      </c>
    </row>
    <row r="9315" spans="1:4" x14ac:dyDescent="0.3">
      <c r="A9315" s="1" t="str">
        <f>"09000634000"</f>
        <v>09000634000</v>
      </c>
      <c r="B9315" s="1" t="str">
        <f>"NUTTER DENNIS J, NUTTER PHYLLIS D"</f>
        <v>NUTTER DENNIS J, NUTTER PHYLLIS D</v>
      </c>
      <c r="C9315" s="1" t="str">
        <f>"4039 VIRGINIA CIRCLE OLPP LOT 90"</f>
        <v>4039 VIRGINIA CIRCLE OLPP LOT 90</v>
      </c>
      <c r="D9315" s="1">
        <v>363.59</v>
      </c>
    </row>
    <row r="9316" spans="1:4" x14ac:dyDescent="0.3">
      <c r="A9316" s="1" t="str">
        <f>"04001773800"</f>
        <v>04001773800</v>
      </c>
      <c r="B9316" s="1" t="str">
        <f>"NUTTER TRENTON, NUTTER JULIA"</f>
        <v>NUTTER TRENTON, NUTTER JULIA</v>
      </c>
      <c r="C9316" s="1" t="str">
        <f>"HOLTON RUN SECTION 4 LOT 166"</f>
        <v>HOLTON RUN SECTION 4 LOT 166</v>
      </c>
      <c r="D9316" s="1">
        <v>83</v>
      </c>
    </row>
    <row r="9317" spans="1:4" x14ac:dyDescent="0.3">
      <c r="A9317" s="1" t="str">
        <f>"06000962000"</f>
        <v>06000962000</v>
      </c>
      <c r="B9317" s="1" t="str">
        <f>"NVR INC"</f>
        <v>NVR INC</v>
      </c>
      <c r="C9317" s="1" t="str">
        <f>"WILSON RIDGE TOWNHOME DEVELOPMENT LOT 1-D "</f>
        <v xml:space="preserve">WILSON RIDGE TOWNHOME DEVELOPMENT LOT 1-D </v>
      </c>
      <c r="D9317" s="1">
        <v>122.82</v>
      </c>
    </row>
    <row r="9318" spans="1:4" x14ac:dyDescent="0.3">
      <c r="A9318" s="1" t="str">
        <f>"06000962100"</f>
        <v>06000962100</v>
      </c>
      <c r="B9318" s="1" t="str">
        <f>"NVR INC"</f>
        <v>NVR INC</v>
      </c>
      <c r="C9318" s="1" t="str">
        <f>"WILSON RIDGE TOWNHOME DEVELOPMENT LOT 1-E "</f>
        <v xml:space="preserve">WILSON RIDGE TOWNHOME DEVELOPMENT LOT 1-E </v>
      </c>
      <c r="D9318" s="1">
        <v>122.82</v>
      </c>
    </row>
    <row r="9319" spans="1:4" x14ac:dyDescent="0.3">
      <c r="A9319" s="1" t="str">
        <f>"06000962400"</f>
        <v>06000962400</v>
      </c>
      <c r="B9319" s="1" t="str">
        <f>"NVR INC"</f>
        <v>NVR INC</v>
      </c>
      <c r="C9319" s="1" t="str">
        <f>"WILSON RIDGE TOWNHOME DEVELOPMENT LOT 2-C 0.183"</f>
        <v>WILSON RIDGE TOWNHOME DEVELOPMENT LOT 2-C 0.183</v>
      </c>
      <c r="D9319" s="1">
        <v>99.9</v>
      </c>
    </row>
    <row r="9320" spans="1:4" x14ac:dyDescent="0.3">
      <c r="A9320" s="1" t="str">
        <f>"06000962200"</f>
        <v>06000962200</v>
      </c>
      <c r="B9320" s="1" t="str">
        <f>"NVR INC"</f>
        <v>NVR INC</v>
      </c>
      <c r="C9320" s="1" t="str">
        <f>"WILSON RIDGE TOWNHOME DEVELOPMENT LOT 2-A "</f>
        <v xml:space="preserve">WILSON RIDGE TOWNHOME DEVELOPMENT LOT 2-A </v>
      </c>
      <c r="D9320" s="1">
        <v>99.9</v>
      </c>
    </row>
    <row r="9321" spans="1:4" x14ac:dyDescent="0.3">
      <c r="A9321" s="1" t="str">
        <f>"06000962300"</f>
        <v>06000962300</v>
      </c>
      <c r="B9321" s="1" t="str">
        <f>"NVR INC"</f>
        <v>NVR INC</v>
      </c>
      <c r="C9321" s="1" t="str">
        <f>"WILSON RIDGE TOWNHOME DEVELOPMENT LOT 2-B "</f>
        <v xml:space="preserve">WILSON RIDGE TOWNHOME DEVELOPMENT LOT 2-B </v>
      </c>
      <c r="D9321" s="1">
        <v>99.9</v>
      </c>
    </row>
    <row r="9322" spans="1:4" x14ac:dyDescent="0.3">
      <c r="A9322" s="1" t="str">
        <f>"06000961800"</f>
        <v>06000961800</v>
      </c>
      <c r="B9322" s="1" t="str">
        <f>"NVR INC"</f>
        <v>NVR INC</v>
      </c>
      <c r="C9322" s="1" t="str">
        <f>"WILSON RIDGE TOWNHOME DEVELOPMENT LOT 1-B "</f>
        <v xml:space="preserve">WILSON RIDGE TOWNHOME DEVELOPMENT LOT 1-B </v>
      </c>
      <c r="D9322" s="1">
        <v>122.82</v>
      </c>
    </row>
    <row r="9323" spans="1:4" x14ac:dyDescent="0.3">
      <c r="A9323" s="1" t="str">
        <f>"06000961700"</f>
        <v>06000961700</v>
      </c>
      <c r="B9323" s="1" t="str">
        <f>"NVR INC"</f>
        <v>NVR INC</v>
      </c>
      <c r="C9323" s="1" t="str">
        <f>"WILSON RIDGE TOWNHOME DEVELOPMENT LOT 1-A "</f>
        <v xml:space="preserve">WILSON RIDGE TOWNHOME DEVELOPMENT LOT 1-A </v>
      </c>
      <c r="D9323" s="1">
        <v>122.82</v>
      </c>
    </row>
    <row r="9324" spans="1:4" x14ac:dyDescent="0.3">
      <c r="A9324" s="1" t="str">
        <f>"06000961900"</f>
        <v>06000961900</v>
      </c>
      <c r="B9324" s="1" t="str">
        <f>"NVR INC"</f>
        <v>NVR INC</v>
      </c>
      <c r="C9324" s="1" t="str">
        <f>"WILSON RIDGE TOWNHOME DEVELOPMENT LOT 1-C "</f>
        <v xml:space="preserve">WILSON RIDGE TOWNHOME DEVELOPMENT LOT 1-C </v>
      </c>
      <c r="D9324" s="1">
        <v>122.82</v>
      </c>
    </row>
    <row r="9325" spans="1:4" x14ac:dyDescent="0.3">
      <c r="A9325" s="1" t="str">
        <f>"27300033300"</f>
        <v>27300033300</v>
      </c>
      <c r="B9325" s="1" t="str">
        <f>"NVS PROPERTIES 29 LLC"</f>
        <v>NVS PROPERTIES 29 LLC</v>
      </c>
      <c r="C9325" s="1" t="str">
        <f>"ASHBAUGH RD ENTRY 2545-6152 1.200 AC"</f>
        <v>ASHBAUGH RD ENTRY 2545-6152 1.200 AC</v>
      </c>
      <c r="D9325" s="1">
        <v>28960.25</v>
      </c>
    </row>
    <row r="9326" spans="1:4" x14ac:dyDescent="0.3">
      <c r="A9326" s="1" t="str">
        <f>"01015094700"</f>
        <v>01015094700</v>
      </c>
      <c r="B9326" s="1" t="str">
        <f>"NWARU STELLA U"</f>
        <v>NWARU STELLA U</v>
      </c>
      <c r="C9326" s="1" t="str">
        <f>"SHARON WOODS BLVD SHARON WOODS SEC 3 LOT 235"</f>
        <v>SHARON WOODS BLVD SHARON WOODS SEC 3 LOT 235</v>
      </c>
      <c r="D9326" s="1">
        <v>4893.8999999999996</v>
      </c>
    </row>
    <row r="9327" spans="1:4" x14ac:dyDescent="0.3">
      <c r="A9327" s="1" t="str">
        <f>"05000379100"</f>
        <v>05000379100</v>
      </c>
      <c r="B9327" s="1" t="str">
        <f>"NWOFS REAL ESTATE HOLDINGS LLC"</f>
        <v>NWOFS REAL ESTATE HOLDINGS LLC</v>
      </c>
      <c r="C9327" s="1" t="str">
        <f>"4603 LEAP COURT HILLIARD SQ. OFFICE CONDO  UNIT 1B"</f>
        <v>4603 LEAP COURT HILLIARD SQ. OFFICE CONDO  UNIT 1B</v>
      </c>
      <c r="D9327" s="1">
        <v>170.33</v>
      </c>
    </row>
    <row r="9328" spans="1:4" x14ac:dyDescent="0.3">
      <c r="A9328" s="1" t="str">
        <f>"05000379200"</f>
        <v>05000379200</v>
      </c>
      <c r="B9328" s="1" t="str">
        <f>"NWOFS REAL ESTATE HOLDINGS LLC"</f>
        <v>NWOFS REAL ESTATE HOLDINGS LLC</v>
      </c>
      <c r="C9328" s="1" t="str">
        <f>"4605 LEAP COURT HILLIARD SQ. OFFICE CONDO  UNIT 1C"</f>
        <v>4605 LEAP COURT HILLIARD SQ. OFFICE CONDO  UNIT 1C</v>
      </c>
      <c r="D9328" s="1">
        <v>171.57</v>
      </c>
    </row>
    <row r="9329" spans="1:4" x14ac:dyDescent="0.3">
      <c r="A9329" s="1" t="str">
        <f>"05000379300"</f>
        <v>05000379300</v>
      </c>
      <c r="B9329" s="1" t="str">
        <f>"NWOFS REAL ESTATE HOLDINGS LLC"</f>
        <v>NWOFS REAL ESTATE HOLDINGS LLC</v>
      </c>
      <c r="C9329" s="1" t="str">
        <f>"4607 LEAP COURT HILLIARD SQ. OFFICE CONDOMINIUM  UNIT 1D"</f>
        <v>4607 LEAP COURT HILLIARD SQ. OFFICE CONDOMINIUM  UNIT 1D</v>
      </c>
      <c r="D9329" s="1">
        <v>356.46</v>
      </c>
    </row>
    <row r="9330" spans="1:4" x14ac:dyDescent="0.3">
      <c r="A9330" s="1" t="str">
        <f>"01000243100"</f>
        <v>01000243100</v>
      </c>
      <c r="B9330" s="1" t="str">
        <f>"NY TWO INC"</f>
        <v>NY TWO INC</v>
      </c>
      <c r="C9330" s="1" t="str">
        <f>"79 N 21ST ST JOYCE &amp; SHELDON ADD LOT 29 (31' X 126)"</f>
        <v>79 N 21ST ST JOYCE &amp; SHELDON ADD LOT 29 (31' X 126)</v>
      </c>
      <c r="D9330" s="1">
        <v>4343.87</v>
      </c>
    </row>
    <row r="9331" spans="1:4" x14ac:dyDescent="0.3">
      <c r="A9331" s="1" t="str">
        <f>"02500241400"</f>
        <v>02500241400</v>
      </c>
      <c r="B9331" s="1" t="str">
        <f>"NYE DANIEL H, NYE KRISTI E"</f>
        <v>NYE DANIEL H, NYE KRISTI E</v>
      </c>
      <c r="C9331" s="1" t="str">
        <f>"361 CANFIELD DRIVE ROYAL MANOR I 585 "</f>
        <v xml:space="preserve">361 CANFIELD DRIVE ROYAL MANOR I 585 </v>
      </c>
      <c r="D9331" s="1">
        <v>666.89</v>
      </c>
    </row>
    <row r="9332" spans="1:4" x14ac:dyDescent="0.3">
      <c r="A9332" s="1" t="str">
        <f>"61021032500"</f>
        <v>61021032500</v>
      </c>
      <c r="B9332" s="1" t="str">
        <f>"NYONGESA ZAKARIA N"</f>
        <v>NYONGESA ZAKARIA N</v>
      </c>
      <c r="C9332" s="1" t="str">
        <f>"MAROON COURT SMOKY RIDGE VILLAGE LOT 7"</f>
        <v>MAROON COURT SMOKY RIDGE VILLAGE LOT 7</v>
      </c>
      <c r="D9332" s="1">
        <v>5566.06</v>
      </c>
    </row>
    <row r="9333" spans="1:4" x14ac:dyDescent="0.3">
      <c r="A9333" s="1" t="str">
        <f>"01021170400"</f>
        <v>01021170400</v>
      </c>
      <c r="B9333" s="1" t="str">
        <f>"O &amp; S NEW &amp; USED TIRES LLC"</f>
        <v>O &amp; S NEW &amp; USED TIRES LLC</v>
      </c>
      <c r="C9333" s="1" t="str">
        <f>"1620 STELZER RD R17 T1 1/4T4 0.335 ACRE"</f>
        <v>1620 STELZER RD R17 T1 1/4T4 0.335 ACRE</v>
      </c>
      <c r="D9333" s="1">
        <v>1495.35</v>
      </c>
    </row>
    <row r="9334" spans="1:4" x14ac:dyDescent="0.3">
      <c r="A9334" s="1" t="str">
        <f>"18500009800"</f>
        <v>18500009800</v>
      </c>
      <c r="B9334" s="1" t="str">
        <f>"O R WOODYARD CO"</f>
        <v>O R WOODYARD CO</v>
      </c>
      <c r="C9334" s="1" t="str">
        <f>"MAIN ST OUT 23  "</f>
        <v xml:space="preserve">MAIN ST OUT 23  </v>
      </c>
      <c r="D9334" s="1">
        <v>2.2000000000000002</v>
      </c>
    </row>
    <row r="9335" spans="1:4" x14ac:dyDescent="0.3">
      <c r="A9335" s="1" t="str">
        <f>"01002088500"</f>
        <v>01002088500</v>
      </c>
      <c r="B9335" s="1" t="str">
        <f>"OB SOUTH GRANT LLC"</f>
        <v>OB SOUTH GRANT LLC</v>
      </c>
      <c r="C9335" s="1" t="str">
        <f>"262 S GRANT AVE PHELANS LOT 1"</f>
        <v>262 S GRANT AVE PHELANS LOT 1</v>
      </c>
      <c r="D9335" s="1">
        <v>950.74</v>
      </c>
    </row>
    <row r="9336" spans="1:4" x14ac:dyDescent="0.3">
      <c r="A9336" s="1" t="str">
        <f>"01022676400"</f>
        <v>01022676400</v>
      </c>
      <c r="B9336" s="1" t="str">
        <f>"OBAS KENFLORE"</f>
        <v>OBAS KENFLORE</v>
      </c>
      <c r="C9336" s="1" t="str">
        <f>"RAPHAEL DRIVE WALNUT VIEW SEC 3 LOT 19"</f>
        <v>RAPHAEL DRIVE WALNUT VIEW SEC 3 LOT 19</v>
      </c>
      <c r="D9336" s="1">
        <v>187.34</v>
      </c>
    </row>
    <row r="9337" spans="1:4" x14ac:dyDescent="0.3">
      <c r="A9337" s="1" t="str">
        <f>"17000178900"</f>
        <v>17000178900</v>
      </c>
      <c r="B9337" s="1" t="str">
        <f>"OBERDORFER REBECCA"</f>
        <v>OBERDORFER REBECCA</v>
      </c>
      <c r="C9337" s="1" t="str">
        <f>"DARLING RD R16T1 1/4T2 5.557 AC LOT 16"</f>
        <v>DARLING RD R16T1 1/4T2 5.557 AC LOT 16</v>
      </c>
      <c r="D9337" s="1">
        <v>9312.7800000000007</v>
      </c>
    </row>
    <row r="9338" spans="1:4" x14ac:dyDescent="0.3">
      <c r="A9338" s="1" t="str">
        <f>"01004173800"</f>
        <v>01004173800</v>
      </c>
      <c r="B9338" s="1" t="str">
        <f>"OBM HQ LLC"</f>
        <v>OBM HQ LLC</v>
      </c>
      <c r="C9338" s="1" t="str">
        <f>"N HARTFORD AVE CAPUTOS 1.900 ACRES"</f>
        <v>N HARTFORD AVE CAPUTOS 1.900 ACRES</v>
      </c>
      <c r="D9338" s="1">
        <v>59450.81</v>
      </c>
    </row>
    <row r="9339" spans="1:4" x14ac:dyDescent="0.3">
      <c r="A9339" s="1" t="str">
        <f>"53024551300"</f>
        <v>53024551300</v>
      </c>
      <c r="B9339" s="1" t="str">
        <f>"OBRIEN ROCK EDWARD TTEE"</f>
        <v>OBRIEN ROCK EDWARD TTEE</v>
      </c>
      <c r="C9339" s="1" t="str">
        <f>"WATERFORD HARBOUR CONDOMINIUM 10TH AMD BLDG 36 UNIT 3914"</f>
        <v>WATERFORD HARBOUR CONDOMINIUM 10TH AMD BLDG 36 UNIT 3914</v>
      </c>
      <c r="D9339" s="1">
        <v>2651.58</v>
      </c>
    </row>
    <row r="9340" spans="1:4" x14ac:dyDescent="0.3">
      <c r="A9340" s="1" t="str">
        <f>"56022644700"</f>
        <v>56022644700</v>
      </c>
      <c r="B9340" s="1" t="str">
        <f>"OBRIEN TERRI"</f>
        <v>OBRIEN TERRI</v>
      </c>
      <c r="C9340" s="1" t="str">
        <f>"BRITTANY OAKS CONDOMINIUM 1ST AMD UNIT 2658"</f>
        <v>BRITTANY OAKS CONDOMINIUM 1ST AMD UNIT 2658</v>
      </c>
      <c r="D9340" s="1">
        <v>1898.99</v>
      </c>
    </row>
    <row r="9341" spans="1:4" x14ac:dyDescent="0.3">
      <c r="A9341" s="1" t="str">
        <f>"15200085700"</f>
        <v>15200085700</v>
      </c>
      <c r="B9341" s="1" t="str">
        <f>"OBRYAN LAVINA A, OBRYAN HARRY"</f>
        <v>OBRYAN LAVINA A, OBRYAN HARRY</v>
      </c>
      <c r="C9341" s="1" t="str">
        <f>"WILLIAMS RD R22 T4 SEC13 0.519 ACRE"</f>
        <v>WILLIAMS RD R22 T4 SEC13 0.519 ACRE</v>
      </c>
      <c r="D9341" s="1">
        <v>3011.78</v>
      </c>
    </row>
    <row r="9342" spans="1:4" x14ac:dyDescent="0.3">
      <c r="A9342" s="1" t="str">
        <f>"13000673200"</f>
        <v>13000673200</v>
      </c>
      <c r="B9342" s="1" t="str">
        <f>"OCHOA CECILIA, GARCIA ISIDRO MORALES"</f>
        <v>OCHOA CECILIA, GARCIA ISIDRO MORALES</v>
      </c>
      <c r="C9342" s="1" t="str">
        <f>"1992 ORMOND AVE LOT 211 ELMORE "</f>
        <v xml:space="preserve">1992 ORMOND AVE LOT 211 ELMORE </v>
      </c>
      <c r="D9342" s="1">
        <v>1780.1</v>
      </c>
    </row>
    <row r="9343" spans="1:4" x14ac:dyDescent="0.3">
      <c r="A9343" s="1" t="str">
        <f>"01010176200"</f>
        <v>01010176200</v>
      </c>
      <c r="B9343" s="1" t="str">
        <f>"OCHOA GERARDO, OCHOA FREGOSO XITLALY ADELENA"</f>
        <v>OCHOA GERARDO, OCHOA FREGOSO XITLALY ADELENA</v>
      </c>
      <c r="C9343" s="1" t="str">
        <f>"MARY AVE MIRIAM 2 LOT 20 BLK 6"</f>
        <v>MARY AVE MIRIAM 2 LOT 20 BLK 6</v>
      </c>
      <c r="D9343" s="1">
        <v>805.41</v>
      </c>
    </row>
    <row r="9344" spans="1:4" x14ac:dyDescent="0.3">
      <c r="A9344" s="1" t="str">
        <f>"07000955100"</f>
        <v>07000955100</v>
      </c>
      <c r="B9344" s="1" t="str">
        <f>"OCHS MARK A"</f>
        <v>OCHS MARK A</v>
      </c>
      <c r="C9344" s="1" t="str">
        <f>"2180 MIDDLESEX RD MIDDLESEX PLACE 1 BLK 1"</f>
        <v>2180 MIDDLESEX RD MIDDLESEX PLACE 1 BLK 1</v>
      </c>
      <c r="D9344" s="1">
        <v>5629.48</v>
      </c>
    </row>
    <row r="9345" spans="1:4" x14ac:dyDescent="0.3">
      <c r="A9345" s="1" t="str">
        <f>"27300485600"</f>
        <v>27300485600</v>
      </c>
      <c r="B9345" s="1" t="str">
        <f>"OCONNOR JAMES J, OCONNOR REBECCA W"</f>
        <v>OCONNOR JAMES J, OCONNOR REBECCA W</v>
      </c>
      <c r="C9345" s="1" t="str">
        <f>"INNISFREE LANE DUBLINSHIRE SEC 2 LOT 163"</f>
        <v>INNISFREE LANE DUBLINSHIRE SEC 2 LOT 163</v>
      </c>
      <c r="D9345" s="1">
        <v>548.09</v>
      </c>
    </row>
    <row r="9346" spans="1:4" x14ac:dyDescent="0.3">
      <c r="A9346" s="1" t="str">
        <f>"01005139600"</f>
        <v>01005139600</v>
      </c>
      <c r="B9346" s="1" t="str">
        <f>"OCONNOR SAMMY A, LASHLEY DARLENE"</f>
        <v>OCONNOR SAMMY A, LASHLEY DARLENE</v>
      </c>
      <c r="C9346" s="1" t="str">
        <f>"1321 GILBERT ST HOMEVILLE LOT 32-33"</f>
        <v>1321 GILBERT ST HOMEVILLE LOT 32-33</v>
      </c>
      <c r="D9346" s="1">
        <v>3169.03</v>
      </c>
    </row>
    <row r="9347" spans="1:4" x14ac:dyDescent="0.3">
      <c r="A9347" s="1" t="str">
        <f>"06000575100"</f>
        <v>06000575100</v>
      </c>
      <c r="B9347" s="1" t="str">
        <f>"OCTA HOLDINGS LLC"</f>
        <v>OCTA HOLDINGS LLC</v>
      </c>
      <c r="C9347" s="1" t="str">
        <f>"6436 TAMAR COURT EASTSHIRE LOT 92"</f>
        <v>6436 TAMAR COURT EASTSHIRE LOT 92</v>
      </c>
      <c r="D9347" s="1">
        <v>2267.5</v>
      </c>
    </row>
    <row r="9348" spans="1:4" x14ac:dyDescent="0.3">
      <c r="A9348" s="1" t="str">
        <f>"16000311200"</f>
        <v>16000311200</v>
      </c>
      <c r="B9348" s="1" t="str">
        <f>"OCTOBER NIGHT LLC"</f>
        <v>OCTOBER NIGHT LLC</v>
      </c>
      <c r="C9348" s="1" t="str">
        <f>"DYER RD M JEANNETTE MCDOWELL PT LOT 6 (0.980 ACRE)"</f>
        <v>DYER RD M JEANNETTE MCDOWELL PT LOT 6 (0.980 ACRE)</v>
      </c>
      <c r="D9348" s="1">
        <v>324.67</v>
      </c>
    </row>
    <row r="9349" spans="1:4" x14ac:dyDescent="0.3">
      <c r="A9349" s="1" t="str">
        <f>"01014316800"</f>
        <v>01014316800</v>
      </c>
      <c r="B9349" s="1" t="str">
        <f>"ODANIEL MARVIN S TTEE, ODANIEL PATRICIA L TTEE"</f>
        <v>ODANIEL MARVIN S TTEE, ODANIEL PATRICIA L TTEE</v>
      </c>
      <c r="C9349" s="1" t="str">
        <f>"3588 FLORIAN DR BRUNSWICK ESTATES 3 L 49"</f>
        <v>3588 FLORIAN DR BRUNSWICK ESTATES 3 L 49</v>
      </c>
      <c r="D9349" s="1">
        <v>323.01</v>
      </c>
    </row>
    <row r="9350" spans="1:4" x14ac:dyDescent="0.3">
      <c r="A9350" s="1" t="str">
        <f>"01014721800"</f>
        <v>01014721800</v>
      </c>
      <c r="B9350" s="1" t="str">
        <f>"ODC FINANCIAL CORP"</f>
        <v>ODC FINANCIAL CORP</v>
      </c>
      <c r="C9350" s="1" t="str">
        <f>"EXECUTIVE PARK LOT 3 "</f>
        <v xml:space="preserve">EXECUTIVE PARK LOT 3 </v>
      </c>
      <c r="D9350" s="1">
        <v>32911.89</v>
      </c>
    </row>
    <row r="9351" spans="1:4" x14ac:dyDescent="0.3">
      <c r="A9351" s="1" t="str">
        <f>"11000232400"</f>
        <v>11000232400</v>
      </c>
      <c r="B9351" s="1" t="str">
        <f>"ODEDELE BUSOLA OLAYODE"</f>
        <v>ODEDELE BUSOLA OLAYODE</v>
      </c>
      <c r="C9351" s="1" t="str">
        <f>"BROOKLYN RD BROOKLYN HTS 59 "</f>
        <v xml:space="preserve">BROOKLYN RD BROOKLYN HTS 59 </v>
      </c>
      <c r="D9351" s="1">
        <v>907.2</v>
      </c>
    </row>
    <row r="9352" spans="1:4" x14ac:dyDescent="0.3">
      <c r="A9352" s="1" t="str">
        <f>"15000204900"</f>
        <v>15000204900</v>
      </c>
      <c r="B9352" s="1" t="str">
        <f>"O'DELL STEPHEN DENNIS"</f>
        <v>O'DELL STEPHEN DENNIS</v>
      </c>
      <c r="C9352" s="1" t="str">
        <f>"5045 LINDEL DR HAMILTON MEADOWS 3 LOT 427"</f>
        <v>5045 LINDEL DR HAMILTON MEADOWS 3 LOT 427</v>
      </c>
      <c r="D9352" s="1">
        <v>4536.63</v>
      </c>
    </row>
    <row r="9353" spans="1:4" x14ac:dyDescent="0.3">
      <c r="A9353" s="1" t="str">
        <f>"27300275400"</f>
        <v>27300275400</v>
      </c>
      <c r="B9353" s="1" t="str">
        <f>"ODONNELL ANDREW"</f>
        <v>ODONNELL ANDREW</v>
      </c>
      <c r="C9353" s="1" t="str">
        <f>"6941 DUBLIN VILLAGE DUBLIN VILLAGE LOT 47"</f>
        <v>6941 DUBLIN VILLAGE DUBLIN VILLAGE LOT 47</v>
      </c>
      <c r="D9353" s="1">
        <v>2918.26</v>
      </c>
    </row>
    <row r="9354" spans="1:4" x14ac:dyDescent="0.3">
      <c r="A9354" s="1" t="str">
        <f>"27300923600"</f>
        <v>27300923600</v>
      </c>
      <c r="B9354" s="1" t="str">
        <f>"O'DONNELL DAVID TTEE, O'DONNELL CRISTINA TTEE"</f>
        <v>O'DONNELL DAVID TTEE, O'DONNELL CRISTINA TTEE</v>
      </c>
      <c r="C9354" s="1" t="str">
        <f>"SIXPENNY CIRCLE WEDGEWOOD HILLS LOT 81"</f>
        <v>SIXPENNY CIRCLE WEDGEWOOD HILLS LOT 81</v>
      </c>
      <c r="D9354" s="1">
        <v>3052.82</v>
      </c>
    </row>
    <row r="9355" spans="1:4" x14ac:dyDescent="0.3">
      <c r="A9355" s="1" t="str">
        <f>"17000302600"</f>
        <v>17000302600</v>
      </c>
      <c r="B9355" s="1" t="str">
        <f>"ODONNELL KEVIN J, ODONNELL SUSAN L"</f>
        <v>ODONNELL KEVIN J, ODONNELL SUSAN L</v>
      </c>
      <c r="C9355" s="1" t="str">
        <f>"JEFFERSON VILLAGE CONDOMINIUM 3RD AMD UNIT 36"</f>
        <v>JEFFERSON VILLAGE CONDOMINIUM 3RD AMD UNIT 36</v>
      </c>
      <c r="D9355" s="1">
        <v>5848.26</v>
      </c>
    </row>
    <row r="9356" spans="1:4" x14ac:dyDescent="0.3">
      <c r="A9356" s="1" t="str">
        <f>"07000609600"</f>
        <v>07000609600</v>
      </c>
      <c r="B9356" s="1" t="str">
        <f>"ODOR LINDA L"</f>
        <v>ODOR LINDA L</v>
      </c>
      <c r="C9356" s="1" t="str">
        <f>"RIDGECLIFF ROAD SCIOTANGY HTS AMD LT 175-176&amp;PT VAC AL"</f>
        <v>RIDGECLIFF ROAD SCIOTANGY HTS AMD LT 175-176&amp;PT VAC AL</v>
      </c>
      <c r="D9356" s="1">
        <v>312.36</v>
      </c>
    </row>
    <row r="9357" spans="1:4" x14ac:dyDescent="0.3">
      <c r="A9357" s="1" t="str">
        <f>"11300215100"</f>
        <v>11300215100</v>
      </c>
      <c r="B9357" s="1" t="str">
        <f>"OEHLMANN ANNA MARIE, LANDERS BRITTANY M"</f>
        <v>OEHLMANN ANNA MARIE, LANDERS BRITTANY M</v>
      </c>
      <c r="C9357" s="1" t="str">
        <f>"MINERVA PARK PHASE 1 LOT 40"</f>
        <v>MINERVA PARK PHASE 1 LOT 40</v>
      </c>
      <c r="D9357" s="1">
        <v>432.65</v>
      </c>
    </row>
    <row r="9358" spans="1:4" x14ac:dyDescent="0.3">
      <c r="A9358" s="1" t="str">
        <f>"01004399100"</f>
        <v>01004399100</v>
      </c>
      <c r="B9358" s="1" t="str">
        <f>"OESTREICHER FRANK J JR, OESTREICHER MARY E"</f>
        <v>OESTREICHER FRANK J JR, OESTREICHER MARY E</v>
      </c>
      <c r="C9358" s="1" t="str">
        <f>"292 94 N WARREN AVE HILL CREST LOT 137"</f>
        <v>292 94 N WARREN AVE HILL CREST LOT 137</v>
      </c>
      <c r="D9358" s="1">
        <v>2832.31</v>
      </c>
    </row>
    <row r="9359" spans="1:4" x14ac:dyDescent="0.3">
      <c r="A9359" s="1" t="str">
        <f>"01001493800"</f>
        <v>01001493800</v>
      </c>
      <c r="B9359" s="1" t="str">
        <f>"OESTREICHER FRANK J JR, OESTREICHER MARY E"</f>
        <v>OESTREICHER FRANK J JR, OESTREICHER MARY E</v>
      </c>
      <c r="C9359" s="1" t="str">
        <f>"207 N WHEATLAND AVE GLENVIEW HTS LOT 175"</f>
        <v>207 N WHEATLAND AVE GLENVIEW HTS LOT 175</v>
      </c>
      <c r="D9359" s="1">
        <v>1304.55</v>
      </c>
    </row>
    <row r="9360" spans="1:4" x14ac:dyDescent="0.3">
      <c r="A9360" s="1" t="str">
        <f>"05000036100"</f>
        <v>05000036100</v>
      </c>
      <c r="B9360" s="1" t="str">
        <f>"OFF CENTER LLC"</f>
        <v>OFF CENTER LLC</v>
      </c>
      <c r="C9360" s="1" t="str">
        <f>"5286 CENTER ST LOT 106 "</f>
        <v xml:space="preserve">5286 CENTER ST LOT 106 </v>
      </c>
      <c r="D9360" s="1">
        <v>2350.9299999999998</v>
      </c>
    </row>
    <row r="9361" spans="1:4" x14ac:dyDescent="0.3">
      <c r="A9361" s="1" t="str">
        <f>"05000234200"</f>
        <v>05000234200</v>
      </c>
      <c r="B9361" s="1" t="str">
        <f>"OFF CENTER LLC"</f>
        <v>OFF CENTER LLC</v>
      </c>
      <c r="C9361" s="1" t="str">
        <f>"CENTER ST 24FT NS LOT 107 "</f>
        <v xml:space="preserve">CENTER ST 24FT NS LOT 107 </v>
      </c>
      <c r="D9361" s="1">
        <v>299.57</v>
      </c>
    </row>
    <row r="9362" spans="1:4" x14ac:dyDescent="0.3">
      <c r="A9362" s="1" t="str">
        <f>"01009352800"</f>
        <v>01009352800</v>
      </c>
      <c r="B9362" s="1" t="str">
        <f>"OGDEN JUSTIN"</f>
        <v>OGDEN JUSTIN</v>
      </c>
      <c r="C9362" s="1" t="str">
        <f>"MELROSE AVE 779 ALL 45&amp;2FT ES 46 WEBER PK 1 LOT 45-46"</f>
        <v>MELROSE AVE 779 ALL 45&amp;2FT ES 46 WEBER PK 1 LOT 45-46</v>
      </c>
      <c r="D9362" s="1">
        <v>1115.44</v>
      </c>
    </row>
    <row r="9363" spans="1:4" x14ac:dyDescent="0.3">
      <c r="A9363" s="1" t="str">
        <f>"08000403900"</f>
        <v>08000403900</v>
      </c>
      <c r="B9363" s="1" t="str">
        <f>"OGILBEE FRANK R TOD"</f>
        <v>OGILBEE FRANK R TOD</v>
      </c>
      <c r="C9363" s="1" t="str">
        <f>"BARCELONA AVE H C HUBER PLAT 49 SEC 2 LOT 2152"</f>
        <v>BARCELONA AVE H C HUBER PLAT 49 SEC 2 LOT 2152</v>
      </c>
      <c r="D9363" s="1">
        <v>815.8</v>
      </c>
    </row>
    <row r="9364" spans="1:4" x14ac:dyDescent="0.3">
      <c r="A9364" s="1" t="str">
        <f>"03000051600"</f>
        <v>03000051600</v>
      </c>
      <c r="B9364" s="1" t="str">
        <f>"OGSTUTZ LTD"</f>
        <v>OGSTUTZ LTD</v>
      </c>
      <c r="C9364" s="1" t="str">
        <f>"999 W GOODALE AVENUE GOODALE ST "</f>
        <v xml:space="preserve">999 W GOODALE AVENUE GOODALE ST </v>
      </c>
      <c r="D9364" s="1">
        <v>3502.09</v>
      </c>
    </row>
    <row r="9365" spans="1:4" x14ac:dyDescent="0.3">
      <c r="A9365" s="1" t="str">
        <f>"01003766000"</f>
        <v>01003766000</v>
      </c>
      <c r="B9365" s="1" t="str">
        <f>"OHANA HOMES LLC"</f>
        <v>OHANA HOMES LLC</v>
      </c>
      <c r="C9365" s="1" t="str">
        <f>"1634 MANCHESTER LINDEN LOT 123"</f>
        <v>1634 MANCHESTER LINDEN LOT 123</v>
      </c>
      <c r="D9365" s="1">
        <v>1841.94</v>
      </c>
    </row>
    <row r="9366" spans="1:4" x14ac:dyDescent="0.3">
      <c r="A9366" s="1" t="str">
        <f>"01006089500"</f>
        <v>01006089500</v>
      </c>
      <c r="B9366" s="1" t="str">
        <f>"OHANA HOMES LLC"</f>
        <v>OHANA HOMES LLC</v>
      </c>
      <c r="C9366" s="1" t="str">
        <f>"CORDELL AVE INNIS CREST LOT 283"</f>
        <v>CORDELL AVE INNIS CREST LOT 283</v>
      </c>
      <c r="D9366" s="1">
        <v>1300.8900000000001</v>
      </c>
    </row>
    <row r="9367" spans="1:4" x14ac:dyDescent="0.3">
      <c r="A9367" s="1" t="str">
        <f>"01026918100"</f>
        <v>01026918100</v>
      </c>
      <c r="B9367" s="1" t="str">
        <f>"OHDEE DOHDEE LLC"</f>
        <v>OHDEE DOHDEE LLC</v>
      </c>
      <c r="C9367" s="1" t="str">
        <f>"MOUND STREET OFFICE CONDOMINIUM UNIT 443-445"</f>
        <v>MOUND STREET OFFICE CONDOMINIUM UNIT 443-445</v>
      </c>
      <c r="D9367" s="1">
        <v>146.07</v>
      </c>
    </row>
    <row r="9368" spans="1:4" x14ac:dyDescent="0.3">
      <c r="A9368" s="1" t="str">
        <f>"09000158300"</f>
        <v>09000158300</v>
      </c>
      <c r="B9368" s="1" t="str">
        <f>"OHF1 RE LLC"</f>
        <v>OHF1 RE LLC</v>
      </c>
      <c r="C9368" s="1" t="str">
        <f>"1090 S HAMILTON RD        R21 T12 S16 1/2S25        10.990 ACRES             "</f>
        <v xml:space="preserve">1090 S HAMILTON RD        R21 T12 S16 1/2S25        10.990 ACRES             </v>
      </c>
      <c r="D9368" s="1">
        <v>102328.59</v>
      </c>
    </row>
    <row r="9369" spans="1:4" x14ac:dyDescent="0.3">
      <c r="A9369" s="1" t="str">
        <f>"54518778200"</f>
        <v>54518778200</v>
      </c>
      <c r="B9369" s="1" t="str">
        <f>"OHI ASSET (OH) GAHANNA LLC"</f>
        <v>OHI ASSET (OH) GAHANNA LLC</v>
      </c>
      <c r="C9369" s="1" t="str">
        <f>"5151 N HAMILTON RD R17 T2 1/4T4 LOT 17 5.892 ACRES"</f>
        <v>5151 N HAMILTON RD R17 T2 1/4T4 LOT 17 5.892 ACRES</v>
      </c>
      <c r="D9369" s="1">
        <v>59576.639999999999</v>
      </c>
    </row>
    <row r="9370" spans="1:4" x14ac:dyDescent="0.3">
      <c r="A9370" s="1" t="str">
        <f>"01023075800"</f>
        <v>01023075800</v>
      </c>
      <c r="B9370" s="1" t="str">
        <f>"OHI ASSET (OH) GAHANNA LLC"</f>
        <v>OHI ASSET (OH) GAHANNA LLC</v>
      </c>
      <c r="C9370" s="1" t="str">
        <f>"HAMILTON ROAD R17 T2 1/4T4 0.208 ACRE"</f>
        <v>HAMILTON ROAD R17 T2 1/4T4 0.208 ACRE</v>
      </c>
      <c r="D9370" s="1">
        <v>995.94</v>
      </c>
    </row>
    <row r="9371" spans="1:4" x14ac:dyDescent="0.3">
      <c r="A9371" s="1" t="str">
        <f>"57011062400"</f>
        <v>57011062400</v>
      </c>
      <c r="B9371" s="1" t="str">
        <f>"OHI ASSET (OH) WEST COLUMBUS LLC"</f>
        <v>OHI ASSET (OH) WEST COLUMBUS LLC</v>
      </c>
      <c r="C9371" s="1" t="str">
        <f>"NORTON RD ENTRY 1474 12.759 ACRES"</f>
        <v>NORTON RD ENTRY 1474 12.759 ACRES</v>
      </c>
      <c r="D9371" s="1">
        <v>109940.72</v>
      </c>
    </row>
    <row r="9372" spans="1:4" x14ac:dyDescent="0.3">
      <c r="A9372" s="1" t="str">
        <f>"01003468100"</f>
        <v>01003468100</v>
      </c>
      <c r="B9372" s="1" t="str">
        <f>"OHIO AMERICAN LLC"</f>
        <v>OHIO AMERICAN LLC</v>
      </c>
      <c r="C9372" s="1" t="str">
        <f>"80 S WARREN AVE WICKLOW LOT 266"</f>
        <v>80 S WARREN AVE WICKLOW LOT 266</v>
      </c>
      <c r="D9372" s="1">
        <v>96.56</v>
      </c>
    </row>
    <row r="9373" spans="1:4" x14ac:dyDescent="0.3">
      <c r="A9373" s="1" t="str">
        <f>"01001201900"</f>
        <v>01001201900</v>
      </c>
      <c r="B9373" s="1" t="str">
        <f>"OHIO ANCHOR INVESTMENT LLC"</f>
        <v>OHIO ANCHOR INVESTMENT LLC</v>
      </c>
      <c r="C9373" s="1" t="str">
        <f>"158-160 BELVIDERE AV GLENWOOD HTS LOT 123"</f>
        <v>158-160 BELVIDERE AV GLENWOOD HTS LOT 123</v>
      </c>
      <c r="D9373" s="1">
        <v>2026.1</v>
      </c>
    </row>
    <row r="9374" spans="1:4" x14ac:dyDescent="0.3">
      <c r="A9374" s="1" t="str">
        <f>"01015106500"</f>
        <v>01015106500</v>
      </c>
      <c r="B9374" s="1" t="str">
        <f>"OHIO DENTAL ASSOCIATION"</f>
        <v>OHIO DENTAL ASSOCIATION</v>
      </c>
      <c r="C9374" s="1" t="str">
        <f>"STELLA COURT PT L 1 AMENDED CONRAD SUB "</f>
        <v xml:space="preserve">STELLA COURT PT L 1 AMENDED CONRAD SUB </v>
      </c>
      <c r="D9374" s="1">
        <v>7425.89</v>
      </c>
    </row>
    <row r="9375" spans="1:4" x14ac:dyDescent="0.3">
      <c r="A9375" s="1" t="str">
        <f>"12099991700"</f>
        <v>12099991700</v>
      </c>
      <c r="B9375" s="1" t="str">
        <f>"OHIO EDISON COMPANY"</f>
        <v>OHIO EDISON COMPANY</v>
      </c>
      <c r="C9375" s="1" t="str">
        <f>"UTILITY-PERSONAL ELECTRIC "</f>
        <v xml:space="preserve">UTILITY-PERSONAL ELECTRIC </v>
      </c>
      <c r="D9375" s="1">
        <v>1375.69</v>
      </c>
    </row>
    <row r="9376" spans="1:4" x14ac:dyDescent="0.3">
      <c r="A9376" s="1" t="str">
        <f>"23099991700"</f>
        <v>23099991700</v>
      </c>
      <c r="B9376" s="1" t="str">
        <f>"OHIO EDISON COMPANY"</f>
        <v>OHIO EDISON COMPANY</v>
      </c>
      <c r="C9376" s="1" t="str">
        <f>"UTILITY-PERSONAL ELECTRIC "</f>
        <v xml:space="preserve">UTILITY-PERSONAL ELECTRIC </v>
      </c>
      <c r="D9376" s="1">
        <v>2692.02</v>
      </c>
    </row>
    <row r="9377" spans="1:4" x14ac:dyDescent="0.3">
      <c r="A9377" s="1" t="str">
        <f>"27399991700"</f>
        <v>27399991700</v>
      </c>
      <c r="B9377" s="1" t="str">
        <f>"OHIO EDISON COMPANY"</f>
        <v>OHIO EDISON COMPANY</v>
      </c>
      <c r="C9377" s="1" t="str">
        <f>"UTILITY-PERSONAL ELECTRIC "</f>
        <v xml:space="preserve">UTILITY-PERSONAL ELECTRIC </v>
      </c>
      <c r="D9377" s="1">
        <v>29388.35</v>
      </c>
    </row>
    <row r="9378" spans="1:4" x14ac:dyDescent="0.3">
      <c r="A9378" s="1" t="str">
        <f>"16099991700"</f>
        <v>16099991700</v>
      </c>
      <c r="B9378" s="1" t="str">
        <f>"OHIO EDISON COMPANY"</f>
        <v>OHIO EDISON COMPANY</v>
      </c>
      <c r="C9378" s="1" t="str">
        <f>"UTILITY-PERSONAL ELECTRIC "</f>
        <v xml:space="preserve">UTILITY-PERSONAL ELECTRIC </v>
      </c>
      <c r="D9378" s="1">
        <v>205.02</v>
      </c>
    </row>
    <row r="9379" spans="1:4" x14ac:dyDescent="0.3">
      <c r="A9379" s="1" t="str">
        <f>"23299991700"</f>
        <v>23299991700</v>
      </c>
      <c r="B9379" s="1" t="str">
        <f>"OHIO EDISON COMPANY"</f>
        <v>OHIO EDISON COMPANY</v>
      </c>
      <c r="C9379" s="1" t="str">
        <f>"UTILITY-PERSONAL ELECTRIC "</f>
        <v xml:space="preserve">UTILITY-PERSONAL ELECTRIC </v>
      </c>
      <c r="D9379" s="1">
        <v>1577.89</v>
      </c>
    </row>
    <row r="9380" spans="1:4" x14ac:dyDescent="0.3">
      <c r="A9380" s="1" t="str">
        <f>"27099991700"</f>
        <v>27099991700</v>
      </c>
      <c r="B9380" s="1" t="str">
        <f>"OHIO EDISON COMPANY"</f>
        <v>OHIO EDISON COMPANY</v>
      </c>
      <c r="C9380" s="1" t="str">
        <f>"UTILITY-PERSONAL ELECTRIC "</f>
        <v xml:space="preserve">UTILITY-PERSONAL ELECTRIC </v>
      </c>
      <c r="D9380" s="1">
        <v>789.53</v>
      </c>
    </row>
    <row r="9381" spans="1:4" x14ac:dyDescent="0.3">
      <c r="A9381" s="1" t="str">
        <f>"01007629400"</f>
        <v>01007629400</v>
      </c>
      <c r="B9381" s="1" t="str">
        <f>"OHIO EZ LENDING LLC"</f>
        <v>OHIO EZ LENDING LLC</v>
      </c>
      <c r="C9381" s="1" t="str">
        <f>"19TH AVE HIGHLAND PLACE LOT 24"</f>
        <v>19TH AVE HIGHLAND PLACE LOT 24</v>
      </c>
      <c r="D9381" s="1">
        <v>1311.31</v>
      </c>
    </row>
    <row r="9382" spans="1:4" x14ac:dyDescent="0.3">
      <c r="A9382" s="1" t="str">
        <f>"06000044600"</f>
        <v>06000044600</v>
      </c>
      <c r="B9382" s="1" t="str">
        <f>"OHIO MARKET GROUP LLC"</f>
        <v>OHIO MARKET GROUP LLC</v>
      </c>
      <c r="C9382" s="1" t="str">
        <f>"GIBSON RD BROOKSIDE PK 22 "</f>
        <v xml:space="preserve">GIBSON RD BROOKSIDE PK 22 </v>
      </c>
      <c r="D9382" s="1">
        <v>162.15</v>
      </c>
    </row>
    <row r="9383" spans="1:4" x14ac:dyDescent="0.3">
      <c r="A9383" s="1" t="str">
        <f>"59021355300"</f>
        <v>59021355300</v>
      </c>
      <c r="B9383" s="1" t="str">
        <f>"OHIO NURSES ASSOCIATION"</f>
        <v>OHIO NURSES ASSOCIATION</v>
      </c>
      <c r="C9383" s="1" t="str">
        <f>"CIMMARON OFFICE PARK CONDOMINIUM UNIT 3510A"</f>
        <v>CIMMARON OFFICE PARK CONDOMINIUM UNIT 3510A</v>
      </c>
      <c r="D9383" s="1">
        <v>354.54</v>
      </c>
    </row>
    <row r="9384" spans="1:4" x14ac:dyDescent="0.3">
      <c r="A9384" s="1" t="str">
        <f>"59021355400"</f>
        <v>59021355400</v>
      </c>
      <c r="B9384" s="1" t="str">
        <f>"OHIO NURSES ASSOCIATION"</f>
        <v>OHIO NURSES ASSOCIATION</v>
      </c>
      <c r="C9384" s="1" t="str">
        <f>"CIMMARON OFFICE PARK CONDOMINIUM UNIT 3510B"</f>
        <v>CIMMARON OFFICE PARK CONDOMINIUM UNIT 3510B</v>
      </c>
      <c r="D9384" s="1">
        <v>139.38999999999999</v>
      </c>
    </row>
    <row r="9385" spans="1:4" x14ac:dyDescent="0.3">
      <c r="A9385" s="1" t="str">
        <f>"59021355500"</f>
        <v>59021355500</v>
      </c>
      <c r="B9385" s="1" t="str">
        <f>"OHIO NURSES ASSOCIATION"</f>
        <v>OHIO NURSES ASSOCIATION</v>
      </c>
      <c r="C9385" s="1" t="str">
        <f>"CIMMARON OFFICE PARK CONDOMINIUM UNIT 3510C"</f>
        <v>CIMMARON OFFICE PARK CONDOMINIUM UNIT 3510C</v>
      </c>
      <c r="D9385" s="1">
        <v>134.1</v>
      </c>
    </row>
    <row r="9386" spans="1:4" x14ac:dyDescent="0.3">
      <c r="A9386" s="1" t="str">
        <f>"59021355600"</f>
        <v>59021355600</v>
      </c>
      <c r="B9386" s="1" t="str">
        <f>"OHIO NURSES ASSOCIATION"</f>
        <v>OHIO NURSES ASSOCIATION</v>
      </c>
      <c r="C9386" s="1" t="str">
        <f>"CIMMARON OFFICE PARK CONDOMINIUM UNIT 3510D"</f>
        <v>CIMMARON OFFICE PARK CONDOMINIUM UNIT 3510D</v>
      </c>
      <c r="D9386" s="1">
        <v>296.43</v>
      </c>
    </row>
    <row r="9387" spans="1:4" x14ac:dyDescent="0.3">
      <c r="A9387" s="1" t="str">
        <f>"59021355700"</f>
        <v>59021355700</v>
      </c>
      <c r="B9387" s="1" t="str">
        <f>"OHIO NURSES ASSOCIATION"</f>
        <v>OHIO NURSES ASSOCIATION</v>
      </c>
      <c r="C9387" s="1" t="str">
        <f>"CIMMARON OFFICE PARK CONDOMINIUM UNIT 3510E"</f>
        <v>CIMMARON OFFICE PARK CONDOMINIUM UNIT 3510E</v>
      </c>
      <c r="D9387" s="1">
        <v>262.07</v>
      </c>
    </row>
    <row r="9388" spans="1:4" x14ac:dyDescent="0.3">
      <c r="A9388" s="1" t="str">
        <f>"56022490900"</f>
        <v>56022490900</v>
      </c>
      <c r="B9388" s="1" t="str">
        <f>"OHIO NURSES ASSOCIATION"</f>
        <v>OHIO NURSES ASSOCIATION</v>
      </c>
      <c r="C9388" s="1" t="str">
        <f>"RIDGE MILL DRIVE ENTRY 547 1.229 ACRES"</f>
        <v>RIDGE MILL DRIVE ENTRY 547 1.229 ACRES</v>
      </c>
      <c r="D9388" s="1">
        <v>485.48</v>
      </c>
    </row>
    <row r="9389" spans="1:4" x14ac:dyDescent="0.3">
      <c r="A9389" s="1" t="str">
        <f>"24000240400"</f>
        <v>24000240400</v>
      </c>
      <c r="B9389" s="1" t="str">
        <f>"OHIO REAL ESTATE RESOURCES LLC"</f>
        <v>OHIO REAL ESTATE RESOURCES LLC</v>
      </c>
      <c r="C9389" s="1" t="str">
        <f>"FERNHILL AVE ROME MANOR LOT 611 &amp; PT VAC ALY"</f>
        <v>FERNHILL AVE ROME MANOR LOT 611 &amp; PT VAC ALY</v>
      </c>
      <c r="D9389" s="1">
        <v>160.37</v>
      </c>
    </row>
    <row r="9390" spans="1:4" x14ac:dyDescent="0.3">
      <c r="A9390" s="1" t="str">
        <f>"59020188100"</f>
        <v>59020188100</v>
      </c>
      <c r="B9390" s="1" t="str">
        <f>"OHIO REALTY LLC"</f>
        <v>OHIO REALTY LLC</v>
      </c>
      <c r="C9390" s="1" t="str">
        <f>"BLDG 8 UNIT 7376 CIMMARON STATION CONDO 2"</f>
        <v>BLDG 8 UNIT 7376 CIMMARON STATION CONDO 2</v>
      </c>
      <c r="D9390" s="1">
        <v>135.5</v>
      </c>
    </row>
    <row r="9391" spans="1:4" x14ac:dyDescent="0.3">
      <c r="A9391" s="1" t="str">
        <f>"01000544800"</f>
        <v>01000544800</v>
      </c>
      <c r="B9391" s="1" t="str">
        <f>"OHIO ROOTS PROPERTIES LLC"</f>
        <v>OHIO ROOTS PROPERTIES LLC</v>
      </c>
      <c r="C9391" s="1" t="str">
        <f>"320 WELCH AVE KAUTZ LOT 44"</f>
        <v>320 WELCH AVE KAUTZ LOT 44</v>
      </c>
      <c r="D9391" s="1">
        <v>5820.83</v>
      </c>
    </row>
    <row r="9392" spans="1:4" x14ac:dyDescent="0.3">
      <c r="A9392" s="1" t="str">
        <f>"01003934700"</f>
        <v>01003934700</v>
      </c>
      <c r="B9392" s="1" t="str">
        <f>"OHIO SALCEDO HOLDINGS LLC"</f>
        <v>OHIO SALCEDO HOLDINGS LLC</v>
      </c>
      <c r="C9392" s="1" t="str">
        <f>"WHEATLAND AVE ARLINGTON LOT 145"</f>
        <v>WHEATLAND AVE ARLINGTON LOT 145</v>
      </c>
      <c r="D9392" s="1">
        <v>614.54999999999995</v>
      </c>
    </row>
    <row r="9393" spans="1:4" x14ac:dyDescent="0.3">
      <c r="A9393" s="1" t="str">
        <f>"01002972700"</f>
        <v>01002972700</v>
      </c>
      <c r="B9393" s="1" t="str">
        <f>"OHIO SALCEDO HOLDINGS LLC"</f>
        <v>OHIO SALCEDO HOLDINGS LLC</v>
      </c>
      <c r="C9393" s="1" t="str">
        <f>"40 HAYDEN AVE KNAUSS AMD SUB 97"</f>
        <v>40 HAYDEN AVE KNAUSS AMD SUB 97</v>
      </c>
      <c r="D9393" s="1">
        <v>260.27999999999997</v>
      </c>
    </row>
    <row r="9394" spans="1:4" x14ac:dyDescent="0.3">
      <c r="A9394" s="1" t="str">
        <f>"01009560500"</f>
        <v>01009560500</v>
      </c>
      <c r="B9394" s="1" t="str">
        <f>"OHIO STANDARD LLC"</f>
        <v>OHIO STANDARD LLC</v>
      </c>
      <c r="C9394" s="1" t="str">
        <f>"COL WILLIAMSBURG VIL .1387 ACRE "</f>
        <v xml:space="preserve">COL WILLIAMSBURG VIL .1387 ACRE </v>
      </c>
      <c r="D9394" s="1">
        <v>4262.57</v>
      </c>
    </row>
    <row r="9395" spans="1:4" x14ac:dyDescent="0.3">
      <c r="A9395" s="1" t="str">
        <f>"01005722200"</f>
        <v>01005722200</v>
      </c>
      <c r="B9395" s="1" t="str">
        <f>"OHIO TMS CLINIC LLC"</f>
        <v>OHIO TMS CLINIC LLC</v>
      </c>
      <c r="C9395" s="1" t="str">
        <f>"INDIANOLA AVE 1.049 ACRES R18 T2 1/4T3 LOT 87-88-90"</f>
        <v>INDIANOLA AVE 1.049 ACRES R18 T2 1/4T3 LOT 87-88-90</v>
      </c>
      <c r="D9395" s="1">
        <v>4495.4799999999996</v>
      </c>
    </row>
    <row r="9396" spans="1:4" x14ac:dyDescent="0.3">
      <c r="A9396" s="1" t="str">
        <f>"27400012200"</f>
        <v>27400012200</v>
      </c>
      <c r="B9396" s="1" t="str">
        <f>"OHIO VENTURE PROPERTIES LLC"</f>
        <v>OHIO VENTURE PROPERTIES LLC</v>
      </c>
      <c r="C9396" s="1" t="str">
        <f>"CORPORATE CENTRE NORTHWEST CORP CENTRE PT LOT 1=1.425 ACRES"</f>
        <v>CORPORATE CENTRE NORTHWEST CORP CENTRE PT LOT 1=1.425 ACRES</v>
      </c>
      <c r="D9396" s="1">
        <v>1816.9</v>
      </c>
    </row>
    <row r="9397" spans="1:4" x14ac:dyDescent="0.3">
      <c r="A9397" s="1" t="str">
        <f>"01010935600"</f>
        <v>01010935600</v>
      </c>
      <c r="B9397" s="1" t="str">
        <f>"OHIO WHOLESALE AUTO SALES LLC"</f>
        <v>OHIO WHOLESALE AUTO SALES LLC</v>
      </c>
      <c r="C9397" s="1" t="str">
        <f>"LIVINGSTON AVE ACRES .977 R.21 T.12 S.20"</f>
        <v>LIVINGSTON AVE ACRES .977 R.21 T.12 S.20</v>
      </c>
      <c r="D9397" s="1">
        <v>10020.870000000001</v>
      </c>
    </row>
    <row r="9398" spans="1:4" x14ac:dyDescent="0.3">
      <c r="A9398" s="1" t="str">
        <f>"01006256600"</f>
        <v>01006256600</v>
      </c>
      <c r="B9398" s="1" t="str">
        <f>"OHIO WHOLESALE AUTO SALES LLC"</f>
        <v>OHIO WHOLESALE AUTO SALES LLC</v>
      </c>
      <c r="C9398" s="1" t="str">
        <f>"HUDSON ST R18 T1 1/4T4 .450 ACRES"</f>
        <v>HUDSON ST R18 T1 1/4T4 .450 ACRES</v>
      </c>
      <c r="D9398" s="1">
        <v>1688.78</v>
      </c>
    </row>
    <row r="9399" spans="1:4" x14ac:dyDescent="0.3">
      <c r="A9399" s="1" t="str">
        <f>"01001174600"</f>
        <v>01001174600</v>
      </c>
      <c r="B9399" s="1" t="str">
        <f>"OHKAT LLC"</f>
        <v>OHKAT LLC</v>
      </c>
      <c r="C9399" s="1" t="str">
        <f>"1042-44 E 16TH AVE LOUIS HTS LOT 349"</f>
        <v>1042-44 E 16TH AVE LOUIS HTS LOT 349</v>
      </c>
      <c r="D9399" s="1">
        <v>1287.68</v>
      </c>
    </row>
    <row r="9400" spans="1:4" x14ac:dyDescent="0.3">
      <c r="A9400" s="1" t="str">
        <f>"01004457700"</f>
        <v>01004457700</v>
      </c>
      <c r="B9400" s="1" t="str">
        <f>"OHKAT LLC"</f>
        <v>OHKAT LLC</v>
      </c>
      <c r="C9400" s="1" t="str">
        <f>"878-88/ 12TH AVE AT EDEN SCHNEIDERS 12TH AVE LOT 33"</f>
        <v>878-88/ 12TH AVE AT EDEN SCHNEIDERS 12TH AVE LOT 33</v>
      </c>
      <c r="D9400" s="1">
        <v>1299.07</v>
      </c>
    </row>
    <row r="9401" spans="1:4" x14ac:dyDescent="0.3">
      <c r="A9401" s="1" t="str">
        <f>"01028560200"</f>
        <v>01028560200</v>
      </c>
      <c r="B9401" s="1" t="str">
        <f>"OHLINGER BRUCE R, OHLINGER LINDA S"</f>
        <v>OHLINGER BRUCE R, OHLINGER LINDA S</v>
      </c>
      <c r="C9401" s="1" t="str">
        <f>"HAYDENS RESERVE CONDOMINIUM COMMUNITY 2ND AMD UNIT 5637"</f>
        <v>HAYDENS RESERVE CONDOMINIUM COMMUNITY 2ND AMD UNIT 5637</v>
      </c>
      <c r="D9401" s="1">
        <v>3258.4</v>
      </c>
    </row>
    <row r="9402" spans="1:4" x14ac:dyDescent="0.3">
      <c r="A9402" s="1" t="str">
        <f>"01009651500"</f>
        <v>01009651500</v>
      </c>
      <c r="B9402" s="1" t="str">
        <f>"OJONGMBOH EGBE"</f>
        <v>OJONGMBOH EGBE</v>
      </c>
      <c r="C9402" s="1" t="str">
        <f>"26TH AVE HAMILTON SCHOOL LOT 35"</f>
        <v>26TH AVE HAMILTON SCHOOL LOT 35</v>
      </c>
      <c r="D9402" s="1">
        <v>1717.78</v>
      </c>
    </row>
    <row r="9403" spans="1:4" x14ac:dyDescent="0.3">
      <c r="A9403" s="1" t="str">
        <f>"01005615800"</f>
        <v>01005615800</v>
      </c>
      <c r="B9403" s="1" t="str">
        <f>"OKAFO IVEN"</f>
        <v>OKAFO IVEN</v>
      </c>
      <c r="C9403" s="1" t="str">
        <f>"1423-1425EMAIN ST T MILLER LOT 5"</f>
        <v>1423-1425EMAIN ST T MILLER LOT 5</v>
      </c>
      <c r="D9403" s="1">
        <v>3208.17</v>
      </c>
    </row>
    <row r="9404" spans="1:4" x14ac:dyDescent="0.3">
      <c r="A9404" s="1" t="str">
        <f>"01008004400"</f>
        <v>01008004400</v>
      </c>
      <c r="B9404" s="1" t="str">
        <f>"OKERNICK GREGORY L"</f>
        <v>OKERNICK GREGORY L</v>
      </c>
      <c r="C9404" s="1" t="str">
        <f>"NORWOOD ST KENMORE PARK LOT 8 BLK 13"</f>
        <v>NORWOOD ST KENMORE PARK LOT 8 BLK 13</v>
      </c>
      <c r="D9404" s="1">
        <v>125.79</v>
      </c>
    </row>
    <row r="9405" spans="1:4" x14ac:dyDescent="0.3">
      <c r="A9405" s="1" t="str">
        <f>"01014492400"</f>
        <v>01014492400</v>
      </c>
      <c r="B9405" s="1" t="str">
        <f>"OKERNICK GREGORY L, OKERNICK SUZANNE E"</f>
        <v>OKERNICK GREGORY L, OKERNICK SUZANNE E</v>
      </c>
      <c r="C9405" s="1" t="str">
        <f>"TAMARACK COURT S FOREST PK E SEC 2 LOT 242"</f>
        <v>TAMARACK COURT S FOREST PK E SEC 2 LOT 242</v>
      </c>
      <c r="D9405" s="1">
        <v>195.16</v>
      </c>
    </row>
    <row r="9406" spans="1:4" x14ac:dyDescent="0.3">
      <c r="A9406" s="1" t="str">
        <f>"59022249300"</f>
        <v>59022249300</v>
      </c>
      <c r="B9406" s="1" t="str">
        <f>"OLADOYE AKIN TR"</f>
        <v>OLADOYE AKIN TR</v>
      </c>
      <c r="C9406" s="1" t="str">
        <f>"BETHEL VILLAGE CONDOMINIUM 1ST AMD UNIT 14B"</f>
        <v>BETHEL VILLAGE CONDOMINIUM 1ST AMD UNIT 14B</v>
      </c>
      <c r="D9406" s="1">
        <v>2377.7199999999998</v>
      </c>
    </row>
    <row r="9407" spans="1:4" x14ac:dyDescent="0.3">
      <c r="A9407" s="1" t="str">
        <f>"01014009300"</f>
        <v>01014009300</v>
      </c>
      <c r="B9407" s="1" t="str">
        <f>"OLANGA ADOLPHE"</f>
        <v>OLANGA ADOLPHE</v>
      </c>
      <c r="C9407" s="1" t="str">
        <f>"LOGANWOOD RD FOREST PARK 6 LOT 900"</f>
        <v>LOGANWOOD RD FOREST PARK 6 LOT 900</v>
      </c>
      <c r="D9407" s="1">
        <v>2198.6999999999998</v>
      </c>
    </row>
    <row r="9408" spans="1:4" x14ac:dyDescent="0.3">
      <c r="A9408" s="1" t="str">
        <f>"01003942800"</f>
        <v>01003942800</v>
      </c>
      <c r="B9408" s="1" t="str">
        <f>"OLD DYE FARMS LLC"</f>
        <v>OLD DYE FARMS LLC</v>
      </c>
      <c r="C9408" s="1" t="str">
        <f>"555 S 3RD ST 23.5 FT SS OF 2&amp;12.5 FT NS KAEFFER OF 3 LOT 2-3"</f>
        <v>555 S 3RD ST 23.5 FT SS OF 2&amp;12.5 FT NS KAEFFER OF 3 LOT 2-3</v>
      </c>
      <c r="D9408" s="1">
        <v>757.18</v>
      </c>
    </row>
    <row r="9409" spans="1:4" x14ac:dyDescent="0.3">
      <c r="A9409" s="1" t="str">
        <f>"01004434800"</f>
        <v>01004434800</v>
      </c>
      <c r="B9409" s="1" t="str">
        <f>"OLD LEONARD INVESTMENTS LTD"</f>
        <v>OLD LEONARD INVESTMENTS LTD</v>
      </c>
      <c r="C9409" s="1" t="str">
        <f>"1612 LEONARD AVE ANDERSON &amp; EBERLYS AMD LOTS 12-17 &amp; PT VAC AL"</f>
        <v>1612 LEONARD AVE ANDERSON &amp; EBERLYS AMD LOTS 12-17 &amp; PT VAC AL</v>
      </c>
      <c r="D9409" s="1">
        <v>2128.71</v>
      </c>
    </row>
    <row r="9410" spans="1:4" x14ac:dyDescent="0.3">
      <c r="A9410" s="1" t="str">
        <f>"18000435300"</f>
        <v>18000435300</v>
      </c>
      <c r="B9410" s="1" t="str">
        <f>"OLDAKER SUSAN M"</f>
        <v>OLDAKER SUSAN M</v>
      </c>
      <c r="C9410" s="1" t="str">
        <f>"WENDOVER DR QUALSTAN EAST 164 "</f>
        <v xml:space="preserve">WENDOVER DR QUALSTAN EAST 164 </v>
      </c>
      <c r="D9410" s="1">
        <v>128.01</v>
      </c>
    </row>
    <row r="9411" spans="1:4" x14ac:dyDescent="0.3">
      <c r="A9411" s="1" t="str">
        <f>"01026078700"</f>
        <v>01026078700</v>
      </c>
      <c r="B9411" s="1" t="str">
        <f>"OLDS JAESOON"</f>
        <v>OLDS JAESOON</v>
      </c>
      <c r="C9411" s="1" t="str">
        <f>"RIVER RIDGE CONDOMINIUM ON ALUM CREEK (2ND AMD) BLDG 3 UNIT 3083-204"</f>
        <v>RIVER RIDGE CONDOMINIUM ON ALUM CREEK (2ND AMD) BLDG 3 UNIT 3083-204</v>
      </c>
      <c r="D9411" s="1">
        <v>2164.1</v>
      </c>
    </row>
    <row r="9412" spans="1:4" x14ac:dyDescent="0.3">
      <c r="A9412" s="1" t="str">
        <f>"01013672600"</f>
        <v>01013672600</v>
      </c>
      <c r="B9412" s="1" t="str">
        <f>"OLDS WANDA, OLDS SUSAN"</f>
        <v>OLDS WANDA, OLDS SUSAN</v>
      </c>
      <c r="C9412" s="1" t="str">
        <f>"ALVASON AVE ARGYLE PARK LOT 110"</f>
        <v>ALVASON AVE ARGYLE PARK LOT 110</v>
      </c>
      <c r="D9412" s="1">
        <v>1047.56</v>
      </c>
    </row>
    <row r="9413" spans="1:4" x14ac:dyDescent="0.3">
      <c r="A9413" s="1" t="str">
        <f>"08000361500"</f>
        <v>08000361500</v>
      </c>
      <c r="B9413" s="1" t="str">
        <f>"OLEARY DANIEL P, OLEARY NANCY L"</f>
        <v>OLEARY DANIEL P, OLEARY NANCY L</v>
      </c>
      <c r="C9413" s="1" t="str">
        <f>"TIMBERLAKE DR ANNEHURST VILLAGE 5 LOT 249"</f>
        <v>TIMBERLAKE DR ANNEHURST VILLAGE 5 LOT 249</v>
      </c>
      <c r="D9413" s="1">
        <v>3402.4</v>
      </c>
    </row>
    <row r="9414" spans="1:4" x14ac:dyDescent="0.3">
      <c r="A9414" s="1" t="str">
        <f>"07001175600"</f>
        <v>07001175600</v>
      </c>
      <c r="B9414" s="1" t="str">
        <f>"OLEARY JOHN F M, OLEARY ANN H"</f>
        <v>OLEARY JOHN F M, OLEARY ANN H</v>
      </c>
      <c r="C9414" s="1" t="str">
        <f>"2438 BILLITON COURT BURBANK ESTATES LOT 29"</f>
        <v>2438 BILLITON COURT BURBANK ESTATES LOT 29</v>
      </c>
      <c r="D9414" s="1">
        <v>784.06</v>
      </c>
    </row>
    <row r="9415" spans="1:4" x14ac:dyDescent="0.3">
      <c r="A9415" s="1" t="str">
        <f>"10000644200"</f>
        <v>10000644200</v>
      </c>
      <c r="B9415" s="1" t="str">
        <f>"OLEARY JULIANA J TR"</f>
        <v>OLEARY JULIANA J TR</v>
      </c>
      <c r="C9415" s="1" t="str">
        <f>"THE RESIDENCES OF WORTHINGTON CONDOS UNIT 219"</f>
        <v>THE RESIDENCES OF WORTHINGTON CONDOS UNIT 219</v>
      </c>
      <c r="D9415" s="1">
        <v>5177.55</v>
      </c>
    </row>
    <row r="9416" spans="1:4" x14ac:dyDescent="0.3">
      <c r="A9416" s="1" t="str">
        <f>"01007555400"</f>
        <v>01007555400</v>
      </c>
      <c r="B9416" s="1" t="str">
        <f>"OLIVER &amp; ASSOCIATES LLC"</f>
        <v>OLIVER &amp; ASSOCIATES LLC</v>
      </c>
      <c r="C9416" s="1" t="str">
        <f>"ONTARIO ST HOMESTEAD HEIGHTS LOT 217"</f>
        <v>ONTARIO ST HOMESTEAD HEIGHTS LOT 217</v>
      </c>
      <c r="D9416" s="1">
        <v>1986.35</v>
      </c>
    </row>
    <row r="9417" spans="1:4" x14ac:dyDescent="0.3">
      <c r="A9417" s="1" t="str">
        <f>"01016684400"</f>
        <v>01016684400</v>
      </c>
      <c r="B9417" s="1" t="str">
        <f>"OLIVER &amp; ASSOCIATES LLC"</f>
        <v>OLIVER &amp; ASSOCIATES LLC</v>
      </c>
      <c r="C9417" s="1" t="str">
        <f>"MARSTON ROAD AMVET HOMESTEAD 2 LOT 8 BLK L"</f>
        <v>MARSTON ROAD AMVET HOMESTEAD 2 LOT 8 BLK L</v>
      </c>
      <c r="D9417" s="1">
        <v>1843.25</v>
      </c>
    </row>
    <row r="9418" spans="1:4" x14ac:dyDescent="0.3">
      <c r="A9418" s="1" t="str">
        <f>"01006124800"</f>
        <v>01006124800</v>
      </c>
      <c r="B9418" s="1" t="str">
        <f>"OLIVER AND ASSOCIATES LLC"</f>
        <v>OLIVER AND ASSOCIATES LLC</v>
      </c>
      <c r="C9418" s="1" t="str">
        <f>"1544-6 LORETTA AVE ST AUGUSTINE LOTS 5 &amp; 6"</f>
        <v>1544-6 LORETTA AVE ST AUGUSTINE LOTS 5 &amp; 6</v>
      </c>
      <c r="D9418" s="1">
        <v>3150.37</v>
      </c>
    </row>
    <row r="9419" spans="1:4" x14ac:dyDescent="0.3">
      <c r="A9419" s="1" t="str">
        <f>"01028101800"</f>
        <v>01028101800</v>
      </c>
      <c r="B9419" s="1" t="str">
        <f>"OLIVER ANNMARIE TTEE"</f>
        <v>OLIVER ANNMARIE TTEE</v>
      </c>
      <c r="C9419" s="1" t="str">
        <f>"HOMESTEAD AT THE PRESERVE CONDOMINIUM 24TH AMD UNIT 3792-98"</f>
        <v>HOMESTEAD AT THE PRESERVE CONDOMINIUM 24TH AMD UNIT 3792-98</v>
      </c>
      <c r="D9419" s="1">
        <v>339.12</v>
      </c>
    </row>
    <row r="9420" spans="1:4" x14ac:dyDescent="0.3">
      <c r="A9420" s="1" t="str">
        <f>"01007472100"</f>
        <v>01007472100</v>
      </c>
      <c r="B9420" s="1" t="str">
        <f>"OLIVER ERIC B, HASTINGS YVONNE O"</f>
        <v>OLIVER ERIC B, HASTINGS YVONNE O</v>
      </c>
      <c r="C9420" s="1" t="str">
        <f>"2365 HIAWATHA PARK DRHIAWATHAPARKPLACE LOT 147"</f>
        <v>2365 HIAWATHA PARK DRHIAWATHAPARKPLACE LOT 147</v>
      </c>
      <c r="D9420" s="1">
        <v>1743.82</v>
      </c>
    </row>
    <row r="9421" spans="1:4" x14ac:dyDescent="0.3">
      <c r="A9421" s="1" t="str">
        <f>"59019078300"</f>
        <v>59019078300</v>
      </c>
      <c r="B9421" s="1" t="str">
        <f>"OLIVER PRESTON ADAM, OLIVER MARTHA ANNE"</f>
        <v>OLIVER PRESTON ADAM, OLIVER MARTHA ANNE</v>
      </c>
      <c r="C9421" s="1" t="str">
        <f>"LANGHORN DR MISTY MEADOWS SEC 3 LOT 171"</f>
        <v>LANGHORN DR MISTY MEADOWS SEC 3 LOT 171</v>
      </c>
      <c r="D9421" s="1">
        <v>4240.28</v>
      </c>
    </row>
    <row r="9422" spans="1:4" x14ac:dyDescent="0.3">
      <c r="A9422" s="1" t="str">
        <f>"01013806200"</f>
        <v>01013806200</v>
      </c>
      <c r="B9422" s="1" t="str">
        <f>"OLIVER RHONDA, HOGG PAMELA, BUTLER TAMMY, MCKINNON DAVID"</f>
        <v>OLIVER RHONDA, HOGG PAMELA, BUTLER TAMMY, MCKINNON DAVID</v>
      </c>
      <c r="C9422" s="1" t="str">
        <f>"BRENTNELL AVE BRENTNELL PLC LOT 44"</f>
        <v>BRENTNELL AVE BRENTNELL PLC LOT 44</v>
      </c>
      <c r="D9422" s="1">
        <v>1064.01</v>
      </c>
    </row>
    <row r="9423" spans="1:4" x14ac:dyDescent="0.3">
      <c r="A9423" s="1" t="str">
        <f>"11000523300"</f>
        <v>11000523300</v>
      </c>
      <c r="B9423" s="1" t="str">
        <f>"OLSEN KIRSTEN"</f>
        <v>OLSEN KIRSTEN</v>
      </c>
      <c r="C9423" s="1" t="str">
        <f>"MONTEVIDEO DR GLENGARY WOODS LOT 94"</f>
        <v>MONTEVIDEO DR GLENGARY WOODS LOT 94</v>
      </c>
      <c r="D9423" s="1">
        <v>272.95999999999998</v>
      </c>
    </row>
    <row r="9424" spans="1:4" x14ac:dyDescent="0.3">
      <c r="A9424" s="1" t="str">
        <f>"05000663800"</f>
        <v>05000663800</v>
      </c>
      <c r="B9424" s="1" t="str">
        <f>"OLSGARD CHRISTOPHER, OLSGARD MICHELLE"</f>
        <v>OLSGARD CHRISTOPHER, OLSGARD MICHELLE</v>
      </c>
      <c r="C9424" s="1" t="str">
        <f>"DUBLIN RD ENTRY 1406 ACRES 1.533 "</f>
        <v xml:space="preserve">DUBLIN RD ENTRY 1406 ACRES 1.533 </v>
      </c>
      <c r="D9424" s="1">
        <v>1570.68</v>
      </c>
    </row>
    <row r="9425" spans="1:4" x14ac:dyDescent="0.3">
      <c r="A9425" s="1" t="str">
        <f>"07000396800"</f>
        <v>07000396800</v>
      </c>
      <c r="B9425" s="1" t="str">
        <f>"OLSON SHARON L"</f>
        <v>OLSON SHARON L</v>
      </c>
      <c r="C9425" s="1" t="str">
        <f>"HARWITCH RD MOUNTVIEW PL EXT 2 33 BLK 227"</f>
        <v>HARWITCH RD MOUNTVIEW PL EXT 2 33 BLK 227</v>
      </c>
      <c r="D9425" s="1">
        <v>4862.68</v>
      </c>
    </row>
    <row r="9426" spans="1:4" x14ac:dyDescent="0.3">
      <c r="A9426" s="1" t="str">
        <f>"57022089300"</f>
        <v>57022089300</v>
      </c>
      <c r="B9426" s="1" t="str">
        <f>"OLTMAN GREGORY L, OLTMAN LISA A"</f>
        <v>OLTMAN GREGORY L, OLTMAN LISA A</v>
      </c>
      <c r="C9426" s="1" t="str">
        <f>"SANDERSON DRIVE CHERRY CREEK SEC 9 LOT 492"</f>
        <v>SANDERSON DRIVE CHERRY CREEK SEC 9 LOT 492</v>
      </c>
      <c r="D9426" s="1">
        <v>7737.61</v>
      </c>
    </row>
    <row r="9427" spans="1:4" x14ac:dyDescent="0.3">
      <c r="A9427" s="1" t="str">
        <f>"01006885400"</f>
        <v>01006885400</v>
      </c>
      <c r="B9427" s="1" t="str">
        <f>"OLVERA ALMA ROSA, PEREZ DE OLVERA MARIA SOCORRO, ARREDONDO JUAN MUNOZ"</f>
        <v>OLVERA ALMA ROSA, PEREZ DE OLVERA MARIA SOCORRO, ARREDONDO JUAN MUNOZ</v>
      </c>
      <c r="C9427" s="1" t="str">
        <f>"2015-17 AGLER ROAD E LINDEN 70'X 90' NE COR LT 2"</f>
        <v>2015-17 AGLER ROAD E LINDEN 70'X 90' NE COR LT 2</v>
      </c>
      <c r="D9427" s="1">
        <v>1490.47</v>
      </c>
    </row>
    <row r="9428" spans="1:4" x14ac:dyDescent="0.3">
      <c r="A9428" s="1" t="str">
        <f>"01005001100"</f>
        <v>01005001100</v>
      </c>
      <c r="B9428" s="1" t="str">
        <f>"OM PROPERTY SOLUTIONS LLC"</f>
        <v>OM PROPERTY SOLUTIONS LLC</v>
      </c>
      <c r="C9428" s="1" t="str">
        <f>"1390 LOCKBOURNE AVE LOCKBOURNE LOT 23-4-5"</f>
        <v>1390 LOCKBOURNE AVE LOCKBOURNE LOT 23-4-5</v>
      </c>
      <c r="D9428" s="1">
        <v>3916.46</v>
      </c>
    </row>
    <row r="9429" spans="1:4" x14ac:dyDescent="0.3">
      <c r="A9429" s="1" t="str">
        <f>"01004789600"</f>
        <v>01004789600</v>
      </c>
      <c r="B9429" s="1" t="str">
        <f>"OM PROPERTY SOLUTIONS LLC"</f>
        <v>OM PROPERTY SOLUTIONS LLC</v>
      </c>
      <c r="C9429" s="1" t="str">
        <f>"1067 WHITTIER ST DANEHYS AMD SUB 17"</f>
        <v>1067 WHITTIER ST DANEHYS AMD SUB 17</v>
      </c>
      <c r="D9429" s="1">
        <v>7248.21</v>
      </c>
    </row>
    <row r="9430" spans="1:4" x14ac:dyDescent="0.3">
      <c r="A9430" s="1" t="str">
        <f>"01013187000"</f>
        <v>01013187000</v>
      </c>
      <c r="B9430" s="1" t="str">
        <f>"OMAHONEY THOMAS K, OMAHONEY JANET M"</f>
        <v>OMAHONEY THOMAS K, OMAHONEY JANET M</v>
      </c>
      <c r="C9430" s="1" t="str">
        <f>"GREENRIDGE RD INDIAN HILLS LOT 75"</f>
        <v>GREENRIDGE RD INDIAN HILLS LOT 75</v>
      </c>
      <c r="D9430" s="1">
        <v>303.94</v>
      </c>
    </row>
    <row r="9431" spans="1:4" x14ac:dyDescent="0.3">
      <c r="A9431" s="1" t="str">
        <f>"59019237400"</f>
        <v>59019237400</v>
      </c>
      <c r="B9431" s="1" t="str">
        <f>"OMALLEY MICHAEL"</f>
        <v>OMALLEY MICHAEL</v>
      </c>
      <c r="C9431" s="1" t="str">
        <f>"2692 EMBERWOOD RD RIVERSIDE GREEN SO SEC 6 PT 2 LOT 299"</f>
        <v>2692 EMBERWOOD RD RIVERSIDE GREEN SO SEC 6 PT 2 LOT 299</v>
      </c>
      <c r="D9431" s="1">
        <v>223.53</v>
      </c>
    </row>
    <row r="9432" spans="1:4" x14ac:dyDescent="0.3">
      <c r="A9432" s="1" t="str">
        <f>"01000683900"</f>
        <v>01000683900</v>
      </c>
      <c r="B9432" s="1" t="str">
        <f>"OMAMEH VICTOR C, OMAMEH GRAZYNA M"</f>
        <v>OMAMEH VICTOR C, OMAMEH GRAZYNA M</v>
      </c>
      <c r="C9432" s="1" t="str">
        <f>"1008 LINWOOD AVE STUDER AMD LOT 198"</f>
        <v>1008 LINWOOD AVE STUDER AMD LOT 198</v>
      </c>
      <c r="D9432" s="1">
        <v>660</v>
      </c>
    </row>
    <row r="9433" spans="1:4" x14ac:dyDescent="0.3">
      <c r="A9433" s="1" t="str">
        <f>"01020322200"</f>
        <v>01020322200</v>
      </c>
      <c r="B9433" s="1" t="str">
        <f>"OMAR DEQA J"</f>
        <v>OMAR DEQA J</v>
      </c>
      <c r="C9433" s="1" t="str">
        <f>"2088 SPRUCEFIELD RD SPRUCEFIELD COURT TWNHOMES CONDO 5 AMD"</f>
        <v>2088 SPRUCEFIELD RD SPRUCEFIELD COURT TWNHOMES CONDO 5 AMD</v>
      </c>
      <c r="D9433" s="1">
        <v>1313.04</v>
      </c>
    </row>
    <row r="9434" spans="1:4" x14ac:dyDescent="0.3">
      <c r="A9434" s="1" t="str">
        <f>"01016201800"</f>
        <v>01016201800</v>
      </c>
      <c r="B9434" s="1" t="str">
        <f>"OMAR MUKHTAR, ELMI AMINA"</f>
        <v>OMAR MUKHTAR, ELMI AMINA</v>
      </c>
      <c r="C9434" s="1" t="str">
        <f>"BOYLESTON BLVD FRAMINGHAM LOT 192"</f>
        <v>BOYLESTON BLVD FRAMINGHAM LOT 192</v>
      </c>
      <c r="D9434" s="1">
        <v>1141.03</v>
      </c>
    </row>
    <row r="9435" spans="1:4" x14ac:dyDescent="0.3">
      <c r="A9435" s="1" t="str">
        <f>"01028677400"</f>
        <v>01028677400</v>
      </c>
      <c r="B9435" s="1" t="str">
        <f>"OMARA KRISTIN L"</f>
        <v>OMARA KRISTIN L</v>
      </c>
      <c r="C9435" s="1" t="str">
        <f>"5734 ADERHOLT ROAD HAYDEN FARMS SECTION 5 LOT 413"</f>
        <v>5734 ADERHOLT ROAD HAYDEN FARMS SECTION 5 LOT 413</v>
      </c>
      <c r="D9435" s="1">
        <v>3203.93</v>
      </c>
    </row>
    <row r="9436" spans="1:4" x14ac:dyDescent="0.3">
      <c r="A9436" s="1" t="str">
        <f>"60014632700"</f>
        <v>60014632700</v>
      </c>
      <c r="B9436" s="1" t="str">
        <f>"OMI INVESTMENTS LLC"</f>
        <v>OMI INVESTMENTS LLC</v>
      </c>
      <c r="C9436" s="1" t="str">
        <f>"CLEVELAND AVENUE R18 T2 1/4T4 0.567 ACRE"</f>
        <v>CLEVELAND AVENUE R18 T2 1/4T4 0.567 ACRE</v>
      </c>
      <c r="D9436" s="1">
        <v>4553.79</v>
      </c>
    </row>
    <row r="9437" spans="1:4" x14ac:dyDescent="0.3">
      <c r="A9437" s="1" t="str">
        <f>"60021348700"</f>
        <v>60021348700</v>
      </c>
      <c r="B9437" s="1" t="str">
        <f>"OMI INVESTMENTS LLC"</f>
        <v>OMI INVESTMENTS LLC</v>
      </c>
      <c r="C9437" s="1" t="str">
        <f>"4745 CLEVELAND AVE R18 T2 1/4T4 0.277 ACRE"</f>
        <v>4745 CLEVELAND AVE R18 T2 1/4T4 0.277 ACRE</v>
      </c>
      <c r="D9437" s="1">
        <v>4151.55</v>
      </c>
    </row>
    <row r="9438" spans="1:4" x14ac:dyDescent="0.3">
      <c r="A9438" s="1" t="str">
        <f>"01012056700"</f>
        <v>01012056700</v>
      </c>
      <c r="B9438" s="1" t="str">
        <f>"OMOYOSI VERONICA L"</f>
        <v>OMOYOSI VERONICA L</v>
      </c>
      <c r="C9438" s="1" t="str">
        <f>"KARL RD CLINTON ESTS 3 LOT 50"</f>
        <v>KARL RD CLINTON ESTS 3 LOT 50</v>
      </c>
      <c r="D9438" s="1">
        <v>133.30000000000001</v>
      </c>
    </row>
    <row r="9439" spans="1:4" x14ac:dyDescent="0.3">
      <c r="A9439" s="1" t="str">
        <f>"18000268500"</f>
        <v>18000268500</v>
      </c>
      <c r="B9439" s="1" t="str">
        <f>"OMSAGAR HOTELS LTD"</f>
        <v>OMSAGAR HOTELS LTD</v>
      </c>
      <c r="C9439" s="1" t="str">
        <f>"CLEARWATER DR BLACKLICK ESTATES 2 294"</f>
        <v>CLEARWATER DR BLACKLICK ESTATES 2 294</v>
      </c>
      <c r="D9439" s="1">
        <v>138.55000000000001</v>
      </c>
    </row>
    <row r="9440" spans="1:4" x14ac:dyDescent="0.3">
      <c r="A9440" s="1" t="str">
        <f>"01013324200"</f>
        <v>01013324200</v>
      </c>
      <c r="B9440" s="1" t="str">
        <f>"OMSAGAR HOTELS LTD"</f>
        <v>OMSAGAR HOTELS LTD</v>
      </c>
      <c r="C9440" s="1" t="str">
        <f>"MAYWOOD RD WALNUT BLUFF 1 LOT 387"</f>
        <v>MAYWOOD RD WALNUT BLUFF 1 LOT 387</v>
      </c>
      <c r="D9440" s="1">
        <v>156.58000000000001</v>
      </c>
    </row>
    <row r="9441" spans="1:4" x14ac:dyDescent="0.3">
      <c r="A9441" s="1" t="str">
        <f>"01000989700"</f>
        <v>01000989700</v>
      </c>
      <c r="B9441" s="1" t="str">
        <f>"OMSAGAR HOTELS LTD"</f>
        <v>OMSAGAR HOTELS LTD</v>
      </c>
      <c r="C9441" s="1" t="str">
        <f>"611 SOUTHWOOD AVE W MERION EXRS LOT 460"</f>
        <v>611 SOUTHWOOD AVE W MERION EXRS LOT 460</v>
      </c>
      <c r="D9441" s="1">
        <v>147.09</v>
      </c>
    </row>
    <row r="9442" spans="1:4" x14ac:dyDescent="0.3">
      <c r="A9442" s="1" t="str">
        <f>"01013314500"</f>
        <v>01013314500</v>
      </c>
      <c r="B9442" s="1" t="str">
        <f>"OMSAGAR HOTELS LTD"</f>
        <v>OMSAGAR HOTELS LTD</v>
      </c>
      <c r="C9442" s="1" t="str">
        <f>"WALNUT BLUFF 1 LOT 290 "</f>
        <v xml:space="preserve">WALNUT BLUFF 1 LOT 290 </v>
      </c>
      <c r="D9442" s="1">
        <v>137.37</v>
      </c>
    </row>
    <row r="9443" spans="1:4" x14ac:dyDescent="0.3">
      <c r="A9443" s="1" t="str">
        <f>"01006142500"</f>
        <v>01006142500</v>
      </c>
      <c r="B9443" s="1" t="str">
        <f>"OMSAGAR HOTELS LTD"</f>
        <v>OMSAGAR HOTELS LTD</v>
      </c>
      <c r="C9443" s="1" t="str">
        <f>"1477 BRIARWOOD AVE HIGHWAY PARK LOT 297-298"</f>
        <v>1477 BRIARWOOD AVE HIGHWAY PARK LOT 297-298</v>
      </c>
      <c r="D9443" s="1">
        <v>97.54</v>
      </c>
    </row>
    <row r="9444" spans="1:4" x14ac:dyDescent="0.3">
      <c r="A9444" s="1" t="str">
        <f>"06000082400"</f>
        <v>06000082400</v>
      </c>
      <c r="B9444" s="1" t="str">
        <f>"OMSAGER HOTELS LTD AN OHIO LIMITED LIABILITY COMPANY"</f>
        <v>OMSAGER HOTELS LTD AN OHIO LIMITED LIABILITY COMPANY</v>
      </c>
      <c r="C9444" s="1" t="str">
        <f>"SABRE AVE BROOKSIDE PARK 2 LOT 400"</f>
        <v>SABRE AVE BROOKSIDE PARK 2 LOT 400</v>
      </c>
      <c r="D9444" s="1">
        <v>166.3</v>
      </c>
    </row>
    <row r="9445" spans="1:4" x14ac:dyDescent="0.3">
      <c r="A9445" s="1" t="str">
        <f>"01003437600"</f>
        <v>01003437600</v>
      </c>
      <c r="B9445" s="1" t="str">
        <f>"ONE 1301 HOLDINGS LLC"</f>
        <v>ONE 1301 HOLDINGS LLC</v>
      </c>
      <c r="C9445" s="1" t="str">
        <f>"526 N CHAMPION AVE E L MCVEYS MARYLAND PARK SUB S1/2 LOT 30"</f>
        <v>526 N CHAMPION AVE E L MCVEYS MARYLAND PARK SUB S1/2 LOT 30</v>
      </c>
      <c r="D9445" s="1">
        <v>325.45999999999998</v>
      </c>
    </row>
    <row r="9446" spans="1:4" x14ac:dyDescent="0.3">
      <c r="A9446" s="1" t="str">
        <f>"01009492400"</f>
        <v>01009492400</v>
      </c>
      <c r="B9446" s="1" t="str">
        <f>"ONE 1301 HOLDINGS LLC"</f>
        <v>ONE 1301 HOLDINGS LLC</v>
      </c>
      <c r="C9446" s="1" t="str">
        <f>"790 BUCKINGHAM ST GARRISON PK PL SUB PT LTS 214-215-216"</f>
        <v>790 BUCKINGHAM ST GARRISON PK PL SUB PT LTS 214-215-216</v>
      </c>
      <c r="D9446" s="1">
        <v>92.91</v>
      </c>
    </row>
    <row r="9447" spans="1:4" x14ac:dyDescent="0.3">
      <c r="A9447" s="1" t="str">
        <f>"01000348900"</f>
        <v>01000348900</v>
      </c>
      <c r="B9447" s="1" t="str">
        <f>"ONE 1301 HOLDINGS LLC"</f>
        <v>ONE 1301 HOLDINGS LLC</v>
      </c>
      <c r="C9447" s="1" t="str">
        <f>"HANLEY ST 1/2 SEC14 T5 R22 20' X 61.31'"</f>
        <v>HANLEY ST 1/2 SEC14 T5 R22 20' X 61.31'</v>
      </c>
      <c r="D9447" s="1">
        <v>251.14</v>
      </c>
    </row>
    <row r="9448" spans="1:4" x14ac:dyDescent="0.3">
      <c r="A9448" s="1" t="str">
        <f>"01004328600"</f>
        <v>01004328600</v>
      </c>
      <c r="B9448" s="1" t="str">
        <f>"ONE 1301 HOLDINGS LLC"</f>
        <v>ONE 1301 HOLDINGS LLC</v>
      </c>
      <c r="C9448" s="1" t="str">
        <f>"847 CLEVELAND AVE TERRACE VIEW 8.51'MID NE LOT 8 &amp; 15'MID SE LOT 9"</f>
        <v>847 CLEVELAND AVE TERRACE VIEW 8.51'MID NE LOT 8 &amp; 15'MID SE LOT 9</v>
      </c>
      <c r="D9448" s="1">
        <v>79.67</v>
      </c>
    </row>
    <row r="9449" spans="1:4" x14ac:dyDescent="0.3">
      <c r="A9449" s="1" t="str">
        <f>"01003029300"</f>
        <v>01003029300</v>
      </c>
      <c r="B9449" s="1" t="str">
        <f>"ONE 1301 HOLDINGS LLC"</f>
        <v>ONE 1301 HOLDINGS LLC</v>
      </c>
      <c r="C9449" s="1" t="str">
        <f>"539 ST CLAIR AVE 30 X 142 FT 1/2 SEC 12 W S"</f>
        <v>539 ST CLAIR AVE 30 X 142 FT 1/2 SEC 12 W S</v>
      </c>
      <c r="D9449" s="1">
        <v>371.66</v>
      </c>
    </row>
    <row r="9450" spans="1:4" x14ac:dyDescent="0.3">
      <c r="A9450" s="1" t="str">
        <f>"01001994700"</f>
        <v>01001994700</v>
      </c>
      <c r="B9450" s="1" t="str">
        <f>"ONE 1301 HOLDINGS LLC"</f>
        <v>ONE 1301 HOLDINGS LLC</v>
      </c>
      <c r="C9450" s="1" t="str">
        <f>"545 ST CLAIR AVE NLXSL EE 1/2 SEC 12"</f>
        <v>545 ST CLAIR AVE NLXSL EE 1/2 SEC 12</v>
      </c>
      <c r="D9450" s="1">
        <v>371.66</v>
      </c>
    </row>
    <row r="9451" spans="1:4" x14ac:dyDescent="0.3">
      <c r="A9451" s="1" t="str">
        <f>"01000330500"</f>
        <v>01000330500</v>
      </c>
      <c r="B9451" s="1" t="str">
        <f>"ONE 1301 HOLDINGS LLC"</f>
        <v>ONE 1301 HOLDINGS LLC</v>
      </c>
      <c r="C9451" s="1" t="str">
        <f>"990 OLMSTEAD AVE THEO WEYANT SUB 90"</f>
        <v>990 OLMSTEAD AVE THEO WEYANT SUB 90</v>
      </c>
      <c r="D9451" s="1">
        <v>254.84</v>
      </c>
    </row>
    <row r="9452" spans="1:4" x14ac:dyDescent="0.3">
      <c r="A9452" s="1" t="str">
        <f>"01000333400"</f>
        <v>01000333400</v>
      </c>
      <c r="B9452" s="1" t="str">
        <f>"ONE 1301 HOLDINGS LLC"</f>
        <v>ONE 1301 HOLDINGS LLC</v>
      </c>
      <c r="C9452" s="1" t="str">
        <f>"1018 SHOEMAKER RD SHOEMAKER LTOS 14-18"</f>
        <v>1018 SHOEMAKER RD SHOEMAKER LTOS 14-18</v>
      </c>
      <c r="D9452" s="1">
        <v>1354.69</v>
      </c>
    </row>
    <row r="9453" spans="1:4" x14ac:dyDescent="0.3">
      <c r="A9453" s="1" t="str">
        <f>"01000321300"</f>
        <v>01000321300</v>
      </c>
      <c r="B9453" s="1" t="str">
        <f>"ONE 91 HOLDINGS LLC"</f>
        <v>ONE 91 HOLDINGS LLC</v>
      </c>
      <c r="C9453" s="1" t="str">
        <f>"78 RODGERS AVE COTTAGE PLC LOT 92"</f>
        <v>78 RODGERS AVE COTTAGE PLC LOT 92</v>
      </c>
      <c r="D9453" s="1">
        <v>308.47000000000003</v>
      </c>
    </row>
    <row r="9454" spans="1:4" x14ac:dyDescent="0.3">
      <c r="A9454" s="1" t="str">
        <f>"01001971600"</f>
        <v>01001971600</v>
      </c>
      <c r="B9454" s="1" t="str">
        <f>"ONE 91 HOLDINGS LLC"</f>
        <v>ONE 91 HOLDINGS LLC</v>
      </c>
      <c r="C9454" s="1" t="str">
        <f>"846 CAMPBELL AVE OSBORN PL LOT 229"</f>
        <v>846 CAMPBELL AVE OSBORN PL LOT 229</v>
      </c>
      <c r="D9454" s="1">
        <v>338.21</v>
      </c>
    </row>
    <row r="9455" spans="1:4" x14ac:dyDescent="0.3">
      <c r="A9455" s="1" t="str">
        <f>"01002861100"</f>
        <v>01002861100</v>
      </c>
      <c r="B9455" s="1" t="str">
        <f>"ONE 91 HOLDINGS LLC"</f>
        <v>ONE 91 HOLDINGS LLC</v>
      </c>
      <c r="C9455" s="1" t="str">
        <f>"185 N CENTRAL AVE GUILFORD PARK LOT 92"</f>
        <v>185 N CENTRAL AVE GUILFORD PARK LOT 92</v>
      </c>
      <c r="D9455" s="1">
        <v>325.45999999999998</v>
      </c>
    </row>
    <row r="9456" spans="1:4" x14ac:dyDescent="0.3">
      <c r="A9456" s="1" t="str">
        <f>"01004657500"</f>
        <v>01004657500</v>
      </c>
      <c r="B9456" s="1" t="str">
        <f>"ONE 91 HOLDINGS LLC"</f>
        <v>ONE 91 HOLDINGS LLC</v>
      </c>
      <c r="C9456" s="1" t="str">
        <f>"131-3 DANA AVE WEST HIGH SCHOOL LOT 36"</f>
        <v>131-3 DANA AVE WEST HIGH SCHOOL LOT 36</v>
      </c>
      <c r="D9456" s="1">
        <v>341.92</v>
      </c>
    </row>
    <row r="9457" spans="1:4" x14ac:dyDescent="0.3">
      <c r="A9457" s="1" t="str">
        <f>"01000971800"</f>
        <v>01000971800</v>
      </c>
      <c r="B9457" s="1" t="str">
        <f>"ONE 91 HOLDINGS LLC"</f>
        <v>ONE 91 HOLDINGS LLC</v>
      </c>
      <c r="C9457" s="1" t="str">
        <f>"37-39 BREHL AVE DOREN CENTRAL AVE LOT 31-32"</f>
        <v>37-39 BREHL AVE DOREN CENTRAL AVE LOT 31-32</v>
      </c>
      <c r="D9457" s="1">
        <v>388.66</v>
      </c>
    </row>
    <row r="9458" spans="1:4" x14ac:dyDescent="0.3">
      <c r="A9458" s="1" t="str">
        <f>"01004684000"</f>
        <v>01004684000</v>
      </c>
      <c r="B9458" s="1" t="str">
        <f>"ONE 91 HOLDINGS LLC"</f>
        <v>ONE 91 HOLDINGS LLC</v>
      </c>
      <c r="C9458" s="1" t="str">
        <f>"38 S CENTRAL AVE N L DORENS CENTRAL AVE LOT 16"</f>
        <v>38 S CENTRAL AVE N L DORENS CENTRAL AVE LOT 16</v>
      </c>
      <c r="D9458" s="1">
        <v>344.05</v>
      </c>
    </row>
    <row r="9459" spans="1:4" x14ac:dyDescent="0.3">
      <c r="A9459" s="1" t="str">
        <f>"01001918900"</f>
        <v>01001918900</v>
      </c>
      <c r="B9459" s="1" t="str">
        <f>"ONE 91 HOLDINGS LLC"</f>
        <v>ONE 91 HOLDINGS LLC</v>
      </c>
      <c r="C9459" s="1" t="str">
        <f>"42 S CENTRAL AVE N L DOREN CENTRAL AV LOT 17"</f>
        <v>42 S CENTRAL AVE N L DOREN CENTRAL AV LOT 17</v>
      </c>
      <c r="D9459" s="1">
        <v>344.05</v>
      </c>
    </row>
    <row r="9460" spans="1:4" x14ac:dyDescent="0.3">
      <c r="A9460" s="1" t="str">
        <f>"01004697700"</f>
        <v>01004697700</v>
      </c>
      <c r="B9460" s="1" t="str">
        <f>"ONE 91 HOLDINGS LLC"</f>
        <v>ONE 91 HOLDINGS LLC</v>
      </c>
      <c r="C9460" s="1" t="str">
        <f>"31-33 BREHL AVE DORENS CENTRAL AVE LOT 30-1"</f>
        <v>31-33 BREHL AVE DORENS CENTRAL AVE LOT 30-1</v>
      </c>
      <c r="D9460" s="1">
        <v>393.98</v>
      </c>
    </row>
    <row r="9461" spans="1:4" x14ac:dyDescent="0.3">
      <c r="A9461" s="1" t="str">
        <f>"01004200100"</f>
        <v>01004200100</v>
      </c>
      <c r="B9461" s="1" t="str">
        <f>"ONE 91 HOLDINGS LLC"</f>
        <v>ONE 91 HOLDINGS LLC</v>
      </c>
      <c r="C9461" s="1" t="str">
        <f>"236 AVONDALE AVE W PARK LOT 71"</f>
        <v>236 AVONDALE AVE W PARK LOT 71</v>
      </c>
      <c r="D9461" s="1">
        <v>1155.82</v>
      </c>
    </row>
    <row r="9462" spans="1:4" x14ac:dyDescent="0.3">
      <c r="A9462" s="1" t="str">
        <f>"01004291700"</f>
        <v>01004291700</v>
      </c>
      <c r="B9462" s="1" t="str">
        <f>"ONE 91 HOLDINGS LLC"</f>
        <v>ONE 91 HOLDINGS LLC</v>
      </c>
      <c r="C9462" s="1" t="str">
        <f>"WEST PARK AVENUE WEST PARK LOT 690"</f>
        <v>WEST PARK AVENUE WEST PARK LOT 690</v>
      </c>
      <c r="D9462" s="1">
        <v>360.53</v>
      </c>
    </row>
    <row r="9463" spans="1:4" x14ac:dyDescent="0.3">
      <c r="A9463" s="1" t="str">
        <f>"01001284500"</f>
        <v>01001284500</v>
      </c>
      <c r="B9463" s="1" t="str">
        <f>"ONE 91 HOLDINGS LLC"</f>
        <v>ONE 91 HOLDINGS LLC</v>
      </c>
      <c r="C9463" s="1" t="str">
        <f>"187-189 GUILFORD GUILFORD PARK LOT 131"</f>
        <v>187-189 GUILFORD GUILFORD PARK LOT 131</v>
      </c>
      <c r="D9463" s="1">
        <v>319.62</v>
      </c>
    </row>
    <row r="9464" spans="1:4" x14ac:dyDescent="0.3">
      <c r="A9464" s="1" t="str">
        <f>"01001286800"</f>
        <v>01001286800</v>
      </c>
      <c r="B9464" s="1" t="str">
        <f>"ONE 91 HOLDINGS LLC"</f>
        <v>ONE 91 HOLDINGS LLC</v>
      </c>
      <c r="C9464" s="1" t="str">
        <f>"158 N YALE AVE FRANKLIN 2 LOT 39"</f>
        <v>158 N YALE AVE FRANKLIN 2 LOT 39</v>
      </c>
      <c r="D9464" s="1">
        <v>282.47000000000003</v>
      </c>
    </row>
    <row r="9465" spans="1:4" x14ac:dyDescent="0.3">
      <c r="A9465" s="1" t="str">
        <f>"01003298200"</f>
        <v>01003298200</v>
      </c>
      <c r="B9465" s="1" t="str">
        <f>"ONE 91 HOLDINGS LLC"</f>
        <v>ONE 91 HOLDINGS LLC</v>
      </c>
      <c r="C9465" s="1" t="str">
        <f>"186 SCHULTZ AVE BELMONT LOT 140 "</f>
        <v xml:space="preserve">186 SCHULTZ AVE BELMONT LOT 140 </v>
      </c>
      <c r="D9465" s="1">
        <v>332.92</v>
      </c>
    </row>
    <row r="9466" spans="1:4" x14ac:dyDescent="0.3">
      <c r="A9466" s="1" t="str">
        <f>"01001391900"</f>
        <v>01001391900</v>
      </c>
      <c r="B9466" s="1" t="str">
        <f>"ONE 91 HOLDINGS LLC"</f>
        <v>ONE 91 HOLDINGS LLC</v>
      </c>
      <c r="C9466" s="1" t="str">
        <f>"293 YALE AVE WEST PARK LOT 562"</f>
        <v>293 YALE AVE WEST PARK LOT 562</v>
      </c>
      <c r="D9466" s="1">
        <v>356.79</v>
      </c>
    </row>
    <row r="9467" spans="1:4" x14ac:dyDescent="0.3">
      <c r="A9467" s="1" t="str">
        <f>"01005361800"</f>
        <v>01005361800</v>
      </c>
      <c r="B9467" s="1" t="str">
        <f>"ONE 91 HOLDINGS LLC"</f>
        <v>ONE 91 HOLDINGS LLC</v>
      </c>
      <c r="C9467" s="1" t="str">
        <f>"810 CAMPBELL AVE OSBORN PLACE LOT 236"</f>
        <v>810 CAMPBELL AVE OSBORN PLACE LOT 236</v>
      </c>
      <c r="D9467" s="1">
        <v>340.33</v>
      </c>
    </row>
    <row r="9468" spans="1:4" x14ac:dyDescent="0.3">
      <c r="A9468" s="1" t="str">
        <f>"01000343600"</f>
        <v>01000343600</v>
      </c>
      <c r="B9468" s="1" t="str">
        <f>"ONE 91 HOLDINGS LLC"</f>
        <v>ONE 91 HOLDINGS LLC</v>
      </c>
      <c r="C9468" s="1" t="str">
        <f>"154 N YALE AVE FRANKLIN 2ND LOT 40"</f>
        <v>154 N YALE AVE FRANKLIN 2ND LOT 40</v>
      </c>
      <c r="D9468" s="1">
        <v>206.54</v>
      </c>
    </row>
    <row r="9469" spans="1:4" x14ac:dyDescent="0.3">
      <c r="A9469" s="1" t="str">
        <f>"01006750500"</f>
        <v>01006750500</v>
      </c>
      <c r="B9469" s="1" t="str">
        <f>"ONE 91 HOLDINGS LLC"</f>
        <v>ONE 91 HOLDINGS LLC</v>
      </c>
      <c r="C9469" s="1" t="str">
        <f>"FOREST HILL LOTS 72-3 "</f>
        <v xml:space="preserve">FOREST HILL LOTS 72-3 </v>
      </c>
      <c r="D9469" s="1">
        <v>1071.6400000000001</v>
      </c>
    </row>
    <row r="9470" spans="1:4" x14ac:dyDescent="0.3">
      <c r="A9470" s="1" t="str">
        <f>"01000019500"</f>
        <v>01000019500</v>
      </c>
      <c r="B9470" s="1" t="str">
        <f>"ONE 94 HOLDINGS LLC"</f>
        <v>ONE 94 HOLDINGS LLC</v>
      </c>
      <c r="C9470" s="1" t="str">
        <f>"1569 UNION AVENUE SULLIVANT .113 ACRE   LOT 33"</f>
        <v>1569 UNION AVENUE SULLIVANT .113 ACRE   LOT 33</v>
      </c>
      <c r="D9470" s="1">
        <v>236.27</v>
      </c>
    </row>
    <row r="9471" spans="1:4" x14ac:dyDescent="0.3">
      <c r="A9471" s="1" t="str">
        <f>"01000296000"</f>
        <v>01000296000</v>
      </c>
      <c r="B9471" s="1" t="str">
        <f>"ONE 94 HOLDINGS LLC"</f>
        <v>ONE 94 HOLDINGS LLC</v>
      </c>
      <c r="C9471" s="1" t="str">
        <f>"188 N WAYNE AVE GLEN VIEW HTS LOT 103"</f>
        <v>188 N WAYNE AVE GLEN VIEW HTS LOT 103</v>
      </c>
      <c r="D9471" s="1">
        <v>139.61000000000001</v>
      </c>
    </row>
    <row r="9472" spans="1:4" x14ac:dyDescent="0.3">
      <c r="A9472" s="1" t="str">
        <f>"01001016600"</f>
        <v>01001016600</v>
      </c>
      <c r="B9472" s="1" t="str">
        <f>"ONE 94 HOLDINGS LLC"</f>
        <v>ONE 94 HOLDINGS LLC</v>
      </c>
      <c r="C9472" s="1" t="str">
        <f>"28 S RICHARDSON AVE LANDSCAPE LOT 137"</f>
        <v>28 S RICHARDSON AVE LANDSCAPE LOT 137</v>
      </c>
      <c r="D9472" s="1">
        <v>184.25</v>
      </c>
    </row>
    <row r="9473" spans="1:4" x14ac:dyDescent="0.3">
      <c r="A9473" s="1" t="str">
        <f>"01002861500"</f>
        <v>01002861500</v>
      </c>
      <c r="B9473" s="1" t="str">
        <f>"ONE 94 HOLDINGS LLC"</f>
        <v>ONE 94 HOLDINGS LLC</v>
      </c>
      <c r="C9473" s="1" t="str">
        <f>"1579 UNION AVE 33.04 X145.64 FT SULLIVANT SUB 33"</f>
        <v>1579 UNION AVE 33.04 X145.64 FT SULLIVANT SUB 33</v>
      </c>
      <c r="D9473" s="1">
        <v>236.27</v>
      </c>
    </row>
    <row r="9474" spans="1:4" x14ac:dyDescent="0.3">
      <c r="A9474" s="1" t="str">
        <f>"01002470800"</f>
        <v>01002470800</v>
      </c>
      <c r="B9474" s="1" t="str">
        <f>"ONE 94 HOLDINGS LLC"</f>
        <v>ONE 94 HOLDINGS LLC</v>
      </c>
      <c r="C9474" s="1" t="str">
        <f>"96 MIDLAND AVE JOHNSTON LOT 9"</f>
        <v>96 MIDLAND AVE JOHNSTON LOT 9</v>
      </c>
      <c r="D9474" s="1">
        <v>321.76</v>
      </c>
    </row>
    <row r="9475" spans="1:4" x14ac:dyDescent="0.3">
      <c r="A9475" s="1" t="str">
        <f>"01000676800"</f>
        <v>01000676800</v>
      </c>
      <c r="B9475" s="1" t="str">
        <f>"ONE 94 HOLDINGS LLC"</f>
        <v>ONE 94 HOLDINGS LLC</v>
      </c>
      <c r="C9475" s="1" t="str">
        <f>"2391 PALMETTS BET PARK &amp; OAKLEY LOT 157"</f>
        <v>2391 PALMETTS BET PARK &amp; OAKLEY LOT 157</v>
      </c>
      <c r="D9475" s="1">
        <v>999.43</v>
      </c>
    </row>
    <row r="9476" spans="1:4" x14ac:dyDescent="0.3">
      <c r="A9476" s="1" t="str">
        <f>"01003539000"</f>
        <v>01003539000</v>
      </c>
      <c r="B9476" s="1" t="str">
        <f>"ONE 94 HOLDINGS LLC"</f>
        <v>ONE 94 HOLDINGS LLC</v>
      </c>
      <c r="C9476" s="1" t="str">
        <f>"57 S OAKLEY AVE OAKLEY LOT 93"</f>
        <v>57 S OAKLEY AVE OAKLEY LOT 93</v>
      </c>
      <c r="D9476" s="1">
        <v>278.75</v>
      </c>
    </row>
    <row r="9477" spans="1:4" x14ac:dyDescent="0.3">
      <c r="A9477" s="1" t="str">
        <f>"01004289100"</f>
        <v>01004289100</v>
      </c>
      <c r="B9477" s="1" t="str">
        <f>"ONE 94 HOLDINGS LLC"</f>
        <v>ONE 94 HOLDINGS LLC</v>
      </c>
      <c r="C9477" s="1" t="str">
        <f>"32 S RICHARDSON AVE LANDSCAPE LOT 138"</f>
        <v>32 S RICHARDSON AVE LANDSCAPE LOT 138</v>
      </c>
      <c r="D9477" s="1">
        <v>301.04000000000002</v>
      </c>
    </row>
    <row r="9478" spans="1:4" x14ac:dyDescent="0.3">
      <c r="A9478" s="1" t="str">
        <f>"01003226500"</f>
        <v>01003226500</v>
      </c>
      <c r="B9478" s="1" t="str">
        <f>"ONE 94 HOLDINGS LLC"</f>
        <v>ONE 94 HOLDINGS LLC</v>
      </c>
      <c r="C9478" s="1" t="str">
        <f>"284 MIDLAND AVE WEST WOOD HTS LOT171"</f>
        <v>284 MIDLAND AVE WEST WOOD HTS LOT171</v>
      </c>
      <c r="D9478" s="1">
        <v>318.04000000000002</v>
      </c>
    </row>
    <row r="9479" spans="1:4" x14ac:dyDescent="0.3">
      <c r="A9479" s="1" t="str">
        <f>"01003092400"</f>
        <v>01003092400</v>
      </c>
      <c r="B9479" s="1" t="str">
        <f>"ONE 94 HOLDINGS LLC"</f>
        <v>ONE 94 HOLDINGS LLC</v>
      </c>
      <c r="C9479" s="1" t="str">
        <f>"RICHARDSON AVE LANDSCAPE LOT 220"</f>
        <v>RICHARDSON AVE LANDSCAPE LOT 220</v>
      </c>
      <c r="D9479" s="1">
        <v>297.32</v>
      </c>
    </row>
    <row r="9480" spans="1:4" x14ac:dyDescent="0.3">
      <c r="A9480" s="1" t="str">
        <f>"01000312400"</f>
        <v>01000312400</v>
      </c>
      <c r="B9480" s="1" t="str">
        <f>"ONE 94 HOLDINGS LLC"</f>
        <v>ONE 94 HOLDINGS LLC</v>
      </c>
      <c r="C9480" s="1" t="str">
        <f>"2407 PALMETTO AVE OAKLEY LOT 161"</f>
        <v>2407 PALMETTO AVE OAKLEY LOT 161</v>
      </c>
      <c r="D9480" s="1">
        <v>266</v>
      </c>
    </row>
    <row r="9481" spans="1:4" x14ac:dyDescent="0.3">
      <c r="A9481" s="1" t="str">
        <f>"01000953000"</f>
        <v>01000953000</v>
      </c>
      <c r="B9481" s="1" t="str">
        <f>"ONE 94 HOLDINGS LLC"</f>
        <v>ONE 94 HOLDINGS LLC</v>
      </c>
      <c r="C9481" s="1" t="str">
        <f>"OGDEN AVE WICKLOW LOT 110"</f>
        <v>OGDEN AVE WICKLOW LOT 110</v>
      </c>
      <c r="D9481" s="1">
        <v>267.58999999999997</v>
      </c>
    </row>
    <row r="9482" spans="1:4" x14ac:dyDescent="0.3">
      <c r="A9482" s="1" t="str">
        <f>"01005699800"</f>
        <v>01005699800</v>
      </c>
      <c r="B9482" s="1" t="str">
        <f>"ONE 94 HOLDINGS LLC"</f>
        <v>ONE 94 HOLDINGS LLC</v>
      </c>
      <c r="C9482" s="1" t="str">
        <f>"224 HIGHLAND AVE DL DAVIES LOT 22"</f>
        <v>224 HIGHLAND AVE DL DAVIES LOT 22</v>
      </c>
      <c r="D9482" s="1">
        <v>278.75</v>
      </c>
    </row>
    <row r="9483" spans="1:4" x14ac:dyDescent="0.3">
      <c r="A9483" s="1" t="str">
        <f>"14000231300"</f>
        <v>14000231300</v>
      </c>
      <c r="B9483" s="1" t="str">
        <f>"ONE WORLD REAL ESTATE LLC"</f>
        <v>ONE WORLD REAL ESTATE LLC</v>
      </c>
      <c r="C9483" s="1" t="str">
        <f>"1682 LITTLE AVE NEW CITY LOT 46"</f>
        <v>1682 LITTLE AVE NEW CITY LOT 46</v>
      </c>
      <c r="D9483" s="1">
        <v>171.18</v>
      </c>
    </row>
    <row r="9484" spans="1:4" x14ac:dyDescent="0.3">
      <c r="A9484" s="1" t="str">
        <f>"01016189200"</f>
        <v>01016189200</v>
      </c>
      <c r="B9484" s="1" t="str">
        <f>"ONEAL YOLANDRA C, CARTER KIMBERLY N"</f>
        <v>ONEAL YOLANDRA C, CARTER KIMBERLY N</v>
      </c>
      <c r="C9484" s="1" t="str">
        <f>"NIANTIC DRIVE FRAMINGHAM LOT 66"</f>
        <v>NIANTIC DRIVE FRAMINGHAM LOT 66</v>
      </c>
      <c r="D9484" s="1">
        <v>5112.1499999999996</v>
      </c>
    </row>
    <row r="9485" spans="1:4" x14ac:dyDescent="0.3">
      <c r="A9485" s="1" t="str">
        <f>"01011219300"</f>
        <v>01011219300</v>
      </c>
      <c r="B9485" s="1" t="str">
        <f>"ONEIL JAMES WILLIAM"</f>
        <v>ONEIL JAMES WILLIAM</v>
      </c>
      <c r="C9485" s="1" t="str">
        <f>"LOT 41 1768 CHAMPION AVE "</f>
        <v xml:space="preserve">LOT 41 1768 CHAMPION AVE </v>
      </c>
      <c r="D9485" s="1">
        <v>2882.08</v>
      </c>
    </row>
    <row r="9486" spans="1:4" x14ac:dyDescent="0.3">
      <c r="A9486" s="1" t="str">
        <f>"61018049900"</f>
        <v>61018049900</v>
      </c>
      <c r="B9486" s="1" t="str">
        <f>"ONEIL SHELLEY W"</f>
        <v>ONEIL SHELLEY W</v>
      </c>
      <c r="C9486" s="1" t="str">
        <f>"WORTHINGWOODS BL WORTHINGWOODS LOT 55"</f>
        <v>WORTHINGWOODS BL WORTHINGWOODS LOT 55</v>
      </c>
      <c r="D9486" s="1">
        <v>7985.99</v>
      </c>
    </row>
    <row r="9487" spans="1:4" x14ac:dyDescent="0.3">
      <c r="A9487" s="1" t="str">
        <f>"61029360700"</f>
        <v>61029360700</v>
      </c>
      <c r="B9487" s="1" t="str">
        <f>"ONEILL GREG"</f>
        <v>ONEILL GREG</v>
      </c>
      <c r="C9487" s="1" t="str">
        <f>"RAVINES AT FLINT PARK     CONDOMINIUMS 20TH AMD     UNIT 8066                "</f>
        <v xml:space="preserve">RAVINES AT FLINT PARK     CONDOMINIUMS 20TH AMD     UNIT 8066                </v>
      </c>
      <c r="D9487" s="1">
        <v>291.32</v>
      </c>
    </row>
    <row r="9488" spans="1:4" x14ac:dyDescent="0.3">
      <c r="A9488" s="1" t="str">
        <f>"08000903000"</f>
        <v>08000903000</v>
      </c>
      <c r="B9488" s="1" t="str">
        <f>"ONYSHKO SERHIY, MAKYUKH NINA"</f>
        <v>ONYSHKO SERHIY, MAKYUKH NINA</v>
      </c>
      <c r="C9488" s="1" t="str">
        <f>"279 CROSS WIND DR WESTERVILLE CONDO TOWNHMS IV UNIT D"</f>
        <v>279 CROSS WIND DR WESTERVILLE CONDO TOWNHMS IV UNIT D</v>
      </c>
      <c r="D9488" s="1">
        <v>1365.34</v>
      </c>
    </row>
    <row r="9489" spans="1:4" x14ac:dyDescent="0.3">
      <c r="A9489" s="1" t="str">
        <f>"01007483900"</f>
        <v>01007483900</v>
      </c>
      <c r="B9489" s="1" t="str">
        <f>"OP &amp; D LLC"</f>
        <v>OP &amp; D LLC</v>
      </c>
      <c r="C9489" s="1" t="str">
        <f>"2228 HAMILTON AVE GRASMERE GARDENS LOT 73"</f>
        <v>2228 HAMILTON AVE GRASMERE GARDENS LOT 73</v>
      </c>
      <c r="D9489" s="1">
        <v>803.79</v>
      </c>
    </row>
    <row r="9490" spans="1:4" x14ac:dyDescent="0.3">
      <c r="A9490" s="1" t="str">
        <f>"01016937000"</f>
        <v>01016937000</v>
      </c>
      <c r="B9490" s="1" t="str">
        <f>"OPATICH SAMUEL M"</f>
        <v>OPATICH SAMUEL M</v>
      </c>
      <c r="C9490" s="1" t="str">
        <f>"FALCON BRIDGE DR WALNUT BLUFF NO 5 SEC ONE LOT 1132"</f>
        <v>FALCON BRIDGE DR WALNUT BLUFF NO 5 SEC ONE LOT 1132</v>
      </c>
      <c r="D9490" s="1">
        <v>1733.2</v>
      </c>
    </row>
    <row r="9491" spans="1:4" x14ac:dyDescent="0.3">
      <c r="A9491" s="1" t="str">
        <f>"01006126700"</f>
        <v>01006126700</v>
      </c>
      <c r="B9491" s="1" t="str">
        <f>"OPEN DOOR CAPITAL OHIO"</f>
        <v>OPEN DOOR CAPITAL OHIO</v>
      </c>
      <c r="C9491" s="1" t="str">
        <f>"1538 REPUBLIC ST AUGUSTINE LOT 24"</f>
        <v>1538 REPUBLIC ST AUGUSTINE LOT 24</v>
      </c>
      <c r="D9491" s="1">
        <v>1446.29</v>
      </c>
    </row>
    <row r="9492" spans="1:4" x14ac:dyDescent="0.3">
      <c r="A9492" s="1" t="str">
        <f>"01007737500"</f>
        <v>01007737500</v>
      </c>
      <c r="B9492" s="1" t="str">
        <f>"OPENDOOR PROPERTY J LLC"</f>
        <v>OPENDOOR PROPERTY J LLC</v>
      </c>
      <c r="C9492" s="1" t="str">
        <f>"RHOADS PLACE              RHOADS PLACE              LOT 2                    "</f>
        <v xml:space="preserve">RHOADS PLACE              RHOADS PLACE              LOT 2                    </v>
      </c>
      <c r="D9492" s="1">
        <v>232.12</v>
      </c>
    </row>
    <row r="9493" spans="1:4" x14ac:dyDescent="0.3">
      <c r="A9493" s="1" t="str">
        <f>"05000340200"</f>
        <v>05000340200</v>
      </c>
      <c r="B9493" s="1" t="str">
        <f>"OPENDOOR PROPERTY J LLC"</f>
        <v>OPENDOOR PROPERTY J LLC</v>
      </c>
      <c r="C9493" s="1" t="str">
        <f>"5357 W CARINA COURT HAYDEN RUN VILLAGE PHASE 3 LOT 51"</f>
        <v>5357 W CARINA COURT HAYDEN RUN VILLAGE PHASE 3 LOT 51</v>
      </c>
      <c r="D9493" s="1">
        <v>503.6</v>
      </c>
    </row>
    <row r="9494" spans="1:4" x14ac:dyDescent="0.3">
      <c r="A9494" s="1" t="str">
        <f>"11000518200"</f>
        <v>11000518200</v>
      </c>
      <c r="B9494" s="1" t="str">
        <f>"OPITZ ELEANOR F"</f>
        <v>OPITZ ELEANOR F</v>
      </c>
      <c r="C9494" s="1" t="str">
        <f>"NATALIE CT GLENGARY WOODS LOT 43"</f>
        <v>NATALIE CT GLENGARY WOODS LOT 43</v>
      </c>
      <c r="D9494" s="1">
        <v>572.02</v>
      </c>
    </row>
    <row r="9495" spans="1:4" x14ac:dyDescent="0.3">
      <c r="A9495" s="1" t="str">
        <f>"57024372500"</f>
        <v>57024372500</v>
      </c>
      <c r="B9495" s="1" t="str">
        <f>"OPPENHEIMER JOHN, OPPENHEIMER GABRIELA"</f>
        <v>OPPENHEIMER JOHN, OPPENHEIMER GABRIELA</v>
      </c>
      <c r="C9495" s="1" t="str">
        <f>"ALKIRE PARK CONDOMINIUM 1ST AMD UNIT 11D"</f>
        <v>ALKIRE PARK CONDOMINIUM 1ST AMD UNIT 11D</v>
      </c>
      <c r="D9495" s="1">
        <v>101.76</v>
      </c>
    </row>
    <row r="9496" spans="1:4" x14ac:dyDescent="0.3">
      <c r="A9496" s="1" t="str">
        <f>"01024509900"</f>
        <v>01024509900</v>
      </c>
      <c r="B9496" s="1" t="str">
        <f>"OPPONG BERNARD K TR"</f>
        <v>OPPONG BERNARD K TR</v>
      </c>
      <c r="C9496" s="1" t="str">
        <f>"HICKORY RIDGE CONDOMINIUM 2ND AMD UNIT 5-2896"</f>
        <v>HICKORY RIDGE CONDOMINIUM 2ND AMD UNIT 5-2896</v>
      </c>
      <c r="D9496" s="1">
        <v>62.75</v>
      </c>
    </row>
    <row r="9497" spans="1:4" x14ac:dyDescent="0.3">
      <c r="A9497" s="1" t="str">
        <f>"01003850600"</f>
        <v>01003850600</v>
      </c>
      <c r="B9497" s="1" t="str">
        <f>"ORANGE DOOR INVESTMENTS LLC"</f>
        <v>ORANGE DOOR INVESTMENTS LLC</v>
      </c>
      <c r="C9497" s="1" t="str">
        <f>"THIRD ST WARREN JENKINS MARION ADDN LOT 25 &amp; IRR SEC NW COR PT LOT 26 (0.110 ACRE)"</f>
        <v>THIRD ST WARREN JENKINS MARION ADDN LOT 25 &amp; IRR SEC NW COR PT LOT 26 (0.110 ACRE)</v>
      </c>
      <c r="D9497" s="1">
        <v>3680.58</v>
      </c>
    </row>
    <row r="9498" spans="1:4" x14ac:dyDescent="0.3">
      <c r="A9498" s="1" t="str">
        <f>"01003254900"</f>
        <v>01003254900</v>
      </c>
      <c r="B9498" s="1" t="str">
        <f>"ORCHARD CAPITAL LLC"</f>
        <v>ORCHARD CAPITAL LLC</v>
      </c>
      <c r="C9498" s="1" t="str">
        <f>"1394 6 OHIO AVE MACLAUGHLIN PLC LOT 64"</f>
        <v>1394 6 OHIO AVE MACLAUGHLIN PLC LOT 64</v>
      </c>
      <c r="D9498" s="1">
        <v>2000.44</v>
      </c>
    </row>
    <row r="9499" spans="1:4" x14ac:dyDescent="0.3">
      <c r="A9499" s="1" t="str">
        <f>"01007508700"</f>
        <v>01007508700</v>
      </c>
      <c r="B9499" s="1" t="str">
        <f>"ORCHARD CAPITAL LLC"</f>
        <v>ORCHARD CAPITAL LLC</v>
      </c>
      <c r="C9499" s="1" t="str">
        <f>"JEFFERSON AVE GRASMERE GARDENS LOT 324"</f>
        <v>JEFFERSON AVE GRASMERE GARDENS LOT 324</v>
      </c>
      <c r="D9499" s="1">
        <v>1905.68</v>
      </c>
    </row>
    <row r="9500" spans="1:4" x14ac:dyDescent="0.3">
      <c r="A9500" s="1" t="str">
        <f>"59022637600"</f>
        <v>59022637600</v>
      </c>
      <c r="B9500" s="1" t="str">
        <f>"ORCHARD CAPITAL LLC"</f>
        <v>ORCHARD CAPITAL LLC</v>
      </c>
      <c r="C9500" s="1" t="str">
        <f>"SUMMIT VIEW WOODS SECTION 5 PART 1 LOT 359"</f>
        <v>SUMMIT VIEW WOODS SECTION 5 PART 1 LOT 359</v>
      </c>
      <c r="D9500" s="1">
        <v>4275.1400000000003</v>
      </c>
    </row>
    <row r="9501" spans="1:4" x14ac:dyDescent="0.3">
      <c r="A9501" s="1" t="str">
        <f>"01012159300"</f>
        <v>01012159300</v>
      </c>
      <c r="B9501" s="1" t="str">
        <f>"ORDUNA IVAN"</f>
        <v>ORDUNA IVAN</v>
      </c>
      <c r="C9501" s="1" t="str">
        <f>"DUNDEE PLACE THUNDERBIRD ACRES 2 LOT 325"</f>
        <v>DUNDEE PLACE THUNDERBIRD ACRES 2 LOT 325</v>
      </c>
      <c r="D9501" s="1">
        <v>2886.41</v>
      </c>
    </row>
    <row r="9502" spans="1:4" x14ac:dyDescent="0.3">
      <c r="A9502" s="1" t="str">
        <f>"01009329800"</f>
        <v>01009329800</v>
      </c>
      <c r="B9502" s="1" t="str">
        <f>"OREILLY PATRICK J TR, OREILLY MARY L TR"</f>
        <v>OREILLY PATRICK J TR, OREILLY MARY L TR</v>
      </c>
      <c r="C9502" s="1" t="str">
        <f>"HOMECROFT DR OAK PARK 5 LOT 15"</f>
        <v>HOMECROFT DR OAK PARK 5 LOT 15</v>
      </c>
      <c r="D9502" s="1">
        <v>2002.28</v>
      </c>
    </row>
    <row r="9503" spans="1:4" x14ac:dyDescent="0.3">
      <c r="A9503" s="1" t="str">
        <f>"01005911900"</f>
        <v>01005911900</v>
      </c>
      <c r="B9503" s="1" t="str">
        <f>"ORELLANA Q SONIA E"</f>
        <v>ORELLANA Q SONIA E</v>
      </c>
      <c r="C9503" s="1" t="str">
        <f>"1255 MINNESOTA LINDEN LOT 614"</f>
        <v>1255 MINNESOTA LINDEN LOT 614</v>
      </c>
      <c r="D9503" s="1">
        <v>703.11</v>
      </c>
    </row>
    <row r="9504" spans="1:4" x14ac:dyDescent="0.3">
      <c r="A9504" s="1" t="str">
        <f>"01003162300"</f>
        <v>01003162300</v>
      </c>
      <c r="B9504" s="1" t="str">
        <f>"ORMABUK MOTORS LLC"</f>
        <v>ORMABUK MOTORS LLC</v>
      </c>
      <c r="C9504" s="1" t="str">
        <f>"E FIFTH AVE 2802 E COLUMBUS LOT 461-2"</f>
        <v>E FIFTH AVE 2802 E COLUMBUS LOT 461-2</v>
      </c>
      <c r="D9504" s="1">
        <v>46.07</v>
      </c>
    </row>
    <row r="9505" spans="1:4" x14ac:dyDescent="0.3">
      <c r="A9505" s="1" t="str">
        <f>"01031032600"</f>
        <v>01031032600</v>
      </c>
      <c r="B9505" s="1" t="str">
        <f>"ORO RB SPE OWNER LLC"</f>
        <v>ORO RB SPE OWNER LLC</v>
      </c>
      <c r="C9505" s="1" t="str">
        <f>"RUNAWAY BAY BLDG 3 UNIT 15101C"</f>
        <v>RUNAWAY BAY BLDG 3 UNIT 15101C</v>
      </c>
      <c r="D9505" s="1">
        <v>1726.66</v>
      </c>
    </row>
    <row r="9506" spans="1:4" x14ac:dyDescent="0.3">
      <c r="A9506" s="1" t="str">
        <f>"01006589900"</f>
        <v>01006589900</v>
      </c>
      <c r="B9506" s="1" t="str">
        <f>"ORR CHRISTOPHER A"</f>
        <v>ORR CHRISTOPHER A</v>
      </c>
      <c r="C9506" s="1" t="str">
        <f>"531 HIGHLAND AVE EDGEWOOD PLC LOT 68"</f>
        <v>531 HIGHLAND AVE EDGEWOOD PLC LOT 68</v>
      </c>
      <c r="D9506" s="1">
        <v>2022.57</v>
      </c>
    </row>
    <row r="9507" spans="1:4" x14ac:dyDescent="0.3">
      <c r="A9507" s="1" t="str">
        <f>"01016123800"</f>
        <v>01016123800</v>
      </c>
      <c r="B9507" s="1" t="str">
        <f>"ORR HEATHER"</f>
        <v>ORR HEATHER</v>
      </c>
      <c r="C9507" s="1" t="str">
        <f>"WOODBROOK LANE WOODBROOK VILLAGE CONDO UNIT 272"</f>
        <v>WOODBROOK LANE WOODBROOK VILLAGE CONDO UNIT 272</v>
      </c>
      <c r="D9507" s="1">
        <v>1294.18</v>
      </c>
    </row>
    <row r="9508" spans="1:4" x14ac:dyDescent="0.3">
      <c r="A9508" s="1" t="str">
        <f>"01003568600"</f>
        <v>01003568600</v>
      </c>
      <c r="B9508" s="1" t="str">
        <f>"ORR LINDSAY M"</f>
        <v>ORR LINDSAY M</v>
      </c>
      <c r="C9508" s="1" t="str">
        <f>"225 N POWELL AVE ROYS PARK ADD LOT 15"</f>
        <v>225 N POWELL AVE ROYS PARK ADD LOT 15</v>
      </c>
      <c r="D9508" s="1">
        <v>1315</v>
      </c>
    </row>
    <row r="9509" spans="1:4" x14ac:dyDescent="0.3">
      <c r="A9509" s="1" t="str">
        <f>"01012853300"</f>
        <v>01012853300</v>
      </c>
      <c r="B9509" s="1" t="str">
        <f>"ORR VALERIE J"</f>
        <v>ORR VALERIE J</v>
      </c>
      <c r="C9509" s="1" t="str">
        <f>"MARLAND DR S MOORES&amp;DALES 5 LOT 6"</f>
        <v>MARLAND DR S MOORES&amp;DALES 5 LOT 6</v>
      </c>
      <c r="D9509" s="1">
        <v>646.76</v>
      </c>
    </row>
    <row r="9510" spans="1:4" x14ac:dyDescent="0.3">
      <c r="A9510" s="1" t="str">
        <f>"61020618000"</f>
        <v>61020618000</v>
      </c>
      <c r="B9510" s="1" t="str">
        <f>"ORSINI NICHOLAS G"</f>
        <v>ORSINI NICHOLAS G</v>
      </c>
      <c r="C9510" s="1" t="str">
        <f>"WORTHINGTON HEIGHTS CONDO 3RD AMD UNIT 197"</f>
        <v>WORTHINGTON HEIGHTS CONDO 3RD AMD UNIT 197</v>
      </c>
      <c r="D9510" s="1">
        <v>2718.06</v>
      </c>
    </row>
    <row r="9511" spans="1:4" x14ac:dyDescent="0.3">
      <c r="A9511" s="1" t="str">
        <f>"01003618800"</f>
        <v>01003618800</v>
      </c>
      <c r="B9511" s="1" t="str">
        <f>"ORTEGA CONCEPCION GARCIA"</f>
        <v>ORTEGA CONCEPCION GARCIA</v>
      </c>
      <c r="C9511" s="1" t="str">
        <f>"348 CLARENDON AVE WESTWOOD HTS LOT 216"</f>
        <v>348 CLARENDON AVE WESTWOOD HTS LOT 216</v>
      </c>
      <c r="D9511" s="1">
        <v>134.08000000000001</v>
      </c>
    </row>
    <row r="9512" spans="1:4" x14ac:dyDescent="0.3">
      <c r="A9512" s="1" t="str">
        <f>"01003166100"</f>
        <v>01003166100</v>
      </c>
      <c r="B9512" s="1" t="str">
        <f>"ORTEGA GISELLE"</f>
        <v>ORTEGA GISELLE</v>
      </c>
      <c r="C9512" s="1" t="str">
        <f>"772 BERKELEY AVE LINEN PLACE SUB 56"</f>
        <v>772 BERKELEY AVE LINEN PLACE SUB 56</v>
      </c>
      <c r="D9512" s="1">
        <v>3802.83</v>
      </c>
    </row>
    <row r="9513" spans="1:4" x14ac:dyDescent="0.3">
      <c r="A9513" s="1" t="str">
        <f>"01007514800"</f>
        <v>01007514800</v>
      </c>
      <c r="B9513" s="1" t="str">
        <f>"ORTIZ LOPEZ JOSE ISABEL"</f>
        <v>ORTIZ LOPEZ JOSE ISABEL</v>
      </c>
      <c r="C9513" s="1" t="str">
        <f>"2339 GRASMERE AVE GRASMERE GDNS LOT 385"</f>
        <v>2339 GRASMERE AVE GRASMERE GDNS LOT 385</v>
      </c>
      <c r="D9513" s="1">
        <v>749.73</v>
      </c>
    </row>
    <row r="9514" spans="1:4" x14ac:dyDescent="0.3">
      <c r="A9514" s="1" t="str">
        <f>"49022795600"</f>
        <v>49022795600</v>
      </c>
      <c r="B9514" s="1" t="str">
        <f>"ORTIZ RICHARD D, ORTIZ JENNIFER"</f>
        <v>ORTIZ RICHARD D, ORTIZ JENNIFER</v>
      </c>
      <c r="C9514" s="1" t="str">
        <f>"WINCHESTER HIGHLANDS SECTION 1 PART 2 LOT 45"</f>
        <v>WINCHESTER HIGHLANDS SECTION 1 PART 2 LOT 45</v>
      </c>
      <c r="D9514" s="1">
        <v>4744</v>
      </c>
    </row>
    <row r="9515" spans="1:4" x14ac:dyDescent="0.3">
      <c r="A9515" s="1" t="str">
        <f>"01002945700"</f>
        <v>01002945700</v>
      </c>
      <c r="B9515" s="1" t="str">
        <f>"ORTMAN TIMOTHY, ORTMAN JENNIFER F"</f>
        <v>ORTMAN TIMOTHY, ORTMAN JENNIFER F</v>
      </c>
      <c r="C9515" s="1" t="str">
        <f>"50 W LAKEVIEW AVE CLOVERLEAF LOT 37"</f>
        <v>50 W LAKEVIEW AVE CLOVERLEAF LOT 37</v>
      </c>
      <c r="D9515" s="1">
        <v>483.49</v>
      </c>
    </row>
    <row r="9516" spans="1:4" x14ac:dyDescent="0.3">
      <c r="A9516" s="1" t="str">
        <f>"01003238300"</f>
        <v>01003238300</v>
      </c>
      <c r="B9516" s="1" t="str">
        <f>"OSBORN BRYAN"</f>
        <v>OSBORN BRYAN</v>
      </c>
      <c r="C9516" s="1" t="str">
        <f>"1196 CHAMPION AVE ROSE HILL LOT 135"</f>
        <v>1196 CHAMPION AVE ROSE HILL LOT 135</v>
      </c>
      <c r="D9516" s="1">
        <v>158.83000000000001</v>
      </c>
    </row>
    <row r="9517" spans="1:4" x14ac:dyDescent="0.3">
      <c r="A9517" s="1" t="str">
        <f>"01001309700"</f>
        <v>01001309700</v>
      </c>
      <c r="B9517" s="1" t="str">
        <f>"OSBORN BRYAN"</f>
        <v>OSBORN BRYAN</v>
      </c>
      <c r="C9517" s="1" t="str">
        <f>"882 WILSON AVE AUBURNDALE LOT 121"</f>
        <v>882 WILSON AVE AUBURNDALE LOT 121</v>
      </c>
      <c r="D9517" s="1">
        <v>178.61</v>
      </c>
    </row>
    <row r="9518" spans="1:4" x14ac:dyDescent="0.3">
      <c r="A9518" s="1" t="str">
        <f>"01007994300"</f>
        <v>01007994300</v>
      </c>
      <c r="B9518" s="1" t="str">
        <f>"OSBORN BRYAN"</f>
        <v>OSBORN BRYAN</v>
      </c>
      <c r="C9518" s="1" t="str">
        <f>"WAVERLY ST MAIN ST TERRACE LOT 87"</f>
        <v>WAVERLY ST MAIN ST TERRACE LOT 87</v>
      </c>
      <c r="D9518" s="1">
        <v>97.43</v>
      </c>
    </row>
    <row r="9519" spans="1:4" x14ac:dyDescent="0.3">
      <c r="A9519" s="1" t="str">
        <f>"01001484500"</f>
        <v>01001484500</v>
      </c>
      <c r="B9519" s="1" t="str">
        <f>"OSBORN JAMES C"</f>
        <v>OSBORN JAMES C</v>
      </c>
      <c r="C9519" s="1" t="str">
        <f>"GLENVIEW BLVD GLENVIEW HTS LOT 33-34"</f>
        <v>GLENVIEW BLVD GLENVIEW HTS LOT 33-34</v>
      </c>
      <c r="D9519" s="1">
        <v>479.36</v>
      </c>
    </row>
    <row r="9520" spans="1:4" x14ac:dyDescent="0.3">
      <c r="A9520" s="1" t="str">
        <f>"20000124300"</f>
        <v>20000124300</v>
      </c>
      <c r="B9520" s="1" t="str">
        <f>"OSBORN MERRI LYNN"</f>
        <v>OSBORN MERRI LYNN</v>
      </c>
      <c r="C9520" s="1" t="str">
        <f>"FISHINGER RD WOODLAND EST SCIOTO 3 LOT 57"</f>
        <v>FISHINGER RD WOODLAND EST SCIOTO 3 LOT 57</v>
      </c>
      <c r="D9520" s="1">
        <v>4526.6099999999997</v>
      </c>
    </row>
    <row r="9521" spans="1:4" x14ac:dyDescent="0.3">
      <c r="A9521" s="1" t="str">
        <f>"14000402400"</f>
        <v>14000402400</v>
      </c>
      <c r="B9521" s="1" t="str">
        <f>"OSBORNE ROBERT S"</f>
        <v>OSBORNE ROBERT S</v>
      </c>
      <c r="C9521" s="1" t="str">
        <f>"1506 ENGADINE AVE ACRES .232 O Q 1000ENTRY717"</f>
        <v>1506 ENGADINE AVE ACRES .232 O Q 1000ENTRY717</v>
      </c>
      <c r="D9521" s="1">
        <v>490.3</v>
      </c>
    </row>
    <row r="9522" spans="1:4" x14ac:dyDescent="0.3">
      <c r="A9522" s="1" t="str">
        <f>"02500715700"</f>
        <v>02500715700</v>
      </c>
      <c r="B9522" s="1" t="str">
        <f>"OSBORNE ROBERT SCOTT TR, OSBORNE DARYSE S TR"</f>
        <v>OSBORNE ROBERT SCOTT TR, OSBORNE DARYSE S TR</v>
      </c>
      <c r="C9522" s="1" t="str">
        <f>"227 BROOKHILL DRIVE EXT&amp;RESUB PTS CHERRY BOTTOM SEC 1 LOT 299"</f>
        <v>227 BROOKHILL DRIVE EXT&amp;RESUB PTS CHERRY BOTTOM SEC 1 LOT 299</v>
      </c>
      <c r="D9522" s="1">
        <v>4544.28</v>
      </c>
    </row>
    <row r="9523" spans="1:4" x14ac:dyDescent="0.3">
      <c r="A9523" s="1" t="str">
        <f>"01018254600"</f>
        <v>01018254600</v>
      </c>
      <c r="B9523" s="1" t="str">
        <f>"OSBOURNE JEROME, OSBOURNE FELICIA"</f>
        <v>OSBOURNE JEROME, OSBOURNE FELICIA</v>
      </c>
      <c r="C9523" s="1" t="str">
        <f>"PLYMOUTH PLACE CONDO UNIT 2726 BLDG 13 "</f>
        <v xml:space="preserve">PLYMOUTH PLACE CONDO UNIT 2726 BLDG 13 </v>
      </c>
      <c r="D9523" s="1">
        <v>73.319999999999993</v>
      </c>
    </row>
    <row r="9524" spans="1:4" x14ac:dyDescent="0.3">
      <c r="A9524" s="1" t="str">
        <f>"01028718900"</f>
        <v>01028718900</v>
      </c>
      <c r="B9524" s="1" t="str">
        <f>"OSEI-BONSU EMMANUEL LEO"</f>
        <v>OSEI-BONSU EMMANUEL LEO</v>
      </c>
      <c r="C9524" s="1" t="str">
        <f>"WHITE OAK PARK CONDOMINIUM  9TH AMD BLDG 48 UNIT 48-6391"</f>
        <v>WHITE OAK PARK CONDOMINIUM  9TH AMD BLDG 48 UNIT 48-6391</v>
      </c>
      <c r="D9524" s="1">
        <v>767.8</v>
      </c>
    </row>
    <row r="9525" spans="1:4" x14ac:dyDescent="0.3">
      <c r="A9525" s="1" t="str">
        <f>"05000407400"</f>
        <v>05000407400</v>
      </c>
      <c r="B9525" s="1" t="str">
        <f>"OSHO AVENUE LLC"</f>
        <v>OSHO AVENUE LLC</v>
      </c>
      <c r="C9525" s="1" t="str">
        <f>"4600 LEAP COURT HILLIARD SQ OFFICE CONDO AMD UNIT 2"</f>
        <v>4600 LEAP COURT HILLIARD SQ OFFICE CONDO AMD UNIT 2</v>
      </c>
      <c r="D9525" s="1">
        <v>877.34</v>
      </c>
    </row>
    <row r="9526" spans="1:4" x14ac:dyDescent="0.3">
      <c r="A9526" s="1" t="str">
        <f>"01005070900"</f>
        <v>01005070900</v>
      </c>
      <c r="B9526" s="1" t="str">
        <f>"OSLER SIERRA"</f>
        <v>OSLER SIERRA</v>
      </c>
      <c r="C9526" s="1" t="str">
        <f>"517 MOLER MOLER ST LOT 24"</f>
        <v>517 MOLER MOLER ST LOT 24</v>
      </c>
      <c r="D9526" s="1">
        <v>2896.49</v>
      </c>
    </row>
    <row r="9527" spans="1:4" x14ac:dyDescent="0.3">
      <c r="A9527" s="1" t="str">
        <f>"19100045500"</f>
        <v>19100045500</v>
      </c>
      <c r="B9527" s="1" t="str">
        <f>"OSMAN FAM LLC"</f>
        <v>OSMAN FAM LLC</v>
      </c>
      <c r="C9527" s="1" t="str">
        <f>"GENESSEE AVE LEONARD PARK LOT 38 BLK D"</f>
        <v>GENESSEE AVE LEONARD PARK LOT 38 BLK D</v>
      </c>
      <c r="D9527" s="1">
        <v>377.05</v>
      </c>
    </row>
    <row r="9528" spans="1:4" x14ac:dyDescent="0.3">
      <c r="A9528" s="1" t="str">
        <f>"60021932700"</f>
        <v>60021932700</v>
      </c>
      <c r="B9528" s="1" t="str">
        <f>"OSMAN FAM LLC"</f>
        <v>OSMAN FAM LLC</v>
      </c>
      <c r="C9528" s="1" t="str">
        <f>"RUSTIC WOODS LANE WOODSTREAM SEC 3 PT2 ES LOT 140"</f>
        <v>RUSTIC WOODS LANE WOODSTREAM SEC 3 PT2 ES LOT 140</v>
      </c>
      <c r="D9528" s="1">
        <v>6090.25</v>
      </c>
    </row>
    <row r="9529" spans="1:4" x14ac:dyDescent="0.3">
      <c r="A9529" s="1" t="str">
        <f>"57022473700"</f>
        <v>57022473700</v>
      </c>
      <c r="B9529" s="1" t="str">
        <f>"OSMAN MARIAN M, YAFEI RODA HUSSEIN"</f>
        <v>OSMAN MARIAN M, YAFEI RODA HUSSEIN</v>
      </c>
      <c r="C9529" s="1" t="str">
        <f>"VANDALIA COURT SENECA WOODS SEC 2 LOT 60"</f>
        <v>VANDALIA COURT SENECA WOODS SEC 2 LOT 60</v>
      </c>
      <c r="D9529" s="1">
        <v>4300.54</v>
      </c>
    </row>
    <row r="9530" spans="1:4" x14ac:dyDescent="0.3">
      <c r="A9530" s="1" t="str">
        <f>"01008852700"</f>
        <v>01008852700</v>
      </c>
      <c r="B9530" s="1" t="str">
        <f>"OSMAN MOHAMMED A, ALI MARIAM M"</f>
        <v>OSMAN MOHAMMED A, ALI MARIAM M</v>
      </c>
      <c r="C9530" s="1" t="str">
        <f>"1907 ABERDEEN AVE E LINDEN PK PL LOT 47-48"</f>
        <v>1907 ABERDEEN AVE E LINDEN PK PL LOT 47-48</v>
      </c>
      <c r="D9530" s="1">
        <v>3228.96</v>
      </c>
    </row>
    <row r="9531" spans="1:4" x14ac:dyDescent="0.3">
      <c r="A9531" s="1" t="str">
        <f>"01000637600"</f>
        <v>01000637600</v>
      </c>
      <c r="B9531" s="1" t="str">
        <f>"OSMAN OMAR, OSMAN BISHARA"</f>
        <v>OSMAN OMAR, OSMAN BISHARA</v>
      </c>
      <c r="C9531" s="1" t="str">
        <f>"2125 SULLIVANT AVE HIGH RIDGE LOT 6"</f>
        <v>2125 SULLIVANT AVE HIGH RIDGE LOT 6</v>
      </c>
      <c r="D9531" s="1">
        <v>102.06</v>
      </c>
    </row>
    <row r="9532" spans="1:4" x14ac:dyDescent="0.3">
      <c r="A9532" s="1" t="str">
        <f>"01029717000"</f>
        <v>01029717000</v>
      </c>
      <c r="B9532" s="1" t="str">
        <f>"OSMANI LULI"</f>
        <v>OSMANI LULI</v>
      </c>
      <c r="C9532" s="1" t="str">
        <f>"570 LOFTS CONDOMINIUM UNIT 211"</f>
        <v>570 LOFTS CONDOMINIUM UNIT 211</v>
      </c>
      <c r="D9532" s="1">
        <v>4788.3599999999997</v>
      </c>
    </row>
    <row r="9533" spans="1:4" x14ac:dyDescent="0.3">
      <c r="A9533" s="1" t="str">
        <f>"18000147200"</f>
        <v>18000147200</v>
      </c>
      <c r="B9533" s="1" t="str">
        <f>"OSTRANDER DEBORAH, WILLIAMS PAMELA"</f>
        <v>OSTRANDER DEBORAH, WILLIAMS PAMELA</v>
      </c>
      <c r="C9533" s="1" t="str">
        <f>"WESTWICK RD MARWICK ESTATES 3 58 "</f>
        <v xml:space="preserve">WESTWICK RD MARWICK ESTATES 3 58 </v>
      </c>
      <c r="D9533" s="1">
        <v>183.32</v>
      </c>
    </row>
    <row r="9534" spans="1:4" x14ac:dyDescent="0.3">
      <c r="A9534" s="1" t="str">
        <f>"01018298300"</f>
        <v>01018298300</v>
      </c>
      <c r="B9534" s="1" t="str">
        <f>"OSTROVA INESSA"</f>
        <v>OSTROVA INESSA</v>
      </c>
      <c r="C9534" s="1" t="str">
        <f>"SCOTLAND YARD CONDO UNIT 1555-D BLDG 26 "</f>
        <v xml:space="preserve">SCOTLAND YARD CONDO UNIT 1555-D BLDG 26 </v>
      </c>
      <c r="D9534" s="1">
        <v>1075.81</v>
      </c>
    </row>
    <row r="9535" spans="1:4" x14ac:dyDescent="0.3">
      <c r="A9535" s="1" t="str">
        <f>"01018311200"</f>
        <v>01018311200</v>
      </c>
      <c r="B9535" s="1" t="str">
        <f>"OTEY NATACHA"</f>
        <v>OTEY NATACHA</v>
      </c>
      <c r="C9535" s="1" t="str">
        <f>"SCOTLAND YARD CONDO UNIT 1646   BLDG 19 "</f>
        <v xml:space="preserve">SCOTLAND YARD CONDO UNIT 1646   BLDG 19 </v>
      </c>
      <c r="D9535" s="1">
        <v>807.39</v>
      </c>
    </row>
    <row r="9536" spans="1:4" x14ac:dyDescent="0.3">
      <c r="A9536" s="1" t="str">
        <f>"01002922100"</f>
        <v>01002922100</v>
      </c>
      <c r="B9536" s="1" t="str">
        <f>"OTTAWAY RANDOLPH C, OTTAWAY DENISE"</f>
        <v>OTTAWAY RANDOLPH C, OTTAWAY DENISE</v>
      </c>
      <c r="C9536" s="1" t="str">
        <f>"788 THURMAN AVE BRUCK PLACE LOT 97"</f>
        <v>788 THURMAN AVE BRUCK PLACE LOT 97</v>
      </c>
      <c r="D9536" s="1">
        <v>2143.2800000000002</v>
      </c>
    </row>
    <row r="9537" spans="1:4" x14ac:dyDescent="0.3">
      <c r="A9537" s="1" t="str">
        <f>"01018527900"</f>
        <v>01018527900</v>
      </c>
      <c r="B9537" s="1" t="str">
        <f>"OUKADDI MUSTAPHA"</f>
        <v>OUKADDI MUSTAPHA</v>
      </c>
      <c r="C9537" s="1" t="str">
        <f>"MORSETOWN CT BRENTWOOD CONDO UNIT 3078 BLDG 7"</f>
        <v>MORSETOWN CT BRENTWOOD CONDO UNIT 3078 BLDG 7</v>
      </c>
      <c r="D9537" s="1">
        <v>1113.74</v>
      </c>
    </row>
    <row r="9538" spans="1:4" x14ac:dyDescent="0.3">
      <c r="A9538" s="1" t="str">
        <f>"05001019200"</f>
        <v>05001019200</v>
      </c>
      <c r="B9538" s="1" t="str">
        <f>"OULD SAID MOHAND OUBELAID, BRAIK RATIBA"</f>
        <v>OULD SAID MOHAND OUBELAID, BRAIK RATIBA</v>
      </c>
      <c r="C9538" s="1" t="str">
        <f>"DORSET GLEN CONDOMINIUM 7TH AMD BLDG 15 UNIT 15-3960"</f>
        <v>DORSET GLEN CONDOMINIUM 7TH AMD BLDG 15 UNIT 15-3960</v>
      </c>
      <c r="D9538" s="1">
        <v>3117.13</v>
      </c>
    </row>
    <row r="9539" spans="1:4" x14ac:dyDescent="0.3">
      <c r="A9539" s="1" t="str">
        <f>"53013997800"</f>
        <v>53013997800</v>
      </c>
      <c r="B9539" s="1" t="str">
        <f>"OUMALAWIS LLC"</f>
        <v>OUMALAWIS LLC</v>
      </c>
      <c r="C9539" s="1" t="str">
        <f>"NOE-BIXBY RD AMBERLY PT RES B=0.995 ACRE"</f>
        <v>NOE-BIXBY RD AMBERLY PT RES B=0.995 ACRE</v>
      </c>
      <c r="D9539" s="1">
        <v>466.75</v>
      </c>
    </row>
    <row r="9540" spans="1:4" x14ac:dyDescent="0.3">
      <c r="A9540" s="1" t="str">
        <f>"01001641300"</f>
        <v>01001641300</v>
      </c>
      <c r="B9540" s="1" t="str">
        <f>"OUROBOROS INVESTMENTS LLP"</f>
        <v>OUROBOROS INVESTMENTS LLP</v>
      </c>
      <c r="C9540" s="1" t="str">
        <f>"1623 MARYLAND BOLENBAUGH AMD LOT 1"</f>
        <v>1623 MARYLAND BOLENBAUGH AMD LOT 1</v>
      </c>
      <c r="D9540" s="1">
        <v>2101.75</v>
      </c>
    </row>
    <row r="9541" spans="1:4" x14ac:dyDescent="0.3">
      <c r="A9541" s="1" t="str">
        <f>"01007274900"</f>
        <v>01007274900</v>
      </c>
      <c r="B9541" s="1" t="str">
        <f>"OURS BROTHERS KEEPERS LLC"</f>
        <v>OURS BROTHERS KEEPERS LLC</v>
      </c>
      <c r="C9541" s="1" t="str">
        <f>"2920 E 5TH AVE CASSADYS 5TH AVE LOT 236"</f>
        <v>2920 E 5TH AVE CASSADYS 5TH AVE LOT 236</v>
      </c>
      <c r="D9541" s="1">
        <v>244.52</v>
      </c>
    </row>
    <row r="9542" spans="1:4" x14ac:dyDescent="0.3">
      <c r="A9542" s="1" t="str">
        <f>"01001814400"</f>
        <v>01001814400</v>
      </c>
      <c r="B9542" s="1" t="str">
        <f>"OURS KERIANN, OURS MARK EDWARD"</f>
        <v>OURS KERIANN, OURS MARK EDWARD</v>
      </c>
      <c r="C9542" s="1" t="str">
        <f>"192 THURMAN DESHLER THURMAN&amp;BENNETT LOT 23"</f>
        <v>192 THURMAN DESHLER THURMAN&amp;BENNETT LOT 23</v>
      </c>
      <c r="D9542" s="1">
        <v>10423.040000000001</v>
      </c>
    </row>
    <row r="9543" spans="1:4" x14ac:dyDescent="0.3">
      <c r="A9543" s="1" t="str">
        <f>"04000834700"</f>
        <v>04000834700</v>
      </c>
      <c r="B9543" s="1" t="str">
        <f>"OUSE ROGER"</f>
        <v>OUSE ROGER</v>
      </c>
      <c r="C9543" s="1" t="str">
        <f>"THE WILLOWS AT QUAIL CREEK CONDO BLDG 4 UNIT 5734"</f>
        <v>THE WILLOWS AT QUAIL CREEK CONDO BLDG 4 UNIT 5734</v>
      </c>
      <c r="D9543" s="1">
        <v>1689.4</v>
      </c>
    </row>
    <row r="9544" spans="1:4" x14ac:dyDescent="0.3">
      <c r="A9544" s="1" t="str">
        <f>"27300933300"</f>
        <v>27300933300</v>
      </c>
      <c r="B9544" s="1" t="str">
        <f>"OUTLAW MYRA D"</f>
        <v>OUTLAW MYRA D</v>
      </c>
      <c r="C9544" s="1" t="str">
        <f>"GLENLOCH CIRCLE BRAELINN GREEN CONDO UNIT 3002"</f>
        <v>GLENLOCH CIRCLE BRAELINN GREEN CONDO UNIT 3002</v>
      </c>
      <c r="D9544" s="1">
        <v>2242.4499999999998</v>
      </c>
    </row>
    <row r="9545" spans="1:4" x14ac:dyDescent="0.3">
      <c r="A9545" s="1" t="str">
        <f>"26000024500"</f>
        <v>26000024500</v>
      </c>
      <c r="B9545" s="1" t="str">
        <f>"OVALLE CHERINA L"</f>
        <v>OVALLE CHERINA L</v>
      </c>
      <c r="C9545" s="1" t="str">
        <f>"OSGOOD RD E QUALSTAN EAST 388 "</f>
        <v xml:space="preserve">OSGOOD RD E QUALSTAN EAST 388 </v>
      </c>
      <c r="D9545" s="1">
        <v>986.67</v>
      </c>
    </row>
    <row r="9546" spans="1:4" x14ac:dyDescent="0.3">
      <c r="A9546" s="1" t="str">
        <f>"53016353800"</f>
        <v>53016353800</v>
      </c>
      <c r="B9546" s="1" t="str">
        <f>"OVERSTREET MARK E, OVERSTREET MICHELLE E"</f>
        <v>OVERSTREET MARK E, OVERSTREET MICHELLE E</v>
      </c>
      <c r="C9546" s="1" t="str">
        <f>"VALLEY GREEN CONDO NO 1 UNIT D-2"</f>
        <v>VALLEY GREEN CONDO NO 1 UNIT D-2</v>
      </c>
      <c r="D9546" s="1">
        <v>379.58</v>
      </c>
    </row>
    <row r="9547" spans="1:4" x14ac:dyDescent="0.3">
      <c r="A9547" s="1" t="str">
        <f>"01014669600"</f>
        <v>01014669600</v>
      </c>
      <c r="B9547" s="1" t="str">
        <f>"OVERTON PATRICIA A"</f>
        <v>OVERTON PATRICIA A</v>
      </c>
      <c r="C9547" s="1" t="str">
        <f>"SUNBURY RD ACRES .896 R17 T1 1-4T2"</f>
        <v>SUNBURY RD ACRES .896 R17 T1 1-4T2</v>
      </c>
      <c r="D9547" s="1">
        <v>2210.3200000000002</v>
      </c>
    </row>
    <row r="9548" spans="1:4" x14ac:dyDescent="0.3">
      <c r="A9548" s="1" t="str">
        <f>"01009242100"</f>
        <v>01009242100</v>
      </c>
      <c r="B9548" s="1" t="str">
        <f>"OWENS BETTY A"</f>
        <v>OWENS BETTY A</v>
      </c>
      <c r="C9548" s="1" t="str">
        <f>"12TH AVE CASSADY- PEAKE MEADOWS LOT 180"</f>
        <v>12TH AVE CASSADY- PEAKE MEADOWS LOT 180</v>
      </c>
      <c r="D9548" s="1">
        <v>4215.4799999999996</v>
      </c>
    </row>
    <row r="9549" spans="1:4" x14ac:dyDescent="0.3">
      <c r="A9549" s="1" t="str">
        <f>"01013181700"</f>
        <v>01013181700</v>
      </c>
      <c r="B9549" s="1" t="str">
        <f>"OWENS CHARLES W, OWENS JULIE A"</f>
        <v>OWENS CHARLES W, OWENS JULIE A</v>
      </c>
      <c r="C9549" s="1" t="str">
        <f>"999 STONEY CREEK RD INDIAN HILLS LOT 22"</f>
        <v>999 STONEY CREEK RD INDIAN HILLS LOT 22</v>
      </c>
      <c r="D9549" s="1">
        <v>282.45</v>
      </c>
    </row>
    <row r="9550" spans="1:4" x14ac:dyDescent="0.3">
      <c r="A9550" s="1" t="str">
        <f>"10000144800"</f>
        <v>10000144800</v>
      </c>
      <c r="B9550" s="1" t="str">
        <f>"OWENS DOUGLAS LARRY"</f>
        <v>OWENS DOUGLAS LARRY</v>
      </c>
      <c r="C9550" s="1" t="str">
        <f>"483 COLONIAL AVE LOT 64 PT RES B COLONIAL HILLS NO 2"</f>
        <v>483 COLONIAL AVE LOT 64 PT RES B COLONIAL HILLS NO 2</v>
      </c>
      <c r="D9550" s="1">
        <v>3801.22</v>
      </c>
    </row>
    <row r="9551" spans="1:4" x14ac:dyDescent="0.3">
      <c r="A9551" s="1" t="str">
        <f>"01011671400"</f>
        <v>01011671400</v>
      </c>
      <c r="B9551" s="1" t="str">
        <f>"OWENS LANITA H"</f>
        <v>OWENS LANITA H</v>
      </c>
      <c r="C9551" s="1" t="str">
        <f>"BENSON DR LEA-WOOD GARDENS 3 LOT 30"</f>
        <v>BENSON DR LEA-WOOD GARDENS 3 LOT 30</v>
      </c>
      <c r="D9551" s="1">
        <v>3306.97</v>
      </c>
    </row>
    <row r="9552" spans="1:4" x14ac:dyDescent="0.3">
      <c r="A9552" s="1" t="str">
        <f>"01003892000"</f>
        <v>01003892000</v>
      </c>
      <c r="B9552" s="1" t="str">
        <f>"OWENS LUCY E"</f>
        <v>OWENS LUCY E</v>
      </c>
      <c r="C9552" s="1" t="str">
        <f>"ROBERT ST LINDEN TERR LOT 16"</f>
        <v>ROBERT ST LINDEN TERR LOT 16</v>
      </c>
      <c r="D9552" s="1">
        <v>30.02</v>
      </c>
    </row>
    <row r="9553" spans="1:4" x14ac:dyDescent="0.3">
      <c r="A9553" s="1" t="str">
        <f>"05000353500"</f>
        <v>05000353500</v>
      </c>
      <c r="B9553" s="1" t="str">
        <f>"OWENS THEODORE S TR"</f>
        <v>OWENS THEODORE S TR</v>
      </c>
      <c r="C9553" s="1" t="str">
        <f>"4949 WALLINGTON DR HAYDEN RUN VIL PHA 5 LOT 176"</f>
        <v>4949 WALLINGTON DR HAYDEN RUN VIL PHA 5 LOT 176</v>
      </c>
      <c r="D9553" s="1">
        <v>3599.85</v>
      </c>
    </row>
    <row r="9554" spans="1:4" x14ac:dyDescent="0.3">
      <c r="A9554" s="1" t="str">
        <f>"60016953900"</f>
        <v>60016953900</v>
      </c>
      <c r="B9554" s="1" t="str">
        <f>"OWUSU-ACHIAW VICTORIA"</f>
        <v>OWUSU-ACHIAW VICTORIA</v>
      </c>
      <c r="C9554" s="1" t="str">
        <f>"SCOTCHPINE COURT PINEWOOD COLONY LOT 44"</f>
        <v>SCOTCHPINE COURT PINEWOOD COLONY LOT 44</v>
      </c>
      <c r="D9554" s="1">
        <v>448.25</v>
      </c>
    </row>
    <row r="9555" spans="1:4" x14ac:dyDescent="0.3">
      <c r="A9555" s="1" t="str">
        <f>"09000328900"</f>
        <v>09000328900</v>
      </c>
      <c r="B9555" s="1" t="str">
        <f>"OXLEY JAMIE LYNN, OXLEY-BAUTISTA LESLIE ELLEN"</f>
        <v>OXLEY JAMIE LYNN, OXLEY-BAUTISTA LESLIE ELLEN</v>
      </c>
      <c r="C9555" s="1" t="str">
        <f>"791 EXETER RD TRURO ESTATES LOT 59"</f>
        <v>791 EXETER RD TRURO ESTATES LOT 59</v>
      </c>
      <c r="D9555" s="1">
        <v>2393.4899999999998</v>
      </c>
    </row>
    <row r="9556" spans="1:4" x14ac:dyDescent="0.3">
      <c r="A9556" s="1" t="str">
        <f>"01018874800"</f>
        <v>01018874800</v>
      </c>
      <c r="B9556" s="1" t="str">
        <f>"OXLEY MICHAEL E"</f>
        <v>OXLEY MICHAEL E</v>
      </c>
      <c r="C9556" s="1" t="str">
        <f>"WINDGATE VILL CONDO EXH B1 UNIT 25 BLD 5 "</f>
        <v xml:space="preserve">WINDGATE VILL CONDO EXH B1 UNIT 25 BLD 5 </v>
      </c>
      <c r="D9556" s="1">
        <v>4067.68</v>
      </c>
    </row>
    <row r="9557" spans="1:4" x14ac:dyDescent="0.3">
      <c r="A9557" s="1" t="str">
        <f>"02501207600"</f>
        <v>02501207600</v>
      </c>
      <c r="B9557" s="1" t="str">
        <f>"OZMENT JEANNE H TR"</f>
        <v>OZMENT JEANNE H TR</v>
      </c>
      <c r="C9557" s="1" t="str">
        <f>"PARK AT HARRISON POND VILLAGE AT ROCKY FORK SEC 10 PART 2 LOT 328"</f>
        <v>PARK AT HARRISON POND VILLAGE AT ROCKY FORK SEC 10 PART 2 LOT 328</v>
      </c>
      <c r="D9557" s="1">
        <v>6335.99</v>
      </c>
    </row>
    <row r="9558" spans="1:4" x14ac:dyDescent="0.3">
      <c r="A9558" s="1" t="str">
        <f>"27300698700"</f>
        <v>27300698700</v>
      </c>
      <c r="B9558" s="1" t="str">
        <f>"OZMERAL MEHMET C, OZMERAL SITARE D"</f>
        <v>OZMERAL MEHMET C, OZMERAL SITARE D</v>
      </c>
      <c r="C9558" s="1" t="str">
        <f>"5696 SANDYMOUNT DR TRINITY PARK SEC 1 LOT 31"</f>
        <v>5696 SANDYMOUNT DR TRINITY PARK SEC 1 LOT 31</v>
      </c>
      <c r="D9558" s="1">
        <v>421.32</v>
      </c>
    </row>
    <row r="9559" spans="1:4" x14ac:dyDescent="0.3">
      <c r="A9559" s="1" t="str">
        <f>"01000691500"</f>
        <v>01000691500</v>
      </c>
      <c r="B9559" s="1" t="str">
        <f>"P &amp; M HOLDINGS LLC"</f>
        <v>P &amp; M HOLDINGS LLC</v>
      </c>
      <c r="C9559" s="1" t="str">
        <f>"238-40 KELSO RD CRESTVIEW LOT 847 E 1/2 LT 848"</f>
        <v>238-40 KELSO RD CRESTVIEW LOT 847 E 1/2 LT 848</v>
      </c>
      <c r="D9559" s="1">
        <v>284.49</v>
      </c>
    </row>
    <row r="9560" spans="1:4" x14ac:dyDescent="0.3">
      <c r="A9560" s="1" t="str">
        <f>"01004480800"</f>
        <v>01004480800</v>
      </c>
      <c r="B9560" s="1" t="str">
        <f>"P REILEY PROPERTIES LLC"</f>
        <v>P REILEY PROPERTIES LLC</v>
      </c>
      <c r="C9560" s="1" t="str">
        <f>"69-71 BLAKE AVE W MONTGOMERY &amp; MCKEE LOT 98"</f>
        <v>69-71 BLAKE AVE W MONTGOMERY &amp; MCKEE LOT 98</v>
      </c>
      <c r="D9560" s="1">
        <v>3724</v>
      </c>
    </row>
    <row r="9561" spans="1:4" x14ac:dyDescent="0.3">
      <c r="A9561" s="1" t="str">
        <f>"01009142500"</f>
        <v>01009142500</v>
      </c>
      <c r="B9561" s="1" t="str">
        <f>"PAB OF OHIO LTD"</f>
        <v>PAB OF OHIO LTD</v>
      </c>
      <c r="C9561" s="1" t="str">
        <f>"ELIZABETH AVE EASTHAMPTON LOT 201"</f>
        <v>ELIZABETH AVE EASTHAMPTON LOT 201</v>
      </c>
      <c r="D9561" s="1">
        <v>2203.77</v>
      </c>
    </row>
    <row r="9562" spans="1:4" x14ac:dyDescent="0.3">
      <c r="A9562" s="1" t="str">
        <f>"09000409100"</f>
        <v>09000409100</v>
      </c>
      <c r="B9562" s="1" t="str">
        <f>"PACE THOMAS H, PACE LINDA"</f>
        <v>PACE THOMAS H, PACE LINDA</v>
      </c>
      <c r="C9562" s="1" t="str">
        <f>"640 ERICKSON AVE GLENCOE 295"</f>
        <v>640 ERICKSON AVE GLENCOE 295</v>
      </c>
      <c r="D9562" s="1">
        <v>2543.35</v>
      </c>
    </row>
    <row r="9563" spans="1:4" x14ac:dyDescent="0.3">
      <c r="A9563" s="1" t="str">
        <f>"01010937100"</f>
        <v>01010937100</v>
      </c>
      <c r="B9563" s="1" t="str">
        <f>"PACE THOMAS H, PACE LINDA S"</f>
        <v>PACE THOMAS H, PACE LINDA S</v>
      </c>
      <c r="C9563" s="1" t="str">
        <f>"J C NOE RD 21.298AC R21 T12 S10-11 1/2S14-15"</f>
        <v>J C NOE RD 21.298AC R21 T12 S10-11 1/2S14-15</v>
      </c>
      <c r="D9563" s="1">
        <v>5794.29</v>
      </c>
    </row>
    <row r="9564" spans="1:4" x14ac:dyDescent="0.3">
      <c r="A9564" s="1" t="str">
        <f>"01001960900"</f>
        <v>01001960900</v>
      </c>
      <c r="B9564" s="1" t="str">
        <f>"PACE THOMAS H, PACE LINDA S"</f>
        <v>PACE THOMAS H, PACE LINDA S</v>
      </c>
      <c r="C9564" s="1" t="str">
        <f>"NOE BIXBY RD R21 T12 S10-11 1/4S 14-15 3.360 ACRES"</f>
        <v>NOE BIXBY RD R21 T12 S10-11 1/4S 14-15 3.360 ACRES</v>
      </c>
      <c r="D9564" s="1">
        <v>11573.91</v>
      </c>
    </row>
    <row r="9565" spans="1:4" x14ac:dyDescent="0.3">
      <c r="A9565" s="1" t="str">
        <f>"14000521500"</f>
        <v>14000521500</v>
      </c>
      <c r="B9565" s="1" t="str">
        <f>"PACHECO MAGUANA RAUL SEBASTIAN, YADAICELA ROSSA NIEVES"</f>
        <v>PACHECO MAGUANA RAUL SEBASTIAN, YADAICELA ROSSA NIEVES</v>
      </c>
      <c r="C9565" s="1" t="str">
        <f>"3136 EL PASO DR SUNNY DELLS LOT 10 "</f>
        <v xml:space="preserve">3136 EL PASO DR SUNNY DELLS LOT 10 </v>
      </c>
      <c r="D9565" s="1">
        <v>180.73</v>
      </c>
    </row>
    <row r="9566" spans="1:4" x14ac:dyDescent="0.3">
      <c r="A9566" s="1" t="str">
        <f>"60025147700"</f>
        <v>60025147700</v>
      </c>
      <c r="B9566" s="1" t="str">
        <f>"PACIFIC INVESTMENT PROPERTIES LLC"</f>
        <v>PACIFIC INVESTMENT PROPERTIES LLC</v>
      </c>
      <c r="C9566" s="1" t="str">
        <f>"MORALITY DRIVE WALTHAM WOODS LOT 63"</f>
        <v>MORALITY DRIVE WALTHAM WOODS LOT 63</v>
      </c>
      <c r="D9566" s="1">
        <v>3164.34</v>
      </c>
    </row>
    <row r="9567" spans="1:4" x14ac:dyDescent="0.3">
      <c r="A9567" s="1" t="str">
        <f>"01002495500"</f>
        <v>01002495500</v>
      </c>
      <c r="B9567" s="1" t="str">
        <f>"PACK SHIRLEY A"</f>
        <v>PACK SHIRLEY A</v>
      </c>
      <c r="C9567" s="1" t="str">
        <f>"287 S OGDEN AVE WICKLOW LOT 189"</f>
        <v>287 S OGDEN AVE WICKLOW LOT 189</v>
      </c>
      <c r="D9567" s="1">
        <v>1177.45</v>
      </c>
    </row>
    <row r="9568" spans="1:4" x14ac:dyDescent="0.3">
      <c r="A9568" s="1" t="str">
        <f>"04000442800"</f>
        <v>04000442800</v>
      </c>
      <c r="B9568" s="1" t="str">
        <f>"PACKER RICHARD T TTEE"</f>
        <v>PACKER RICHARD T TTEE</v>
      </c>
      <c r="C9568" s="1" t="str">
        <f>"2577 MCCLAIN COURT HIGHLAND PARK PLAT 2 LOT 214"</f>
        <v>2577 MCCLAIN COURT HIGHLAND PARK PLAT 2 LOT 214</v>
      </c>
      <c r="D9568" s="1">
        <v>1555.74</v>
      </c>
    </row>
    <row r="9569" spans="1:4" x14ac:dyDescent="0.3">
      <c r="A9569" s="1" t="str">
        <f>"04001620900"</f>
        <v>04001620900</v>
      </c>
      <c r="B9569" s="1" t="str">
        <f>"PADDOCK AT BEULAH PARK ASSOCIATION INC"</f>
        <v>PADDOCK AT BEULAH PARK ASSOCIATION INC</v>
      </c>
      <c r="C9569" s="1" t="str">
        <f>"BEULAH PARK SECTION 1 RESERVE C"</f>
        <v>BEULAH PARK SECTION 1 RESERVE C</v>
      </c>
      <c r="D9569" s="1">
        <v>32.229999999999997</v>
      </c>
    </row>
    <row r="9570" spans="1:4" x14ac:dyDescent="0.3">
      <c r="A9570" s="1" t="str">
        <f>"01001272500"</f>
        <v>01001272500</v>
      </c>
      <c r="B9570" s="1" t="str">
        <f>"PADILLA EMILIA"</f>
        <v>PADILLA EMILIA</v>
      </c>
      <c r="C9570" s="1" t="str">
        <f>"47 N PRINCETON AVE KNAUSS AMD SUB 140"</f>
        <v>47 N PRINCETON AVE KNAUSS AMD SUB 140</v>
      </c>
      <c r="D9570" s="1">
        <v>315.02999999999997</v>
      </c>
    </row>
    <row r="9571" spans="1:4" x14ac:dyDescent="0.3">
      <c r="A9571" s="1" t="str">
        <f>"02500510700"</f>
        <v>02500510700</v>
      </c>
      <c r="B9571" s="1" t="str">
        <f>"PADILLA JAYR"</f>
        <v>PADILLA JAYR</v>
      </c>
      <c r="C9571" s="1" t="str">
        <f>"381 LYTTON WAY HUNTERS RIDGE SEC 4 LOT 305"</f>
        <v>381 LYTTON WAY HUNTERS RIDGE SEC 4 LOT 305</v>
      </c>
      <c r="D9571" s="1">
        <v>972.37</v>
      </c>
    </row>
    <row r="9572" spans="1:4" x14ac:dyDescent="0.3">
      <c r="A9572" s="1" t="str">
        <f>"01027835100"</f>
        <v>01027835100</v>
      </c>
      <c r="B9572" s="1" t="str">
        <f>"PADULA MATTHEW D, BROCKWAY BARBARA"</f>
        <v>PADULA MATTHEW D, BROCKWAY BARBARA</v>
      </c>
      <c r="C9572" s="1" t="str">
        <f>"BREWERS GATE CONDOMINIUMS UNIT 1025"</f>
        <v>BREWERS GATE CONDOMINIUMS UNIT 1025</v>
      </c>
      <c r="D9572" s="1">
        <v>230.98</v>
      </c>
    </row>
    <row r="9573" spans="1:4" x14ac:dyDescent="0.3">
      <c r="A9573" s="1" t="str">
        <f>"01014319300"</f>
        <v>01014319300</v>
      </c>
      <c r="B9573" s="1" t="str">
        <f>"PAGAN DOUGLAS A"</f>
        <v>PAGAN DOUGLAS A</v>
      </c>
      <c r="C9573" s="1" t="str">
        <f>"PENFIELD RD E HAVILAND 6 LOT 262"</f>
        <v>PENFIELD RD E HAVILAND 6 LOT 262</v>
      </c>
      <c r="D9573" s="1">
        <v>2890.48</v>
      </c>
    </row>
    <row r="9574" spans="1:4" x14ac:dyDescent="0.3">
      <c r="A9574" s="1" t="str">
        <f>"01010916500"</f>
        <v>01010916500</v>
      </c>
      <c r="B9574" s="1" t="str">
        <f>"PAGE BONNIE J"</f>
        <v>PAGE BONNIE J</v>
      </c>
      <c r="C9574" s="1" t="str">
        <f>"MINNESOTA AVE ARLINGTON PK TRACT 2 LOT 8 BLK K"</f>
        <v>MINNESOTA AVE ARLINGTON PK TRACT 2 LOT 8 BLK K</v>
      </c>
      <c r="D9574" s="1">
        <v>257.45</v>
      </c>
    </row>
    <row r="9575" spans="1:4" x14ac:dyDescent="0.3">
      <c r="A9575" s="1" t="str">
        <f>"01007661400"</f>
        <v>01007661400</v>
      </c>
      <c r="B9575" s="1" t="str">
        <f>"PAGE CARL E, PAGE DEBORAH L"</f>
        <v>PAGE CARL E, PAGE DEBORAH L</v>
      </c>
      <c r="C9575" s="1" t="str">
        <f>"DUXBERRY AVE HOMESTEAD HTS 2 LOT 46"</f>
        <v>DUXBERRY AVE HOMESTEAD HTS 2 LOT 46</v>
      </c>
      <c r="D9575" s="1">
        <v>1027.8</v>
      </c>
    </row>
    <row r="9576" spans="1:4" x14ac:dyDescent="0.3">
      <c r="A9576" s="1" t="str">
        <f>"01014488800"</f>
        <v>01014488800</v>
      </c>
      <c r="B9576" s="1" t="str">
        <f>"PAGE GLORIA"</f>
        <v>PAGE GLORIA</v>
      </c>
      <c r="C9576" s="1" t="str">
        <f>"FOREST PARK EAST SEC 2 LOT 206"</f>
        <v>FOREST PARK EAST SEC 2 LOT 206</v>
      </c>
      <c r="D9576" s="1">
        <v>141.86000000000001</v>
      </c>
    </row>
    <row r="9577" spans="1:4" x14ac:dyDescent="0.3">
      <c r="A9577" s="1" t="str">
        <f>"57026058700"</f>
        <v>57026058700</v>
      </c>
      <c r="B9577" s="1" t="str">
        <f>"PAGE SHAMAJEDAH"</f>
        <v>PAGE SHAMAJEDAH</v>
      </c>
      <c r="C9577" s="1" t="str">
        <f>"ARDEN FOREST LANE FOREST GROVE LOT 13"</f>
        <v>ARDEN FOREST LANE FOREST GROVE LOT 13</v>
      </c>
      <c r="D9577" s="1">
        <v>170.97</v>
      </c>
    </row>
    <row r="9578" spans="1:4" x14ac:dyDescent="0.3">
      <c r="A9578" s="1" t="str">
        <f>"01011540700"</f>
        <v>01011540700</v>
      </c>
      <c r="B9578" s="1" t="str">
        <f>"PAGE TIFFANY RENAE"</f>
        <v>PAGE TIFFANY RENAE</v>
      </c>
      <c r="C9578" s="1" t="str">
        <f>"WOODROW AVE .2 ACRES R22 T5 S27 1/2S40"</f>
        <v>WOODROW AVE .2 ACRES R22 T5 S27 1/2S40</v>
      </c>
      <c r="D9578" s="1">
        <v>237.86</v>
      </c>
    </row>
    <row r="9579" spans="1:4" x14ac:dyDescent="0.3">
      <c r="A9579" s="1" t="str">
        <f>"01013548800"</f>
        <v>01013548800</v>
      </c>
      <c r="B9579" s="1" t="str">
        <f>"PAIGE LISA"</f>
        <v>PAIGE LISA</v>
      </c>
      <c r="C9579" s="1" t="str">
        <f>"LANSMERE LANE GREENFIELD EST LOT 108"</f>
        <v>LANSMERE LANE GREENFIELD EST LOT 108</v>
      </c>
      <c r="D9579" s="1">
        <v>311.10000000000002</v>
      </c>
    </row>
    <row r="9580" spans="1:4" x14ac:dyDescent="0.3">
      <c r="A9580" s="1" t="str">
        <f>"02501072800"</f>
        <v>02501072800</v>
      </c>
      <c r="B9580" s="1" t="str">
        <f>"PAINE SHARON E, PAINE MARVIN J"</f>
        <v>PAINE SHARON E, PAINE MARVIN J</v>
      </c>
      <c r="C9580" s="1" t="str">
        <f>"SPRINGBROOK DRIVE SPRINGBROOK FARM LOT 1  .520AC"</f>
        <v>SPRINGBROOK DRIVE SPRINGBROOK FARM LOT 1  .520AC</v>
      </c>
      <c r="D9580" s="1">
        <v>521.22</v>
      </c>
    </row>
    <row r="9581" spans="1:4" x14ac:dyDescent="0.3">
      <c r="A9581" s="1" t="str">
        <f>"02000142800"</f>
        <v>02000142800</v>
      </c>
      <c r="B9581" s="1" t="str">
        <f>"PAINE TOBY"</f>
        <v>PAINE TOBY</v>
      </c>
      <c r="C9581" s="1" t="str">
        <f>"2456 BRYDEN RD W 1/2 238 &amp; ALL 239 BEXLEY PARK 238-239"</f>
        <v>2456 BRYDEN RD W 1/2 238 &amp; ALL 239 BEXLEY PARK 238-239</v>
      </c>
      <c r="D9581" s="1">
        <v>871.35</v>
      </c>
    </row>
    <row r="9582" spans="1:4" x14ac:dyDescent="0.3">
      <c r="A9582" s="1" t="str">
        <f>"01015291300"</f>
        <v>01015291300</v>
      </c>
      <c r="B9582" s="1" t="str">
        <f>"PAINTER JERRY L, PAINTER ELAINE"</f>
        <v>PAINTER JERRY L, PAINTER ELAINE</v>
      </c>
      <c r="C9582" s="1" t="str">
        <f>"BRITTANY COURT W NORTHLAND PARK SEC 5 LOT 321"</f>
        <v>BRITTANY COURT W NORTHLAND PARK SEC 5 LOT 321</v>
      </c>
      <c r="D9582" s="1">
        <v>3383.41</v>
      </c>
    </row>
    <row r="9583" spans="1:4" x14ac:dyDescent="0.3">
      <c r="A9583" s="1" t="str">
        <f>"01016133000"</f>
        <v>01016133000</v>
      </c>
      <c r="B9583" s="1" t="str">
        <f>"PAISHON EILEEN M, PAISHON JAMES T"</f>
        <v>PAISHON EILEEN M, PAISHON JAMES T</v>
      </c>
      <c r="C9583" s="1" t="str">
        <f>"WOODBROOK CR N WOODBROOK VILLAGE CONDO UNIT 364"</f>
        <v>WOODBROOK CR N WOODBROOK VILLAGE CONDO UNIT 364</v>
      </c>
      <c r="D9583" s="1">
        <v>125.1</v>
      </c>
    </row>
    <row r="9584" spans="1:4" x14ac:dyDescent="0.3">
      <c r="A9584" s="1" t="str">
        <f>"22200484000"</f>
        <v>22200484000</v>
      </c>
      <c r="B9584" s="1" t="str">
        <f>"PALACIOS DENNY F, RODE PALACIOS MARGARET T"</f>
        <v>PALACIOS DENNY F, RODE PALACIOS MARGARET T</v>
      </c>
      <c r="C9584" s="1" t="str">
        <f>"NEW ALBANY COUNTRY CLUB           SECTION 28 PART 2 LOT 52"</f>
        <v>NEW ALBANY COUNTRY CLUB           SECTION 28 PART 2 LOT 52</v>
      </c>
      <c r="D9584" s="1">
        <v>14422.07</v>
      </c>
    </row>
    <row r="9585" spans="1:4" x14ac:dyDescent="0.3">
      <c r="A9585" s="1" t="str">
        <f>"01010881200"</f>
        <v>01010881200</v>
      </c>
      <c r="B9585" s="1" t="str">
        <f>"PALERMINI DAVID A, PALERMINI KAREN S"</f>
        <v>PALERMINI DAVID A, PALERMINI KAREN S</v>
      </c>
      <c r="C9585" s="1" t="str">
        <f>"HOLT AVE BONA-VENTURA LOT 15"</f>
        <v>HOLT AVE BONA-VENTURA LOT 15</v>
      </c>
      <c r="D9585" s="1">
        <v>95.79</v>
      </c>
    </row>
    <row r="9586" spans="1:4" x14ac:dyDescent="0.3">
      <c r="A9586" s="1" t="str">
        <f>"03000141800"</f>
        <v>03000141800</v>
      </c>
      <c r="B9586" s="1" t="str">
        <f>"PALERMO PATRICIA A TR"</f>
        <v>PALERMO PATRICIA A TR</v>
      </c>
      <c r="C9586" s="1" t="str">
        <f>"1281 ASHLAND AVE URLINS GRANDVIEW HTS LOT 89 &amp; S 1/2 OF 90"</f>
        <v>1281 ASHLAND AVE URLINS GRANDVIEW HTS LOT 89 &amp; S 1/2 OF 90</v>
      </c>
      <c r="D9586" s="1">
        <v>88</v>
      </c>
    </row>
    <row r="9587" spans="1:4" x14ac:dyDescent="0.3">
      <c r="A9587" s="1" t="str">
        <f>"16000148100"</f>
        <v>16000148100</v>
      </c>
      <c r="B9587" s="1" t="str">
        <f>"PALEY MATTHEW"</f>
        <v>PALEY MATTHEW</v>
      </c>
      <c r="C9587" s="1" t="str">
        <f>"4528 HARRISBURG PIKE ENTRY 1383 3-4 1.003 ACRES"</f>
        <v>4528 HARRISBURG PIKE ENTRY 1383 3-4 1.003 ACRES</v>
      </c>
      <c r="D9587" s="1">
        <v>4103.34</v>
      </c>
    </row>
    <row r="9588" spans="1:4" x14ac:dyDescent="0.3">
      <c r="A9588" s="1" t="str">
        <f>"01004581100"</f>
        <v>01004581100</v>
      </c>
      <c r="B9588" s="1" t="str">
        <f>"PALEY MATTHEW"</f>
        <v>PALEY MATTHEW</v>
      </c>
      <c r="C9588" s="1" t="str">
        <f>"71 WINNER AVE JONES &amp; DEAVER LOT 5-6-7"</f>
        <v>71 WINNER AVE JONES &amp; DEAVER LOT 5-6-7</v>
      </c>
      <c r="D9588" s="1">
        <v>7394.75</v>
      </c>
    </row>
    <row r="9589" spans="1:4" x14ac:dyDescent="0.3">
      <c r="A9589" s="1" t="str">
        <f>"57029940400"</f>
        <v>57029940400</v>
      </c>
      <c r="B9589" s="1" t="str">
        <f>"PALEY MATTHEW R"</f>
        <v>PALEY MATTHEW R</v>
      </c>
      <c r="C9589" s="1" t="str">
        <f>"1516 HARRISBURG PIKE ENTRY 971 1.300 ACRES"</f>
        <v>1516 HARRISBURG PIKE ENTRY 971 1.300 ACRES</v>
      </c>
      <c r="D9589" s="1">
        <v>13577.7</v>
      </c>
    </row>
    <row r="9590" spans="1:4" x14ac:dyDescent="0.3">
      <c r="A9590" s="1" t="str">
        <f>"57020589200"</f>
        <v>57020589200</v>
      </c>
      <c r="B9590" s="1" t="str">
        <f>"PALEY MATTHEW R"</f>
        <v>PALEY MATTHEW R</v>
      </c>
      <c r="C9590" s="1" t="str">
        <f>"HARRISBURG PIKE ENTRY 971 2.4542 ACRES"</f>
        <v>HARRISBURG PIKE ENTRY 971 2.4542 ACRES</v>
      </c>
      <c r="D9590" s="1">
        <v>3306.62</v>
      </c>
    </row>
    <row r="9591" spans="1:4" x14ac:dyDescent="0.3">
      <c r="A9591" s="1" t="str">
        <f>"02000121900"</f>
        <v>02000121900</v>
      </c>
      <c r="B9591" s="1" t="str">
        <f>"PALLAY LOUIS J"</f>
        <v>PALLAY LOUIS J</v>
      </c>
      <c r="C9591" s="1" t="str">
        <f>"180 N CASSADY RD ARDMORE 2 LOT 801-802"</f>
        <v>180 N CASSADY RD ARDMORE 2 LOT 801-802</v>
      </c>
      <c r="D9591" s="1">
        <v>531.63</v>
      </c>
    </row>
    <row r="9592" spans="1:4" x14ac:dyDescent="0.3">
      <c r="A9592" s="1" t="str">
        <f>"56021345300"</f>
        <v>56021345300</v>
      </c>
      <c r="B9592" s="1" t="str">
        <f>"PALLOTTA JOSEPH"</f>
        <v>PALLOTTA JOSEPH</v>
      </c>
      <c r="C9592" s="1" t="str">
        <f>"SWEETWATER ESTATES SECTION 3 LOT 265"</f>
        <v>SWEETWATER ESTATES SECTION 3 LOT 265</v>
      </c>
      <c r="D9592" s="1">
        <v>2881.66</v>
      </c>
    </row>
    <row r="9593" spans="1:4" x14ac:dyDescent="0.3">
      <c r="A9593" s="1" t="str">
        <f>"18500116000"</f>
        <v>18500116000</v>
      </c>
      <c r="B9593" s="1" t="str">
        <f>"PALM TERRY L"</f>
        <v>PALM TERRY L</v>
      </c>
      <c r="C9593" s="1" t="str">
        <f>"CENTER STREET PALM GARDENS LOT 10"</f>
        <v>CENTER STREET PALM GARDENS LOT 10</v>
      </c>
      <c r="D9593" s="1">
        <v>110</v>
      </c>
    </row>
    <row r="9594" spans="1:4" x14ac:dyDescent="0.3">
      <c r="A9594" s="1" t="str">
        <f>"01012229300"</f>
        <v>01012229300</v>
      </c>
      <c r="B9594" s="1" t="str">
        <f>"PALMER CONSTANZA M, DEL CARMEN BARA REYES MARIA"</f>
        <v>PALMER CONSTANZA M, DEL CARMEN BARA REYES MARIA</v>
      </c>
      <c r="C9594" s="1" t="str">
        <f>"FRENCH DR GEORGIAN HTS 2 LOT 86"</f>
        <v>FRENCH DR GEORGIAN HTS 2 LOT 86</v>
      </c>
      <c r="D9594" s="1">
        <v>2991.91</v>
      </c>
    </row>
    <row r="9595" spans="1:4" x14ac:dyDescent="0.3">
      <c r="A9595" s="1" t="str">
        <f>"02501346400"</f>
        <v>02501346400</v>
      </c>
      <c r="B9595" s="1" t="str">
        <f>"PALMER GEORGE, PALMER SUSAN J"</f>
        <v>PALMER GEORGE, PALMER SUSAN J</v>
      </c>
      <c r="C9595" s="1" t="str">
        <f>"CREEKSIDE GREEN CONDOMINIUM 2ND AMD UNIT 8"</f>
        <v>CREEKSIDE GREEN CONDOMINIUM 2ND AMD UNIT 8</v>
      </c>
      <c r="D9595" s="1">
        <v>459.71</v>
      </c>
    </row>
    <row r="9596" spans="1:4" x14ac:dyDescent="0.3">
      <c r="A9596" s="1" t="str">
        <f>"10000075600"</f>
        <v>10000075600</v>
      </c>
      <c r="B9596" s="1" t="str">
        <f>"PALMER MARLINE M"</f>
        <v>PALMER MARLINE M</v>
      </c>
      <c r="C9596" s="1" t="str">
        <f>"675 PLYMOUTH STREET PTS LOTS 51-53 MORRIS ADDN"</f>
        <v>675 PLYMOUTH STREET PTS LOTS 51-53 MORRIS ADDN</v>
      </c>
      <c r="D9596" s="1">
        <v>924.52</v>
      </c>
    </row>
    <row r="9597" spans="1:4" x14ac:dyDescent="0.3">
      <c r="A9597" s="1" t="str">
        <f>"01016744600"</f>
        <v>01016744600</v>
      </c>
      <c r="B9597" s="1" t="str">
        <f>"PALMER SHENICE C"</f>
        <v>PALMER SHENICE C</v>
      </c>
      <c r="C9597" s="1" t="str">
        <f>"2482 HOLT AVE AMVET HOMESTEAD 1 LOT 5 BLK C"</f>
        <v>2482 HOLT AVE AMVET HOMESTEAD 1 LOT 5 BLK C</v>
      </c>
      <c r="D9597" s="1">
        <v>266.52999999999997</v>
      </c>
    </row>
    <row r="9598" spans="1:4" x14ac:dyDescent="0.3">
      <c r="A9598" s="1" t="str">
        <f>"01014318400"</f>
        <v>01014318400</v>
      </c>
      <c r="B9598" s="1" t="str">
        <f>"PALOMARES PAULA MAYREN ALVAREZ"</f>
        <v>PALOMARES PAULA MAYREN ALVAREZ</v>
      </c>
      <c r="C9598" s="1" t="str">
        <f>"PENFIELD RD E HAVILAND 6 LOT 253"</f>
        <v>PENFIELD RD E HAVILAND 6 LOT 253</v>
      </c>
      <c r="D9598" s="1">
        <v>2615.4</v>
      </c>
    </row>
    <row r="9599" spans="1:4" x14ac:dyDescent="0.3">
      <c r="A9599" s="1" t="str">
        <f>"27301354600"</f>
        <v>27301354600</v>
      </c>
      <c r="B9599" s="1" t="str">
        <f>"PALUCH FRANK A TTEE"</f>
        <v>PALUCH FRANK A TTEE</v>
      </c>
      <c r="C9599" s="1" t="str">
        <f>"TOWNS ON THE PARKWAY CONDOMINIUM 4TH AMD UNIT 603"</f>
        <v>TOWNS ON THE PARKWAY CONDOMINIUM 4TH AMD UNIT 603</v>
      </c>
      <c r="D9599" s="1">
        <v>15603.73</v>
      </c>
    </row>
    <row r="9600" spans="1:4" x14ac:dyDescent="0.3">
      <c r="A9600" s="1" t="str">
        <f>"10000308600"</f>
        <v>10000308600</v>
      </c>
      <c r="B9600" s="1" t="str">
        <f>"PAN ALEXANDER SHE"</f>
        <v>PAN ALEXANDER SHE</v>
      </c>
      <c r="C9600" s="1" t="str">
        <f>"5607 EMERSON AVE DAVIS ESTATE LOT 35"</f>
        <v>5607 EMERSON AVE DAVIS ESTATE LOT 35</v>
      </c>
      <c r="D9600" s="1">
        <v>11</v>
      </c>
    </row>
    <row r="9601" spans="1:4" x14ac:dyDescent="0.3">
      <c r="A9601" s="1" t="str">
        <f>"01005958100"</f>
        <v>01005958100</v>
      </c>
      <c r="B9601" s="1" t="str">
        <f>"PANDYA AJAY"</f>
        <v>PANDYA AJAY</v>
      </c>
      <c r="C9601" s="1" t="str">
        <f>"2775 WESTERVILLE RD ELM DALE LOT 57"</f>
        <v>2775 WESTERVILLE RD ELM DALE LOT 57</v>
      </c>
      <c r="D9601" s="1">
        <v>2522.1799999999998</v>
      </c>
    </row>
    <row r="9602" spans="1:4" x14ac:dyDescent="0.3">
      <c r="A9602" s="1" t="str">
        <f>"01008400800"</f>
        <v>01008400800</v>
      </c>
      <c r="B9602" s="1" t="str">
        <f>"PANEK THOMAS R, PANEK JUDITH S"</f>
        <v>PANEK THOMAS R, PANEK JUDITH S</v>
      </c>
      <c r="C9602" s="1" t="str">
        <f>"RIVERVIEW PK DR BEECHWOLD  AMD SUB 165"</f>
        <v>RIVERVIEW PK DR BEECHWOLD  AMD SUB 165</v>
      </c>
      <c r="D9602" s="1">
        <v>386.44</v>
      </c>
    </row>
    <row r="9603" spans="1:4" x14ac:dyDescent="0.3">
      <c r="A9603" s="1" t="str">
        <f>"01004955900"</f>
        <v>01004955900</v>
      </c>
      <c r="B9603" s="1" t="str">
        <f>"PANG BERNICE, WRIGHT ALEXANDER M"</f>
        <v>PANG BERNICE, WRIGHT ALEXANDER M</v>
      </c>
      <c r="C9603" s="1" t="str">
        <f>"989 OREGON AVE            OREGON PL                 LOT 41                   "</f>
        <v xml:space="preserve">989 OREGON AVE            OREGON PL                 LOT 41                   </v>
      </c>
      <c r="D9603" s="1">
        <v>1196.77</v>
      </c>
    </row>
    <row r="9604" spans="1:4" x14ac:dyDescent="0.3">
      <c r="A9604" s="1" t="str">
        <f>"01004676200"</f>
        <v>01004676200</v>
      </c>
      <c r="B9604" s="1" t="str">
        <f>"PANIAGUA YERALDINE"</f>
        <v>PANIAGUA YERALDINE</v>
      </c>
      <c r="C9604" s="1" t="str">
        <f>"142 S OGDEN AVE WICKLOW LOT 45"</f>
        <v>142 S OGDEN AVE WICKLOW LOT 45</v>
      </c>
      <c r="D9604" s="1">
        <v>2129.25</v>
      </c>
    </row>
    <row r="9605" spans="1:4" x14ac:dyDescent="0.3">
      <c r="A9605" s="1" t="str">
        <f>"02000408800"</f>
        <v>02000408800</v>
      </c>
      <c r="B9605" s="1" t="str">
        <f>"PANITCH HARRY F"</f>
        <v>PANITCH HARRY F</v>
      </c>
      <c r="C9605" s="1" t="str">
        <f>"304 N REMINGTON RD VAC BEACON HILL 91 "</f>
        <v xml:space="preserve">304 N REMINGTON RD VAC BEACON HILL 91 </v>
      </c>
      <c r="D9605" s="1">
        <v>7300</v>
      </c>
    </row>
    <row r="9606" spans="1:4" x14ac:dyDescent="0.3">
      <c r="A9606" s="1" t="str">
        <f>"01009846200"</f>
        <v>01009846200</v>
      </c>
      <c r="B9606" s="1" t="str">
        <f>"PANNELL RUBY, OSBORNE TONYA"</f>
        <v>PANNELL RUBY, OSBORNE TONYA</v>
      </c>
      <c r="C9606" s="1" t="str">
        <f>"26TH AVE 30FT WS 204 &amp;20FT ES 205 NORLEA PK LOT 204-205"</f>
        <v>26TH AVE 30FT WS 204 &amp;20FT ES 205 NORLEA PK LOT 204-205</v>
      </c>
      <c r="D9606" s="1">
        <v>369.07</v>
      </c>
    </row>
    <row r="9607" spans="1:4" x14ac:dyDescent="0.3">
      <c r="A9607" s="1" t="str">
        <f>"01023809900"</f>
        <v>01023809900</v>
      </c>
      <c r="B9607" s="1" t="str">
        <f>"PANTALENA JOHN, PANTALENA DYLAN"</f>
        <v>PANTALENA JOHN, PANTALENA DYLAN</v>
      </c>
      <c r="C9607" s="1" t="str">
        <f>"MCNEILL FARMS EAST CONDOMINIUM 23RD AMD UNIT 96F"</f>
        <v>MCNEILL FARMS EAST CONDOMINIUM 23RD AMD UNIT 96F</v>
      </c>
      <c r="D9607" s="1">
        <v>1306.0999999999999</v>
      </c>
    </row>
    <row r="9608" spans="1:4" x14ac:dyDescent="0.3">
      <c r="A9608" s="1" t="str">
        <f>"01009956200"</f>
        <v>01009956200</v>
      </c>
      <c r="B9608" s="1" t="str">
        <f>"PANTHANA TERRI E"</f>
        <v>PANTHANA TERRI E</v>
      </c>
      <c r="C9608" s="1" t="str">
        <f>"DELLWOOD AVE BEECHWOOD LOT 90"</f>
        <v>DELLWOOD AVE BEECHWOOD LOT 90</v>
      </c>
      <c r="D9608" s="1">
        <v>1417.03</v>
      </c>
    </row>
    <row r="9609" spans="1:4" x14ac:dyDescent="0.3">
      <c r="A9609" s="1" t="str">
        <f>"57014035200"</f>
        <v>57014035200</v>
      </c>
      <c r="B9609" s="1" t="str">
        <f>"PAOLINI MISTY D, NEFF WENDY JO"</f>
        <v>PAOLINI MISTY D, NEFF WENDY JO</v>
      </c>
      <c r="C9609" s="1" t="str">
        <f>"HOLLY HILL DR HOLLY HILL 12 LOT 852"</f>
        <v>HOLLY HILL DR HOLLY HILL 12 LOT 852</v>
      </c>
      <c r="D9609" s="1">
        <v>105.91</v>
      </c>
    </row>
    <row r="9610" spans="1:4" x14ac:dyDescent="0.3">
      <c r="A9610" s="1" t="str">
        <f>"27301355600"</f>
        <v>27301355600</v>
      </c>
      <c r="B9610" s="1" t="str">
        <f>"PAPERIELLO VINCENT C"</f>
        <v>PAPERIELLO VINCENT C</v>
      </c>
      <c r="C9610" s="1" t="str">
        <f>"TOWNS ON THE PARKWAY CONDOMINIUM 6TH AMD UNIT 805"</f>
        <v>TOWNS ON THE PARKWAY CONDOMINIUM 6TH AMD UNIT 805</v>
      </c>
      <c r="D9610" s="1">
        <v>727.6</v>
      </c>
    </row>
    <row r="9611" spans="1:4" x14ac:dyDescent="0.3">
      <c r="A9611" s="1" t="str">
        <f>"01028013100"</f>
        <v>01028013100</v>
      </c>
      <c r="B9611" s="1" t="str">
        <f>"PAPPAS KAREN E"</f>
        <v>PAPPAS KAREN E</v>
      </c>
      <c r="C9611" s="1" t="str">
        <f>"ALBANY RESERVE CONDOMINIUM COMMUNITY UNIT 6259 "</f>
        <v xml:space="preserve">ALBANY RESERVE CONDOMINIUM COMMUNITY UNIT 6259 </v>
      </c>
      <c r="D9611" s="1">
        <v>156.62</v>
      </c>
    </row>
    <row r="9612" spans="1:4" x14ac:dyDescent="0.3">
      <c r="A9612" s="1" t="str">
        <f>"15200050600"</f>
        <v>15200050600</v>
      </c>
      <c r="B9612" s="1" t="str">
        <f>"PAR PROPERTIES OF OHIO LLC"</f>
        <v>PAR PROPERTIES OF OHIO LLC</v>
      </c>
      <c r="C9612" s="1" t="str">
        <f>"2440 MCGAW RD R22 T4 S24 16.449 ACRES"</f>
        <v>2440 MCGAW RD R22 T4 S24 16.449 ACRES</v>
      </c>
      <c r="D9612" s="1">
        <v>63523</v>
      </c>
    </row>
    <row r="9613" spans="1:4" x14ac:dyDescent="0.3">
      <c r="A9613" s="1" t="str">
        <f>"03000063300"</f>
        <v>03000063300</v>
      </c>
      <c r="B9613" s="1" t="str">
        <f>"PARALLEL 45 LLC"</f>
        <v>PARALLEL 45 LLC</v>
      </c>
      <c r="C9613" s="1" t="str">
        <f>"1847 W FIFTH AV GLADDINGTON HTS LOTS 752-754"</f>
        <v>1847 W FIFTH AV GLADDINGTON HTS LOTS 752-754</v>
      </c>
      <c r="D9613" s="1">
        <v>1679.95</v>
      </c>
    </row>
    <row r="9614" spans="1:4" x14ac:dyDescent="0.3">
      <c r="A9614" s="1" t="str">
        <f>"01015309800"</f>
        <v>01015309800</v>
      </c>
      <c r="B9614" s="1" t="str">
        <f>"PARAMORE IRENE Z"</f>
        <v>PARAMORE IRENE Z</v>
      </c>
      <c r="C9614" s="1" t="str">
        <f>"EDENBURGH DR S BRITTANY HILLS SEC 2 LOT 145"</f>
        <v>EDENBURGH DR S BRITTANY HILLS SEC 2 LOT 145</v>
      </c>
      <c r="D9614" s="1">
        <v>1632.1</v>
      </c>
    </row>
    <row r="9615" spans="1:4" x14ac:dyDescent="0.3">
      <c r="A9615" s="1" t="str">
        <f>"01003074400"</f>
        <v>01003074400</v>
      </c>
      <c r="B9615" s="1" t="str">
        <f>"PARCELL JORDAN R, PARCELL SONJA L"</f>
        <v>PARCELL JORDAN R, PARCELL SONJA L</v>
      </c>
      <c r="C9615" s="1" t="str">
        <f>"308 E COLUMBUS ST MARIA STELZERS SUB S 1/2 LOT 27"</f>
        <v>308 E COLUMBUS ST MARIA STELZERS SUB S 1/2 LOT 27</v>
      </c>
      <c r="D9615" s="1">
        <v>7246.75</v>
      </c>
    </row>
    <row r="9616" spans="1:4" x14ac:dyDescent="0.3">
      <c r="A9616" s="1" t="str">
        <f>"04000757300"</f>
        <v>04000757300</v>
      </c>
      <c r="B9616" s="1" t="str">
        <f>"PARCHER DAVID L"</f>
        <v>PARCHER DAVID L</v>
      </c>
      <c r="C9616" s="1" t="str">
        <f>"HOOVER CROSSING SECTION 1 LOT 6"</f>
        <v>HOOVER CROSSING SECTION 1 LOT 6</v>
      </c>
      <c r="D9616" s="1">
        <v>2646.07</v>
      </c>
    </row>
    <row r="9617" spans="1:4" x14ac:dyDescent="0.3">
      <c r="A9617" s="1" t="str">
        <f>"01002325500"</f>
        <v>01002325500</v>
      </c>
      <c r="B9617" s="1" t="str">
        <f>"PAREDES ANGEL ALVARADO"</f>
        <v>PAREDES ANGEL ALVARADO</v>
      </c>
      <c r="C9617" s="1" t="str">
        <f>"63 HIGHLAND AVE 33 1-3 FT S S ONG LOT 4"</f>
        <v>63 HIGHLAND AVE 33 1-3 FT S S ONG LOT 4</v>
      </c>
      <c r="D9617" s="1">
        <v>1228.5999999999999</v>
      </c>
    </row>
    <row r="9618" spans="1:4" x14ac:dyDescent="0.3">
      <c r="A9618" s="1" t="str">
        <f>"01022754900"</f>
        <v>01022754900</v>
      </c>
      <c r="B9618" s="1" t="str">
        <f>"PARHAM EARLEY A III, PARHAM CHRISTINE S"</f>
        <v>PARHAM EARLEY A III, PARHAM CHRISTINE S</v>
      </c>
      <c r="C9618" s="1" t="str">
        <f>"BETHANY DRIVE WEST ALBANY SEC 1 LOT 5"</f>
        <v>BETHANY DRIVE WEST ALBANY SEC 1 LOT 5</v>
      </c>
      <c r="D9618" s="1">
        <v>3099.24</v>
      </c>
    </row>
    <row r="9619" spans="1:4" x14ac:dyDescent="0.3">
      <c r="A9619" s="1" t="str">
        <f>"01017889900"</f>
        <v>01017889900</v>
      </c>
      <c r="B9619" s="1" t="str">
        <f>"PARK BRIAN M, PARK NICHOLE B"</f>
        <v>PARK BRIAN M, PARK NICHOLE B</v>
      </c>
      <c r="C9619" s="1" t="str">
        <f>"SUTTON PLACE COND UNIT 5065 "</f>
        <v xml:space="preserve">SUTTON PLACE COND UNIT 5065 </v>
      </c>
      <c r="D9619" s="1">
        <v>142.71</v>
      </c>
    </row>
    <row r="9620" spans="1:4" x14ac:dyDescent="0.3">
      <c r="A9620" s="1" t="str">
        <f>"07001003300"</f>
        <v>07001003300</v>
      </c>
      <c r="B9620" s="1" t="str">
        <f>"PARK EMMET S, SORONEN RITA L"</f>
        <v>PARK EMMET S, SORONEN RITA L</v>
      </c>
      <c r="C9620" s="1" t="str">
        <f>"2614 CLAIRMONT COURT SHELBOURNE HEIGHTS 16 BLK 322"</f>
        <v>2614 CLAIRMONT COURT SHELBOURNE HEIGHTS 16 BLK 322</v>
      </c>
      <c r="D9620" s="1">
        <v>17362.080000000002</v>
      </c>
    </row>
    <row r="9621" spans="1:4" x14ac:dyDescent="0.3">
      <c r="A9621" s="1" t="str">
        <f>"60017021100"</f>
        <v>60017021100</v>
      </c>
      <c r="B9621" s="1" t="str">
        <f>"PARK JUN YOUNG"</f>
        <v>PARK JUN YOUNG</v>
      </c>
      <c r="C9621" s="1" t="str">
        <f>"THRESHING COURT PTS STRAWBERRY2FRMS RESUB SEC1&amp;2LT18"</f>
        <v>THRESHING COURT PTS STRAWBERRY2FRMS RESUB SEC1&amp;2LT18</v>
      </c>
      <c r="D9621" s="1">
        <v>215.63</v>
      </c>
    </row>
    <row r="9622" spans="1:4" x14ac:dyDescent="0.3">
      <c r="A9622" s="1" t="str">
        <f>"01003031600"</f>
        <v>01003031600</v>
      </c>
      <c r="B9622" s="1" t="str">
        <f>"PARK PROPERTY GROUP LLC"</f>
        <v>PARK PROPERTY GROUP LLC</v>
      </c>
      <c r="C9622" s="1" t="str">
        <f>"1960 S WASHINGTON AV 20TH CENTURY LOT 133"</f>
        <v>1960 S WASHINGTON AV 20TH CENTURY LOT 133</v>
      </c>
      <c r="D9622" s="1">
        <v>1460.12</v>
      </c>
    </row>
    <row r="9623" spans="1:4" x14ac:dyDescent="0.3">
      <c r="A9623" s="1" t="str">
        <f>"01017888500"</f>
        <v>01017888500</v>
      </c>
      <c r="B9623" s="1" t="str">
        <f>"PARK ROBERT L"</f>
        <v>PARK ROBERT L</v>
      </c>
      <c r="C9623" s="1" t="str">
        <f>"SUTTON PLACE COND UNIT 5037 "</f>
        <v xml:space="preserve">SUTTON PLACE COND UNIT 5037 </v>
      </c>
      <c r="D9623" s="1">
        <v>139.76</v>
      </c>
    </row>
    <row r="9624" spans="1:4" x14ac:dyDescent="0.3">
      <c r="A9624" s="1" t="str">
        <f>"51528395000"</f>
        <v>51528395000</v>
      </c>
      <c r="B9624" s="1" t="str">
        <f>"PARK VENTURES HOLDINGS LLC"</f>
        <v>PARK VENTURES HOLDINGS LLC</v>
      </c>
      <c r="C9624" s="1" t="str">
        <f>"WAGGONER PARK CONDOMINIUM 22ND AMD BLDG 69 UNIT 342"</f>
        <v>WAGGONER PARK CONDOMINIUM 22ND AMD BLDG 69 UNIT 342</v>
      </c>
      <c r="D9624" s="1">
        <v>106.25</v>
      </c>
    </row>
    <row r="9625" spans="1:4" x14ac:dyDescent="0.3">
      <c r="A9625" s="1" t="str">
        <f>"02500374700"</f>
        <v>02500374700</v>
      </c>
      <c r="B9625" s="1" t="str">
        <f>"PARK VENTURES HOLDINGS LLC"</f>
        <v>PARK VENTURES HOLDINGS LLC</v>
      </c>
      <c r="C9625" s="1" t="str">
        <f>"475-477 MELISSA COUR GOSHEN PARK LOT 11"</f>
        <v>475-477 MELISSA COUR GOSHEN PARK LOT 11</v>
      </c>
      <c r="D9625" s="1">
        <v>134.07</v>
      </c>
    </row>
    <row r="9626" spans="1:4" x14ac:dyDescent="0.3">
      <c r="A9626" s="1" t="str">
        <f>"51527929800"</f>
        <v>51527929800</v>
      </c>
      <c r="B9626" s="1" t="str">
        <f>"PARK VENTURES HOLDINGS LLC"</f>
        <v>PARK VENTURES HOLDINGS LLC</v>
      </c>
      <c r="C9626" s="1" t="str">
        <f>"WAGGONER PARK CONDOMINIUM 19TH AMD BLDG 68 UNIT 8215"</f>
        <v>WAGGONER PARK CONDOMINIUM 19TH AMD BLDG 68 UNIT 8215</v>
      </c>
      <c r="D9626" s="1">
        <v>66.95</v>
      </c>
    </row>
    <row r="9627" spans="1:4" x14ac:dyDescent="0.3">
      <c r="A9627" s="1" t="str">
        <f>"06000200800"</f>
        <v>06000200800</v>
      </c>
      <c r="B9627" s="1" t="str">
        <f>"PARK VENTURES HOLDINGS LLC"</f>
        <v>PARK VENTURES HOLDINGS LLC</v>
      </c>
      <c r="C9627" s="1" t="str">
        <f>"ROSEHILL RD HERBERT C HUBER PLAT 36 SEC 2 LOT 66"</f>
        <v>ROSEHILL RD HERBERT C HUBER PLAT 36 SEC 2 LOT 66</v>
      </c>
      <c r="D9627" s="1">
        <v>86.29</v>
      </c>
    </row>
    <row r="9628" spans="1:4" x14ac:dyDescent="0.3">
      <c r="A9628" s="1" t="str">
        <f>"60024817700"</f>
        <v>60024817700</v>
      </c>
      <c r="B9628" s="1" t="str">
        <f>"PARK VISTA I LP, EMERALD PROPERTY HOLDCO LLC, ETOWN PROPERTY HOLDCO LLC"</f>
        <v>PARK VISTA I LP, EMERALD PROPERTY HOLDCO LLC, ETOWN PROPERTY HOLDCO LLC</v>
      </c>
      <c r="C9628" s="1" t="str">
        <f>"FOREST VIEW CONDOMINIUM UNIT G-24 (GARAGE UNIT) "</f>
        <v xml:space="preserve">FOREST VIEW CONDOMINIUM UNIT G-24 (GARAGE UNIT) </v>
      </c>
      <c r="D9628" s="1">
        <v>82.56</v>
      </c>
    </row>
    <row r="9629" spans="1:4" x14ac:dyDescent="0.3">
      <c r="A9629" s="1" t="str">
        <f>"60024817900"</f>
        <v>60024817900</v>
      </c>
      <c r="B9629" s="1" t="str">
        <f>"PARK VISTA I LP, EMERALD PROPERTY HOLDCO LLC, ETOWN PROPERTY HOLDCO LLC"</f>
        <v>PARK VISTA I LP, EMERALD PROPERTY HOLDCO LLC, ETOWN PROPERTY HOLDCO LLC</v>
      </c>
      <c r="C9629" s="1" t="str">
        <f>"FOREST VIEW CONDOMINIUM UNIT G-26 (GARAGE UNIT) "</f>
        <v xml:space="preserve">FOREST VIEW CONDOMINIUM UNIT G-26 (GARAGE UNIT) </v>
      </c>
      <c r="D9629" s="1">
        <v>82.56</v>
      </c>
    </row>
    <row r="9630" spans="1:4" x14ac:dyDescent="0.3">
      <c r="A9630" s="1" t="str">
        <f>"60024818000"</f>
        <v>60024818000</v>
      </c>
      <c r="B9630" s="1" t="str">
        <f>"PARK VISTA I LP, EMERALD PROPERTY HOLDCO LLC, ETOWN PROPERTY HOLDCO LLC"</f>
        <v>PARK VISTA I LP, EMERALD PROPERTY HOLDCO LLC, ETOWN PROPERTY HOLDCO LLC</v>
      </c>
      <c r="C9630" s="1" t="str">
        <f>"FOREST VIEW CONDOMINIUM UNIT G-27 (GARAGE UNIT) "</f>
        <v xml:space="preserve">FOREST VIEW CONDOMINIUM UNIT G-27 (GARAGE UNIT) </v>
      </c>
      <c r="D9630" s="1">
        <v>82.56</v>
      </c>
    </row>
    <row r="9631" spans="1:4" x14ac:dyDescent="0.3">
      <c r="A9631" s="1" t="str">
        <f>"60024818300"</f>
        <v>60024818300</v>
      </c>
      <c r="B9631" s="1" t="str">
        <f>"PARK VISTA I LP, EMERALD PROPERTY HOLDCO LLC, ETOWN PROPERTY HOLDCO LLC"</f>
        <v>PARK VISTA I LP, EMERALD PROPERTY HOLDCO LLC, ETOWN PROPERTY HOLDCO LLC</v>
      </c>
      <c r="C9631" s="1" t="str">
        <f>"FOREST VIEW CONDOMINIUM UNIT G-30 (GARAGE UNIT) "</f>
        <v xml:space="preserve">FOREST VIEW CONDOMINIUM UNIT G-30 (GARAGE UNIT) </v>
      </c>
      <c r="D9631" s="1">
        <v>82.56</v>
      </c>
    </row>
    <row r="9632" spans="1:4" x14ac:dyDescent="0.3">
      <c r="A9632" s="1" t="str">
        <f>"60024818500"</f>
        <v>60024818500</v>
      </c>
      <c r="B9632" s="1" t="str">
        <f>"PARK VISTA I LP, EMERALD PROPERTY HOLDCO LLC, ETOWN PROPERTY HOLDCO LLC"</f>
        <v>PARK VISTA I LP, EMERALD PROPERTY HOLDCO LLC, ETOWN PROPERTY HOLDCO LLC</v>
      </c>
      <c r="C9632" s="1" t="str">
        <f>"FOREST VIEW CONDOMINIUM UNIT G-32 (GARAGE UNIT) "</f>
        <v xml:space="preserve">FOREST VIEW CONDOMINIUM UNIT G-32 (GARAGE UNIT) </v>
      </c>
      <c r="D9632" s="1">
        <v>82.56</v>
      </c>
    </row>
    <row r="9633" spans="1:4" x14ac:dyDescent="0.3">
      <c r="A9633" s="1" t="str">
        <f>"01010835200"</f>
        <v>01010835200</v>
      </c>
      <c r="B9633" s="1" t="str">
        <f>"PARKER ANGELA M"</f>
        <v>PARKER ANGELA M</v>
      </c>
      <c r="C9633" s="1" t="str">
        <f>"CLEARVIEW AVE MARBURN LOT 98 "</f>
        <v xml:space="preserve">CLEARVIEW AVE MARBURN LOT 98 </v>
      </c>
      <c r="D9633" s="1">
        <v>1179.83</v>
      </c>
    </row>
    <row r="9634" spans="1:4" x14ac:dyDescent="0.3">
      <c r="A9634" s="1" t="str">
        <f>"01014147200"</f>
        <v>01014147200</v>
      </c>
      <c r="B9634" s="1" t="str">
        <f>"PARKER HAROLD, PARKER LORENZO"</f>
        <v>PARKER HAROLD, PARKER LORENZO</v>
      </c>
      <c r="C9634" s="1" t="str">
        <f>"PENFIELD RD HAVILAND 5 LOT 236"</f>
        <v>PENFIELD RD HAVILAND 5 LOT 236</v>
      </c>
      <c r="D9634" s="1">
        <v>2176.5700000000002</v>
      </c>
    </row>
    <row r="9635" spans="1:4" x14ac:dyDescent="0.3">
      <c r="A9635" s="1" t="str">
        <f>"23000148600"</f>
        <v>23000148600</v>
      </c>
      <c r="B9635" s="1" t="str">
        <f>"PARKER NATHAN, DALOK PROPERTIES LLC"</f>
        <v>PARKER NATHAN, DALOK PROPERTIES LLC</v>
      </c>
      <c r="C9635" s="1" t="str">
        <f>"HARRISBURG PK &amp; B&amp;OR R 1.5 ACRES OQ 1500 ENTRY 6178 3-4"</f>
        <v>HARRISBURG PK &amp; B&amp;OR R 1.5 ACRES OQ 1500 ENTRY 6178 3-4</v>
      </c>
      <c r="D9635" s="1">
        <v>1484.82</v>
      </c>
    </row>
    <row r="9636" spans="1:4" x14ac:dyDescent="0.3">
      <c r="A9636" s="1" t="str">
        <f>"18400128300"</f>
        <v>18400128300</v>
      </c>
      <c r="B9636" s="1" t="str">
        <f>"PARKER ROBERT"</f>
        <v>PARKER ROBERT</v>
      </c>
      <c r="C9636" s="1" t="str">
        <f>"BOWEN RD R20 T15 S30 2.20 ACRE"</f>
        <v>BOWEN RD R20 T15 S30 2.20 ACRE</v>
      </c>
      <c r="D9636" s="1">
        <v>285.26</v>
      </c>
    </row>
    <row r="9637" spans="1:4" x14ac:dyDescent="0.3">
      <c r="A9637" s="1" t="str">
        <f>"09000236100"</f>
        <v>09000236100</v>
      </c>
      <c r="B9637" s="1" t="str">
        <f>"PARKER TANYA"</f>
        <v>PARKER TANYA</v>
      </c>
      <c r="C9637" s="1" t="str">
        <f>"4686 KAE AVE HAMILTON TERRACE LOT 11"</f>
        <v>4686 KAE AVE HAMILTON TERRACE LOT 11</v>
      </c>
      <c r="D9637" s="1">
        <v>2752.87</v>
      </c>
    </row>
    <row r="9638" spans="1:4" x14ac:dyDescent="0.3">
      <c r="A9638" s="1" t="str">
        <f>"01014847000"</f>
        <v>01014847000</v>
      </c>
      <c r="B9638" s="1" t="str">
        <f>"PARKER TOM, PARKER PAM"</f>
        <v>PARKER TOM, PARKER PAM</v>
      </c>
      <c r="C9638" s="1" t="str">
        <f>"PEARLDALE RD N SKYWAE HEIGHTS SEC 1 LOT 2"</f>
        <v>PEARLDALE RD N SKYWAE HEIGHTS SEC 1 LOT 2</v>
      </c>
      <c r="D9638" s="1">
        <v>209.65</v>
      </c>
    </row>
    <row r="9639" spans="1:4" x14ac:dyDescent="0.3">
      <c r="A9639" s="1" t="str">
        <f>"01015951300"</f>
        <v>01015951300</v>
      </c>
      <c r="B9639" s="1" t="str">
        <f>"PARKISON ROBERT A, PARKISON SONDRA S"</f>
        <v>PARKISON ROBERT A, PARKISON SONDRA S</v>
      </c>
      <c r="C9639" s="1" t="str">
        <f>"SHARON WOODS SEC 8 BELLESHIRE ST LOT 877"</f>
        <v>SHARON WOODS SEC 8 BELLESHIRE ST LOT 877</v>
      </c>
      <c r="D9639" s="1">
        <v>234.53</v>
      </c>
    </row>
    <row r="9640" spans="1:4" x14ac:dyDescent="0.3">
      <c r="A9640" s="1" t="str">
        <f>"01004157200"</f>
        <v>01004157200</v>
      </c>
      <c r="B9640" s="1" t="str">
        <f>"PARKS CLYDE E"</f>
        <v>PARKS CLYDE E</v>
      </c>
      <c r="C9640" s="1" t="str">
        <f>"533 BULEN AVE BULENS MAIN ST LOT 35"</f>
        <v>533 BULEN AVE BULENS MAIN ST LOT 35</v>
      </c>
      <c r="D9640" s="1">
        <v>1247</v>
      </c>
    </row>
    <row r="9641" spans="1:4" x14ac:dyDescent="0.3">
      <c r="A9641" s="1" t="str">
        <f>"61016638000"</f>
        <v>61016638000</v>
      </c>
      <c r="B9641" s="1" t="str">
        <f>"PARKS GUY W II, PARKS GLENNA J"</f>
        <v>PARKS GUY W II, PARKS GLENNA J</v>
      </c>
      <c r="C9641" s="1" t="str">
        <f>"BRANCH STREET WORTHINGVIEW SEC 2 LOT 97"</f>
        <v>BRANCH STREET WORTHINGVIEW SEC 2 LOT 97</v>
      </c>
      <c r="D9641" s="1">
        <v>499.54</v>
      </c>
    </row>
    <row r="9642" spans="1:4" x14ac:dyDescent="0.3">
      <c r="A9642" s="1" t="str">
        <f>"01006839100"</f>
        <v>01006839100</v>
      </c>
      <c r="B9642" s="1" t="str">
        <f>"PARKS MIKE"</f>
        <v>PARKS MIKE</v>
      </c>
      <c r="C9642" s="1" t="str">
        <f>"681 S WARREN AVE WILSHIRE HTS LOT 5 BLK 4"</f>
        <v>681 S WARREN AVE WILSHIRE HTS LOT 5 BLK 4</v>
      </c>
      <c r="D9642" s="1">
        <v>1572.04</v>
      </c>
    </row>
    <row r="9643" spans="1:4" x14ac:dyDescent="0.3">
      <c r="A9643" s="1" t="str">
        <f>"05000233100"</f>
        <v>05000233100</v>
      </c>
      <c r="B9643" s="1" t="str">
        <f>"PARKS SUSAN S"</f>
        <v>PARKS SUSAN S</v>
      </c>
      <c r="C9643" s="1" t="str">
        <f>"4893 JEANNETTE RD PT LOT 46 MCDOWELLS LEAP ROAD ACREAGE"</f>
        <v>4893 JEANNETTE RD PT LOT 46 MCDOWELLS LEAP ROAD ACREAGE</v>
      </c>
      <c r="D9643" s="1">
        <v>352.58</v>
      </c>
    </row>
    <row r="9644" spans="1:4" x14ac:dyDescent="0.3">
      <c r="A9644" s="1" t="str">
        <f>"19000060000"</f>
        <v>19000060000</v>
      </c>
      <c r="B9644" s="1" t="str">
        <f>"PARKWOOD REALTY LLC"</f>
        <v>PARKWOOD REALTY LLC</v>
      </c>
      <c r="C9644" s="1" t="str">
        <f>"2552 PARKWOOD AVE DENUNE E LINDEN 5TH 112"</f>
        <v>2552 PARKWOOD AVE DENUNE E LINDEN 5TH 112</v>
      </c>
      <c r="D9644" s="1">
        <v>621.6</v>
      </c>
    </row>
    <row r="9645" spans="1:4" x14ac:dyDescent="0.3">
      <c r="A9645" s="1" t="str">
        <f>"01004401900"</f>
        <v>01004401900</v>
      </c>
      <c r="B9645" s="1" t="str">
        <f>"PARKWOOD REALTY LLC"</f>
        <v>PARKWOOD REALTY LLC</v>
      </c>
      <c r="C9645" s="1" t="str">
        <f>"335 N OGDEN AVE HILLCREST LOT 187"</f>
        <v>335 N OGDEN AVE HILLCREST LOT 187</v>
      </c>
      <c r="D9645" s="1">
        <v>890.18</v>
      </c>
    </row>
    <row r="9646" spans="1:4" x14ac:dyDescent="0.3">
      <c r="A9646" s="1" t="str">
        <f>"01013710100"</f>
        <v>01013710100</v>
      </c>
      <c r="B9646" s="1" t="str">
        <f>"PARLETTE ROBERT C, PARLETTE CAROL B"</f>
        <v>PARLETTE ROBERT C, PARLETTE CAROL B</v>
      </c>
      <c r="C9646" s="1" t="str">
        <f>"WEDGEWOOD DR HOLLY HILL 7 LOT 660"</f>
        <v>WEDGEWOOD DR HOLLY HILL 7 LOT 660</v>
      </c>
      <c r="D9646" s="1">
        <v>111.6</v>
      </c>
    </row>
    <row r="9647" spans="1:4" x14ac:dyDescent="0.3">
      <c r="A9647" s="1" t="str">
        <f>"01010033000"</f>
        <v>01010033000</v>
      </c>
      <c r="B9647" s="1" t="str">
        <f>"PARRILLA IDA T TOD"</f>
        <v>PARRILLA IDA T TOD</v>
      </c>
      <c r="C9647" s="1" t="str">
        <f>"HUNTLEY DR SHADY LANE PARK LOT 278"</f>
        <v>HUNTLEY DR SHADY LANE PARK LOT 278</v>
      </c>
      <c r="D9647" s="1">
        <v>1375.7</v>
      </c>
    </row>
    <row r="9648" spans="1:4" x14ac:dyDescent="0.3">
      <c r="A9648" s="1" t="str">
        <f>"16000291200"</f>
        <v>16000291200</v>
      </c>
      <c r="B9648" s="1" t="str">
        <f>"PARRISH AMY L, PARRISH RYAN N"</f>
        <v>PARRISH AMY L, PARRISH RYAN N</v>
      </c>
      <c r="C9648" s="1" t="str">
        <f>"MITCHELL ROAD ENTRY 6115 5.861 ACRES"</f>
        <v>MITCHELL ROAD ENTRY 6115 5.861 ACRES</v>
      </c>
      <c r="D9648" s="1">
        <v>327.47000000000003</v>
      </c>
    </row>
    <row r="9649" spans="1:4" x14ac:dyDescent="0.3">
      <c r="A9649" s="1" t="str">
        <f>"01002053300"</f>
        <v>01002053300</v>
      </c>
      <c r="B9649" s="1" t="str">
        <f>"PARRISH DAWN L"</f>
        <v>PARRISH DAWN L</v>
      </c>
      <c r="C9649" s="1" t="str">
        <f>"479 FAIRFIELD AVE E L MCVEYS MARYLD PK LOT 20"</f>
        <v>479 FAIRFIELD AVE E L MCVEYS MARYLD PK LOT 20</v>
      </c>
      <c r="D9649" s="1">
        <v>2138.15</v>
      </c>
    </row>
    <row r="9650" spans="1:4" x14ac:dyDescent="0.3">
      <c r="A9650" s="1" t="str">
        <f>"55015611400"</f>
        <v>55015611400</v>
      </c>
      <c r="B9650" s="1" t="str">
        <f>"PARRISH DAWN L"</f>
        <v>PARRISH DAWN L</v>
      </c>
      <c r="C9650" s="1" t="str">
        <f>"IDLEWILD DRIVE IDLEWILD MANOR LOT 300"</f>
        <v>IDLEWILD DRIVE IDLEWILD MANOR LOT 300</v>
      </c>
      <c r="D9650" s="1">
        <v>2344.58</v>
      </c>
    </row>
    <row r="9651" spans="1:4" x14ac:dyDescent="0.3">
      <c r="A9651" s="1" t="str">
        <f>"01018938200"</f>
        <v>01018938200</v>
      </c>
      <c r="B9651" s="1" t="str">
        <f>"PARROT PASCAL"</f>
        <v>PARROT PASCAL</v>
      </c>
      <c r="C9651" s="1" t="str">
        <f>"1785-E NORTHWEST CT WINDGATE VIL COND UNIT 121 BLDG 20"</f>
        <v>1785-E NORTHWEST CT WINDGATE VIL COND UNIT 121 BLDG 20</v>
      </c>
      <c r="D9651" s="1">
        <v>4239.13</v>
      </c>
    </row>
    <row r="9652" spans="1:4" x14ac:dyDescent="0.3">
      <c r="A9652" s="1" t="str">
        <f>"61022246500"</f>
        <v>61022246500</v>
      </c>
      <c r="B9652" s="1" t="str">
        <f>"PARROTT SCOTT A"</f>
        <v>PARROTT SCOTT A</v>
      </c>
      <c r="C9652" s="1" t="str">
        <f>"PELHAM DR WORTHINGTON HIGHLAND SEC 5 LOT 353"</f>
        <v>PELHAM DR WORTHINGTON HIGHLAND SEC 5 LOT 353</v>
      </c>
      <c r="D9652" s="1">
        <v>403.14</v>
      </c>
    </row>
    <row r="9653" spans="1:4" x14ac:dyDescent="0.3">
      <c r="A9653" s="1" t="str">
        <f>"61020932200"</f>
        <v>61020932200</v>
      </c>
      <c r="B9653" s="1" t="str">
        <f>"PARRY GEORGE M TR"</f>
        <v>PARRY GEORGE M TR</v>
      </c>
      <c r="C9653" s="1" t="str">
        <f>"WORTHINGTON PARK CONDOMINIUM UNIT 3C"</f>
        <v>WORTHINGTON PARK CONDOMINIUM UNIT 3C</v>
      </c>
      <c r="D9653" s="1">
        <v>1571.7</v>
      </c>
    </row>
    <row r="9654" spans="1:4" x14ac:dyDescent="0.3">
      <c r="A9654" s="1" t="str">
        <f>"01008133600"</f>
        <v>01008133600</v>
      </c>
      <c r="B9654" s="1" t="str">
        <f>"PARSLEY JOAN E"</f>
        <v>PARSLEY JOAN E</v>
      </c>
      <c r="C9654" s="1" t="str">
        <f>"2994 DRESDEN ST KENMORE LOT 174"</f>
        <v>2994 DRESDEN ST KENMORE LOT 174</v>
      </c>
      <c r="D9654" s="1">
        <v>121.17</v>
      </c>
    </row>
    <row r="9655" spans="1:4" x14ac:dyDescent="0.3">
      <c r="A9655" s="1" t="str">
        <f>"14000104700"</f>
        <v>14000104700</v>
      </c>
      <c r="B9655" s="1" t="str">
        <f>"PARSLEY QUENTENIA M, PARSLEY ROLINA L, VIRGIN LORRISSIA D"</f>
        <v>PARSLEY QUENTENIA M, PARSLEY ROLINA L, VIRGIN LORRISSIA D</v>
      </c>
      <c r="C9655" s="1" t="str">
        <f>"1100 FOREST DR GIBSON PARK PLACE LOT 199"</f>
        <v>1100 FOREST DR GIBSON PARK PLACE LOT 199</v>
      </c>
      <c r="D9655" s="1">
        <v>114.62</v>
      </c>
    </row>
    <row r="9656" spans="1:4" x14ac:dyDescent="0.3">
      <c r="A9656" s="1" t="str">
        <f>"15200050900"</f>
        <v>15200050900</v>
      </c>
      <c r="B9656" s="1" t="str">
        <f>"PARSLEY ROBERT R, PARSLEY WANDA L"</f>
        <v>PARSLEY ROBERT R, PARSLEY WANDA L</v>
      </c>
      <c r="C9656" s="1" t="str">
        <f>"2098 SEDAN AVE MCDOWELLS OBETZ ACRES 72 URP .701 AC"</f>
        <v>2098 SEDAN AVE MCDOWELLS OBETZ ACRES 72 URP .701 AC</v>
      </c>
      <c r="D9656" s="1">
        <v>167.98</v>
      </c>
    </row>
    <row r="9657" spans="1:4" x14ac:dyDescent="0.3">
      <c r="A9657" s="1" t="str">
        <f>"27300541700"</f>
        <v>27300541700</v>
      </c>
      <c r="B9657" s="1" t="str">
        <f>"PARSONS DAVID A, PARSONS KARI B"</f>
        <v>PARSONS DAVID A, PARSONS KARI B</v>
      </c>
      <c r="C9657" s="1" t="str">
        <f>"5722 WILCOX RD ENTRY 3011 1.461 ACRES"</f>
        <v>5722 WILCOX RD ENTRY 3011 1.461 ACRES</v>
      </c>
      <c r="D9657" s="1">
        <v>457.06</v>
      </c>
    </row>
    <row r="9658" spans="1:4" x14ac:dyDescent="0.3">
      <c r="A9658" s="1" t="str">
        <f>"07000318200"</f>
        <v>07000318200</v>
      </c>
      <c r="B9658" s="1" t="str">
        <f>"PARSONS HARRY A"</f>
        <v>PARSONS HARRY A</v>
      </c>
      <c r="C9658" s="1" t="str">
        <f>"1918 WESTWOOD AVE KINGSWOOD LOT 4 BLK 164"</f>
        <v>1918 WESTWOOD AVE KINGSWOOD LOT 4 BLK 164</v>
      </c>
      <c r="D9658" s="1">
        <v>4518.26</v>
      </c>
    </row>
    <row r="9659" spans="1:4" x14ac:dyDescent="0.3">
      <c r="A9659" s="1" t="str">
        <f>"01002259900"</f>
        <v>01002259900</v>
      </c>
      <c r="B9659" s="1" t="str">
        <f>"PARSONS JOHN"</f>
        <v>PARSONS JOHN</v>
      </c>
      <c r="C9659" s="1" t="str">
        <f>"1022 FAIR AVE 74.5FT SE L 16 TOMPKINS"</f>
        <v>1022 FAIR AVE 74.5FT SE L 16 TOMPKINS</v>
      </c>
      <c r="D9659" s="1">
        <v>29.13</v>
      </c>
    </row>
    <row r="9660" spans="1:4" x14ac:dyDescent="0.3">
      <c r="A9660" s="1" t="str">
        <f>"01014486500"</f>
        <v>01014486500</v>
      </c>
      <c r="B9660" s="1" t="str">
        <f>"PARSONS KIMBERLY J"</f>
        <v>PARSONS KIMBERLY J</v>
      </c>
      <c r="C9660" s="1" t="str">
        <f>"RIVERBIRCH DR. N FOREST PK E SEC 2 LOT 183"</f>
        <v>RIVERBIRCH DR. N FOREST PK E SEC 2 LOT 183</v>
      </c>
      <c r="D9660" s="1">
        <v>711.5</v>
      </c>
    </row>
    <row r="9661" spans="1:4" x14ac:dyDescent="0.3">
      <c r="A9661" s="1" t="str">
        <f>"01007852700"</f>
        <v>01007852700</v>
      </c>
      <c r="B9661" s="1" t="str">
        <f>"PARSONS SUSAN W"</f>
        <v>PARSONS SUSAN W</v>
      </c>
      <c r="C9661" s="1" t="str">
        <f>"ALQONQUIN AVE WESTGATE PARK LOT 13 "</f>
        <v xml:space="preserve">ALQONQUIN AVE WESTGATE PARK LOT 13 </v>
      </c>
      <c r="D9661" s="1">
        <v>397.37</v>
      </c>
    </row>
    <row r="9662" spans="1:4" x14ac:dyDescent="0.3">
      <c r="A9662" s="1" t="str">
        <f>"14000537300"</f>
        <v>14000537300</v>
      </c>
      <c r="B9662" s="1" t="str">
        <f>"PARTHEMORE MICHAEL P"</f>
        <v>PARTHEMORE MICHAEL P</v>
      </c>
      <c r="C9662" s="1" t="str">
        <f>"1209 BROWN RD GIBSON PARK PLACE PT LOT 268"</f>
        <v>1209 BROWN RD GIBSON PARK PLACE PT LOT 268</v>
      </c>
      <c r="D9662" s="1">
        <v>1432.63</v>
      </c>
    </row>
    <row r="9663" spans="1:4" x14ac:dyDescent="0.3">
      <c r="A9663" s="1" t="str">
        <f>"01009211400"</f>
        <v>01009211400</v>
      </c>
      <c r="B9663" s="1" t="str">
        <f>"PARTSCH JONATHAN"</f>
        <v>PARTSCH JONATHAN</v>
      </c>
      <c r="C9663" s="1" t="str">
        <f>"ENFIELD RD BEXLEY PK EXT LOT 19"</f>
        <v>ENFIELD RD BEXLEY PK EXT LOT 19</v>
      </c>
      <c r="D9663" s="1">
        <v>2363.7600000000002</v>
      </c>
    </row>
    <row r="9664" spans="1:4" x14ac:dyDescent="0.3">
      <c r="A9664" s="1" t="str">
        <f>"02500177800"</f>
        <v>02500177800</v>
      </c>
      <c r="B9664" s="1" t="str">
        <f>"PARZERO JESSE A, PARZERO LINDA D"</f>
        <v>PARZERO JESSE A, PARZERO LINDA D</v>
      </c>
      <c r="C9664" s="1" t="str">
        <f>"321 MUSKINGUM DR COLLEGE PARK 150"</f>
        <v>321 MUSKINGUM DR COLLEGE PARK 150</v>
      </c>
      <c r="D9664" s="1">
        <v>587.34</v>
      </c>
    </row>
    <row r="9665" spans="1:4" x14ac:dyDescent="0.3">
      <c r="A9665" s="1" t="str">
        <f>"02500378300"</f>
        <v>02500378300</v>
      </c>
      <c r="B9665" s="1" t="str">
        <f>"PASCAL CHRIS A, PASCAL GEORGE S"</f>
        <v>PASCAL CHRIS A, PASCAL GEORGE S</v>
      </c>
      <c r="C9665" s="1" t="str">
        <f>"813 NOB HILL DRIVE W CLIFFSIDE LOT 19"</f>
        <v>813 NOB HILL DRIVE W CLIFFSIDE LOT 19</v>
      </c>
      <c r="D9665" s="1">
        <v>413.06</v>
      </c>
    </row>
    <row r="9666" spans="1:4" x14ac:dyDescent="0.3">
      <c r="A9666" s="1" t="str">
        <f>"60018124700"</f>
        <v>60018124700</v>
      </c>
      <c r="B9666" s="1" t="str">
        <f>"PASCO JOAN"</f>
        <v>PASCO JOAN</v>
      </c>
      <c r="C9666" s="1" t="str">
        <f>"BROADVIEW RD CHERRYBOTTOM VILL 4 LOT 243"</f>
        <v>BROADVIEW RD CHERRYBOTTOM VILL 4 LOT 243</v>
      </c>
      <c r="D9666" s="1">
        <v>235.84</v>
      </c>
    </row>
    <row r="9667" spans="1:4" x14ac:dyDescent="0.3">
      <c r="A9667" s="1" t="str">
        <f>"01005132200"</f>
        <v>01005132200</v>
      </c>
      <c r="B9667" s="1" t="str">
        <f>"PASS BY LLC"</f>
        <v>PASS BY LLC</v>
      </c>
      <c r="C9667" s="1" t="str">
        <f>"84 HAMILTON PARK EAST PARK PLC LOT 70"</f>
        <v>84 HAMILTON PARK EAST PARK PLC LOT 70</v>
      </c>
      <c r="D9667" s="1">
        <v>9628.1299999999992</v>
      </c>
    </row>
    <row r="9668" spans="1:4" x14ac:dyDescent="0.3">
      <c r="A9668" s="1" t="str">
        <f>"22200268200"</f>
        <v>22200268200</v>
      </c>
      <c r="B9668" s="1" t="str">
        <f>"PASSIAS SCOTT P, PASSIAS SHELLY S"</f>
        <v>PASSIAS SCOTT P, PASSIAS SHELLY S</v>
      </c>
      <c r="C9668" s="1" t="str">
        <f>"PURDEY COURT NEW ALBANY COUNTRY CLUB SECTION 15D LOT 1D"</f>
        <v>PURDEY COURT NEW ALBANY COUNTRY CLUB SECTION 15D LOT 1D</v>
      </c>
      <c r="D9668" s="1">
        <v>1812.23</v>
      </c>
    </row>
    <row r="9669" spans="1:4" x14ac:dyDescent="0.3">
      <c r="A9669" s="1" t="str">
        <f>"61021526500"</f>
        <v>61021526500</v>
      </c>
      <c r="B9669" s="1" t="str">
        <f>"PASTORE FELICIA M"</f>
        <v>PASTORE FELICIA M</v>
      </c>
      <c r="C9669" s="1" t="str">
        <f>"WORTHINGTON GLEN CONDOMINIUM 7TH AMD BLDG 45 UNIT 45F"</f>
        <v>WORTHINGTON GLEN CONDOMINIUM 7TH AMD BLDG 45 UNIT 45F</v>
      </c>
      <c r="D9669" s="1">
        <v>4585.3900000000003</v>
      </c>
    </row>
    <row r="9670" spans="1:4" x14ac:dyDescent="0.3">
      <c r="A9670" s="1" t="str">
        <f>"01015281100"</f>
        <v>01015281100</v>
      </c>
      <c r="B9670" s="1" t="str">
        <f>"PATE KATHLEEN"</f>
        <v>PATE KATHLEEN</v>
      </c>
      <c r="C9670" s="1" t="str">
        <f>"PINE BLUFF RD FOREST PARK E SEC 9 LOT 1317"</f>
        <v>PINE BLUFF RD FOREST PARK E SEC 9 LOT 1317</v>
      </c>
      <c r="D9670" s="1">
        <v>1881.53</v>
      </c>
    </row>
    <row r="9671" spans="1:4" x14ac:dyDescent="0.3">
      <c r="A9671" s="1" t="str">
        <f>"60018784000"</f>
        <v>60018784000</v>
      </c>
      <c r="B9671" s="1" t="str">
        <f>"PATEL ALPABAHEN"</f>
        <v>PATEL ALPABAHEN</v>
      </c>
      <c r="C9671" s="1" t="str">
        <f>"FOREST EDGE DR RESUB PT FOREST EDGE LOT 3-B"</f>
        <v>FOREST EDGE DR RESUB PT FOREST EDGE LOT 3-B</v>
      </c>
      <c r="D9671" s="1">
        <v>3133.26</v>
      </c>
    </row>
    <row r="9672" spans="1:4" x14ac:dyDescent="0.3">
      <c r="A9672" s="1" t="str">
        <f>"27301248200"</f>
        <v>27301248200</v>
      </c>
      <c r="B9672" s="1" t="str">
        <f>"PATEL ANKITKUMAR V, PATEL VIJAYKUMAR S, PATEL DINABEN"</f>
        <v>PATEL ANKITKUMAR V, PATEL VIJAYKUMAR S, PATEL DINABEN</v>
      </c>
      <c r="C9672" s="1" t="str">
        <f>"ESTATES AT SCIOTO CROSSING II CONDOMINIUM 13TH AMD PHASE 13 UNIT 13-7877"</f>
        <v>ESTATES AT SCIOTO CROSSING II CONDOMINIUM 13TH AMD PHASE 13 UNIT 13-7877</v>
      </c>
      <c r="D9672" s="1">
        <v>485.86</v>
      </c>
    </row>
    <row r="9673" spans="1:4" x14ac:dyDescent="0.3">
      <c r="A9673" s="1" t="str">
        <f>"61020672600"</f>
        <v>61020672600</v>
      </c>
      <c r="B9673" s="1" t="str">
        <f>"PATEL ARVIND B, PATEL BHANU A"</f>
        <v>PATEL ARVIND B, PATEL BHANU A</v>
      </c>
      <c r="C9673" s="1" t="str">
        <f>"SNOHOMISH AVENUE WORTHINGTON TRACE LOT 32"</f>
        <v>SNOHOMISH AVENUE WORTHINGTON TRACE LOT 32</v>
      </c>
      <c r="D9673" s="1">
        <v>308.26</v>
      </c>
    </row>
    <row r="9674" spans="1:4" x14ac:dyDescent="0.3">
      <c r="A9674" s="1" t="str">
        <f>"01029723200"</f>
        <v>01029723200</v>
      </c>
      <c r="B9674" s="1" t="str">
        <f>"PATEL CHETANA MINESH, PATEL MINESH MAFATLAL"</f>
        <v>PATEL CHETANA MINESH, PATEL MINESH MAFATLAL</v>
      </c>
      <c r="C9674" s="1" t="str">
        <f>"UPPER ALBANY WEST SECTION 10 PART 2 LOT 904"</f>
        <v>UPPER ALBANY WEST SECTION 10 PART 2 LOT 904</v>
      </c>
      <c r="D9674" s="1">
        <v>371.54</v>
      </c>
    </row>
    <row r="9675" spans="1:4" x14ac:dyDescent="0.3">
      <c r="A9675" s="1" t="str">
        <f>"01028477700"</f>
        <v>01028477700</v>
      </c>
      <c r="B9675" s="1" t="str">
        <f>"PATEL CHINU"</f>
        <v>PATEL CHINU</v>
      </c>
      <c r="C9675" s="1" t="str">
        <f>"BROADWAY CONDOMINIUM 1ST AMD UNIT 19-4182"</f>
        <v>BROADWAY CONDOMINIUM 1ST AMD UNIT 19-4182</v>
      </c>
      <c r="D9675" s="1">
        <v>3395.89</v>
      </c>
    </row>
    <row r="9676" spans="1:4" x14ac:dyDescent="0.3">
      <c r="A9676" s="1" t="str">
        <f>"24000674400"</f>
        <v>24000674400</v>
      </c>
      <c r="B9676" s="1" t="str">
        <f>"PATEL DIVYESH"</f>
        <v>PATEL DIVYESH</v>
      </c>
      <c r="C9676" s="1" t="str">
        <f>"PASADENA BROAD ST LITTLE FARMS LOT 367 EX IRR SE COR"</f>
        <v>PASADENA BROAD ST LITTLE FARMS LOT 367 EX IRR SE COR</v>
      </c>
      <c r="D9676" s="1">
        <v>1010.45</v>
      </c>
    </row>
    <row r="9677" spans="1:4" x14ac:dyDescent="0.3">
      <c r="A9677" s="1" t="str">
        <f>"02500922100"</f>
        <v>02500922100</v>
      </c>
      <c r="B9677" s="1" t="str">
        <f>"PATEL GUARAV, PATEL HEYNA"</f>
        <v>PATEL GUARAV, PATEL HEYNA</v>
      </c>
      <c r="C9677" s="1" t="str">
        <f>"623 CROSSING CREEK CROSSING @ MCKENNA CREEK SEC 2 LOT 120"</f>
        <v>623 CROSSING CREEK CROSSING @ MCKENNA CREEK SEC 2 LOT 120</v>
      </c>
      <c r="D9677" s="1">
        <v>11206.36</v>
      </c>
    </row>
    <row r="9678" spans="1:4" x14ac:dyDescent="0.3">
      <c r="A9678" s="1" t="str">
        <f>"01028477900"</f>
        <v>01028477900</v>
      </c>
      <c r="B9678" s="1" t="str">
        <f>"PATEL NEIL N, SCHROEDER STACEY L"</f>
        <v>PATEL NEIL N, SCHROEDER STACEY L</v>
      </c>
      <c r="C9678" s="1" t="str">
        <f>"BROADWAY CONDOMINIUM 1ST AMD UNIT 19-4186"</f>
        <v>BROADWAY CONDOMINIUM 1ST AMD UNIT 19-4186</v>
      </c>
      <c r="D9678" s="1">
        <v>9.1199999999999992</v>
      </c>
    </row>
    <row r="9679" spans="1:4" x14ac:dyDescent="0.3">
      <c r="A9679" s="1" t="str">
        <f>"09000006700"</f>
        <v>09000006700</v>
      </c>
      <c r="B9679" s="1" t="str">
        <f>"PATEL RASHESHBHAI D, PATEL ANJANABEN A"</f>
        <v>PATEL RASHESHBHAI D, PATEL ANJANABEN A</v>
      </c>
      <c r="C9679" s="1" t="str">
        <f>"4444 E MAIN ST            BERNHARD                  LOT 4 EX 90'NL SW PT     "</f>
        <v xml:space="preserve">4444 E MAIN ST            BERNHARD                  LOT 4 EX 90'NL SW PT     </v>
      </c>
      <c r="D9679" s="1">
        <v>687.71</v>
      </c>
    </row>
    <row r="9680" spans="1:4" x14ac:dyDescent="0.3">
      <c r="A9680" s="1" t="str">
        <f>"61026394300"</f>
        <v>61026394300</v>
      </c>
      <c r="B9680" s="1" t="str">
        <f>"PATEL RITA H, PATEL HARISH M"</f>
        <v>PATEL RITA H, PATEL HARISH M</v>
      </c>
      <c r="C9680" s="1" t="str">
        <f>"LAZELLE WOODS DRIVE LAZELLE WOODS SECTION 1 LOT 18"</f>
        <v>LAZELLE WOODS DRIVE LAZELLE WOODS SECTION 1 LOT 18</v>
      </c>
      <c r="D9680" s="1">
        <v>2929.45</v>
      </c>
    </row>
    <row r="9681" spans="1:4" x14ac:dyDescent="0.3">
      <c r="A9681" s="1" t="str">
        <f>"05300093500"</f>
        <v>05300093500</v>
      </c>
      <c r="B9681" s="1" t="str">
        <f>"PATEL SAINIK, PATEL SHIRALI"</f>
        <v>PATEL SAINIK, PATEL SHIRALI</v>
      </c>
      <c r="C9681" s="1" t="str">
        <f>"TARLTON MEADOWS WEST SECTION 2 PHASE 2A LOT 157"</f>
        <v>TARLTON MEADOWS WEST SECTION 2 PHASE 2A LOT 157</v>
      </c>
      <c r="D9681" s="1">
        <v>754.71</v>
      </c>
    </row>
    <row r="9682" spans="1:4" x14ac:dyDescent="0.3">
      <c r="A9682" s="1" t="str">
        <f>"04001584200"</f>
        <v>04001584200</v>
      </c>
      <c r="B9682" s="1" t="str">
        <f>"PATEL SAMIR S, PATEL PINAL"</f>
        <v>PATEL SAMIR S, PATEL PINAL</v>
      </c>
      <c r="C9682" s="1" t="str">
        <f>"MEADOW GROVE ESTATES NORTH SECTION 2 LOT 72"</f>
        <v>MEADOW GROVE ESTATES NORTH SECTION 2 LOT 72</v>
      </c>
      <c r="D9682" s="1">
        <v>845.1</v>
      </c>
    </row>
    <row r="9683" spans="1:4" x14ac:dyDescent="0.3">
      <c r="A9683" s="1" t="str">
        <f>"59019337500"</f>
        <v>59019337500</v>
      </c>
      <c r="B9683" s="1" t="str">
        <f>"PATEL SATISH C, PATEL USHA S"</f>
        <v>PATEL SATISH C, PATEL USHA S</v>
      </c>
      <c r="C9683" s="1" t="str">
        <f>"SALTERGATE VILLAGE TOWNHOMES CONDO II BLDG 19 UNIT 7748"</f>
        <v>SALTERGATE VILLAGE TOWNHOMES CONDO II BLDG 19 UNIT 7748</v>
      </c>
      <c r="D9683" s="1">
        <v>137.94</v>
      </c>
    </row>
    <row r="9684" spans="1:4" x14ac:dyDescent="0.3">
      <c r="A9684" s="1" t="str">
        <f>"17100160300"</f>
        <v>17100160300</v>
      </c>
      <c r="B9684" s="1" t="str">
        <f>"PATEL VIKASH B"</f>
        <v>PATEL VIKASH B</v>
      </c>
      <c r="C9684" s="1" t="str">
        <f>"VILLAGE AT JEFFERSON RUN WEST S-F HOMES CONDO 29TH AMD UNIT 264"</f>
        <v>VILLAGE AT JEFFERSON RUN WEST S-F HOMES CONDO 29TH AMD UNIT 264</v>
      </c>
      <c r="D9684" s="1">
        <v>112.76</v>
      </c>
    </row>
    <row r="9685" spans="1:4" x14ac:dyDescent="0.3">
      <c r="A9685" s="1" t="str">
        <f>"01004967200"</f>
        <v>01004967200</v>
      </c>
      <c r="B9685" s="1" t="str">
        <f>"PATINA ESTATES LLC"</f>
        <v>PATINA ESTATES LLC</v>
      </c>
      <c r="C9685" s="1" t="str">
        <f>"1899 DENBRIDGE WAY E GATE 2 LOT 22 BLK 11"</f>
        <v>1899 DENBRIDGE WAY E GATE 2 LOT 22 BLK 11</v>
      </c>
      <c r="D9685" s="1">
        <v>3999.9</v>
      </c>
    </row>
    <row r="9686" spans="1:4" x14ac:dyDescent="0.3">
      <c r="A9686" s="1" t="str">
        <f>"01012755700"</f>
        <v>01012755700</v>
      </c>
      <c r="B9686" s="1" t="str">
        <f>"PATMON SAM SR"</f>
        <v>PATMON SAM SR</v>
      </c>
      <c r="C9686" s="1" t="str">
        <f>"WOODCREST RD PINE HILLS LOT 197"</f>
        <v>WOODCREST RD PINE HILLS LOT 197</v>
      </c>
      <c r="D9686" s="1">
        <v>3445.74</v>
      </c>
    </row>
    <row r="9687" spans="1:4" x14ac:dyDescent="0.3">
      <c r="A9687" s="1" t="str">
        <f>"04001249700"</f>
        <v>04001249700</v>
      </c>
      <c r="B9687" s="1" t="str">
        <f>"PATRA ARPITA RAKSHIT, JONES GARY L"</f>
        <v>PATRA ARPITA RAKSHIT, JONES GARY L</v>
      </c>
      <c r="C9687" s="1" t="str">
        <f>"SHAWNEE STREET LEDGESTONE AT INDIAN TRAILS LOT 12"</f>
        <v>SHAWNEE STREET LEDGESTONE AT INDIAN TRAILS LOT 12</v>
      </c>
      <c r="D9687" s="1">
        <v>3171.7</v>
      </c>
    </row>
    <row r="9688" spans="1:4" x14ac:dyDescent="0.3">
      <c r="A9688" s="1" t="str">
        <f>"01005370800"</f>
        <v>01005370800</v>
      </c>
      <c r="B9688" s="1" t="str">
        <f>"PATRICK MARY A, PATRICK LINDA K"</f>
        <v>PATRICK MARY A, PATRICK LINDA K</v>
      </c>
      <c r="C9688" s="1" t="str">
        <f>"261 MORRILL AVE MORRILL AVE SUB LOT 22"</f>
        <v>261 MORRILL AVE MORRILL AVE SUB LOT 22</v>
      </c>
      <c r="D9688" s="1">
        <v>381.34</v>
      </c>
    </row>
    <row r="9689" spans="1:4" x14ac:dyDescent="0.3">
      <c r="A9689" s="1" t="str">
        <f>"01006935500"</f>
        <v>01006935500</v>
      </c>
      <c r="B9689" s="1" t="str">
        <f>"PATRICK PATTIE, JONES FRANK, JONES FRANKIE, JONES SAMARA"</f>
        <v>PATRICK PATTIE, JONES FRANK, JONES FRANKIE, JONES SAMARA</v>
      </c>
      <c r="C9689" s="1" t="str">
        <f>"1126 LINWOOD AVE RANFT TERRACE LOT 22"</f>
        <v>1126 LINWOOD AVE RANFT TERRACE LOT 22</v>
      </c>
      <c r="D9689" s="1">
        <v>700</v>
      </c>
    </row>
    <row r="9690" spans="1:4" x14ac:dyDescent="0.3">
      <c r="A9690" s="1" t="str">
        <f>"01028815200"</f>
        <v>01028815200</v>
      </c>
      <c r="B9690" s="1" t="str">
        <f>"PATRONE LESLIE"</f>
        <v>PATRONE LESLIE</v>
      </c>
      <c r="C9690" s="1" t="str">
        <f>"FLATS AT HARRISON PARK    CONDOMINIUM 4TH AMD PH 4  BLDG C UNIT 209          "</f>
        <v xml:space="preserve">FLATS AT HARRISON PARK    CONDOMINIUM 4TH AMD PH 4  BLDG C UNIT 209          </v>
      </c>
      <c r="D9690" s="1">
        <v>2491.6799999999998</v>
      </c>
    </row>
    <row r="9691" spans="1:4" x14ac:dyDescent="0.3">
      <c r="A9691" s="1" t="str">
        <f>"01002150900"</f>
        <v>01002150900</v>
      </c>
      <c r="B9691" s="1" t="str">
        <f>"PATRONE VINCENT A"</f>
        <v>PATRONE VINCENT A</v>
      </c>
      <c r="C9691" s="1" t="str">
        <f>"1730 SO 4TH ST LINTONS 4TH ST LOT 9"</f>
        <v>1730 SO 4TH ST LINTONS 4TH ST LOT 9</v>
      </c>
      <c r="D9691" s="1">
        <v>1842.73</v>
      </c>
    </row>
    <row r="9692" spans="1:4" x14ac:dyDescent="0.3">
      <c r="A9692" s="1" t="str">
        <f>"08001125000"</f>
        <v>08001125000</v>
      </c>
      <c r="B9692" s="1" t="str">
        <f>"PATTERSON AUDREY BELLE"</f>
        <v>PATTERSON AUDREY BELLE</v>
      </c>
      <c r="C9692" s="1" t="str">
        <f>"2999 COLLEGE AVE .43 ACRES R17 T2 1-4TWP 2  7"</f>
        <v>2999 COLLEGE AVE .43 ACRES R17 T2 1-4TWP 2  7</v>
      </c>
      <c r="D9692" s="1">
        <v>158.25</v>
      </c>
    </row>
    <row r="9693" spans="1:4" x14ac:dyDescent="0.3">
      <c r="A9693" s="1" t="str">
        <f>"18500171600"</f>
        <v>18500171600</v>
      </c>
      <c r="B9693" s="1" t="str">
        <f>"PATTERSON CHARLES T"</f>
        <v>PATTERSON CHARLES T</v>
      </c>
      <c r="C9693" s="1" t="str">
        <f>"HARBINGER DRIVE NEWPORT VILLAGE SECTION 1 LOT 7"</f>
        <v>HARBINGER DRIVE NEWPORT VILLAGE SECTION 1 LOT 7</v>
      </c>
      <c r="D9693" s="1">
        <v>5267.05</v>
      </c>
    </row>
    <row r="9694" spans="1:4" x14ac:dyDescent="0.3">
      <c r="A9694" s="1" t="str">
        <f>"01004601200"</f>
        <v>01004601200</v>
      </c>
      <c r="B9694" s="1" t="str">
        <f>"PATTERSON COLETTE"</f>
        <v>PATTERSON COLETTE</v>
      </c>
      <c r="C9694" s="1" t="str">
        <f>"2802 E 10TH AVE E COLS HTS LOT 57"</f>
        <v>2802 E 10TH AVE E COLS HTS LOT 57</v>
      </c>
      <c r="D9694" s="1">
        <v>1384.15</v>
      </c>
    </row>
    <row r="9695" spans="1:4" x14ac:dyDescent="0.3">
      <c r="A9695" s="1" t="str">
        <f>"01007541400"</f>
        <v>01007541400</v>
      </c>
      <c r="B9695" s="1" t="str">
        <f>"PATTERSON FRANKIE"</f>
        <v>PATTERSON FRANKIE</v>
      </c>
      <c r="C9695" s="1" t="str">
        <f>"MEDINA ST HOMESTEAD HEIGHTS LOT 77"</f>
        <v>MEDINA ST HOMESTEAD HEIGHTS LOT 77</v>
      </c>
      <c r="D9695" s="1">
        <v>1840.29</v>
      </c>
    </row>
    <row r="9696" spans="1:4" x14ac:dyDescent="0.3">
      <c r="A9696" s="1" t="str">
        <f>"01006586900"</f>
        <v>01006586900</v>
      </c>
      <c r="B9696" s="1" t="str">
        <f>"PATTERSON FRANKIE"</f>
        <v>PATTERSON FRANKIE</v>
      </c>
      <c r="C9696" s="1" t="str">
        <f>"585 S WHEATLAND AVE EDGEWOOD PLC LOT 36"</f>
        <v>585 S WHEATLAND AVE EDGEWOOD PLC LOT 36</v>
      </c>
      <c r="D9696" s="1">
        <v>1420.28</v>
      </c>
    </row>
    <row r="9697" spans="1:4" x14ac:dyDescent="0.3">
      <c r="A9697" s="1" t="str">
        <f>"01016670200"</f>
        <v>01016670200</v>
      </c>
      <c r="B9697" s="1" t="str">
        <f>"PATTERSON MICHAEL R JR"</f>
        <v>PATTERSON MICHAEL R JR</v>
      </c>
      <c r="C9697" s="1" t="str">
        <f>"1695 SUNBURY RD 1.977 ACRES R17 T1 1/4 T3"</f>
        <v>1695 SUNBURY RD 1.977 ACRES R17 T1 1/4 T3</v>
      </c>
      <c r="D9697" s="1">
        <v>1954.91</v>
      </c>
    </row>
    <row r="9698" spans="1:4" x14ac:dyDescent="0.3">
      <c r="A9698" s="1" t="str">
        <f>"01013146200"</f>
        <v>01013146200</v>
      </c>
      <c r="B9698" s="1" t="str">
        <f>"PATTERSON MICHAEL TR"</f>
        <v>PATTERSON MICHAEL TR</v>
      </c>
      <c r="C9698" s="1" t="str">
        <f>"KENLEY AVE FOXCROFT 2 LOT 43"</f>
        <v>KENLEY AVE FOXCROFT 2 LOT 43</v>
      </c>
      <c r="D9698" s="1">
        <v>301.64999999999998</v>
      </c>
    </row>
    <row r="9699" spans="1:4" x14ac:dyDescent="0.3">
      <c r="A9699" s="1" t="str">
        <f>"01011467200"</f>
        <v>01011467200</v>
      </c>
      <c r="B9699" s="1" t="str">
        <f>"PATTERSON SAUNDRA M"</f>
        <v>PATTERSON SAUNDRA M</v>
      </c>
      <c r="C9699" s="1" t="str">
        <f>"FABER AVE R22 T4 S2 0.656 ACRES"</f>
        <v>FABER AVE R22 T4 S2 0.656 ACRES</v>
      </c>
      <c r="D9699" s="1">
        <v>1247.17</v>
      </c>
    </row>
    <row r="9700" spans="1:4" x14ac:dyDescent="0.3">
      <c r="A9700" s="1" t="str">
        <f>"01011343700"</f>
        <v>01011343700</v>
      </c>
      <c r="B9700" s="1" t="str">
        <f>"PATTERSON SAUNDRA M"</f>
        <v>PATTERSON SAUNDRA M</v>
      </c>
      <c r="C9700" s="1" t="str">
        <f>"FABERAVEACRES .328 R22 T4 S2 "</f>
        <v xml:space="preserve">FABERAVEACRES .328 R22 T4 S2 </v>
      </c>
      <c r="D9700" s="1">
        <v>431.84</v>
      </c>
    </row>
    <row r="9701" spans="1:4" x14ac:dyDescent="0.3">
      <c r="A9701" s="1" t="str">
        <f>"01004808400"</f>
        <v>01004808400</v>
      </c>
      <c r="B9701" s="1" t="str">
        <f>"PATTERSON WARREN, PATTERSON JENNIFER"</f>
        <v>PATTERSON WARREN, PATTERSON JENNIFER</v>
      </c>
      <c r="C9701" s="1" t="str">
        <f>"615 SO 5TH ST LUFTS SUB 5"</f>
        <v>615 SO 5TH ST LUFTS SUB 5</v>
      </c>
      <c r="D9701" s="1">
        <v>423.18</v>
      </c>
    </row>
    <row r="9702" spans="1:4" x14ac:dyDescent="0.3">
      <c r="A9702" s="1" t="str">
        <f>"01008291400"</f>
        <v>01008291400</v>
      </c>
      <c r="B9702" s="1" t="str">
        <f>"PATTON DANNY, PATTON THERESA"</f>
        <v>PATTON DANNY, PATTON THERESA</v>
      </c>
      <c r="C9702" s="1" t="str">
        <f>"NORTHRIDGERD EDGEMONTGARDENS2 LOT 275"</f>
        <v>NORTHRIDGERD EDGEMONTGARDENS2 LOT 275</v>
      </c>
      <c r="D9702" s="1">
        <v>3438</v>
      </c>
    </row>
    <row r="9703" spans="1:4" x14ac:dyDescent="0.3">
      <c r="A9703" s="1" t="str">
        <f>"22200441900"</f>
        <v>22200441900</v>
      </c>
      <c r="B9703" s="1" t="str">
        <f>"PATTON MARK TR"</f>
        <v>PATTON MARK TR</v>
      </c>
      <c r="C9703" s="1" t="str">
        <f>"NEW ALBANY LINKS SECTION 13 PART 2 LOT 519"</f>
        <v>NEW ALBANY LINKS SECTION 13 PART 2 LOT 519</v>
      </c>
      <c r="D9703" s="1">
        <v>9506.5499999999993</v>
      </c>
    </row>
    <row r="9704" spans="1:4" x14ac:dyDescent="0.3">
      <c r="A9704" s="1" t="str">
        <f>"57029714200"</f>
        <v>57029714200</v>
      </c>
      <c r="B9704" s="1" t="str">
        <f>"PATTON OHIO INVESTMENTS LLC"</f>
        <v>PATTON OHIO INVESTMENTS LLC</v>
      </c>
      <c r="C9704" s="1" t="str">
        <f>"MANOR PARK DRIVE ENTRY 1484 25.894 ACRES"</f>
        <v>MANOR PARK DRIVE ENTRY 1484 25.894 ACRES</v>
      </c>
      <c r="D9704" s="1">
        <v>15489.8</v>
      </c>
    </row>
    <row r="9705" spans="1:4" x14ac:dyDescent="0.3">
      <c r="A9705" s="1" t="str">
        <f>"16000175400"</f>
        <v>16000175400</v>
      </c>
      <c r="B9705" s="1" t="str">
        <f>"PATZER WILLIAM A TTEE"</f>
        <v>PATZER WILLIAM A TTEE</v>
      </c>
      <c r="C9705" s="1" t="str">
        <f>"ORDERS RD ENTRY 1434 0.987 ACRE"</f>
        <v>ORDERS RD ENTRY 1434 0.987 ACRE</v>
      </c>
      <c r="D9705" s="1">
        <v>5839.66</v>
      </c>
    </row>
    <row r="9706" spans="1:4" x14ac:dyDescent="0.3">
      <c r="A9706" s="1" t="str">
        <f>"05000618200"</f>
        <v>05000618200</v>
      </c>
      <c r="B9706" s="1" t="str">
        <f>"PATZOLD JANICE"</f>
        <v>PATZOLD JANICE</v>
      </c>
      <c r="C9706" s="1" t="str">
        <f>"THE VILLAS AT MILL RUN CONDO 2ND AMD BLDG 22 UNIT 3826-22"</f>
        <v>THE VILLAS AT MILL RUN CONDO 2ND AMD BLDG 22 UNIT 3826-22</v>
      </c>
      <c r="D9706" s="1">
        <v>2801.57</v>
      </c>
    </row>
    <row r="9707" spans="1:4" x14ac:dyDescent="0.3">
      <c r="A9707" s="1" t="str">
        <f>"04000207800"</f>
        <v>04000207800</v>
      </c>
      <c r="B9707" s="1" t="str">
        <f>"PAUGH MARCUS W"</f>
        <v>PAUGH MARCUS W</v>
      </c>
      <c r="C9707" s="1" t="str">
        <f>"4365 MAPLEGROVE DR BROOKGROVE 2 LOT 302"</f>
        <v>4365 MAPLEGROVE DR BROOKGROVE 2 LOT 302</v>
      </c>
      <c r="D9707" s="1">
        <v>1668.41</v>
      </c>
    </row>
    <row r="9708" spans="1:4" x14ac:dyDescent="0.3">
      <c r="A9708" s="1" t="str">
        <f>"01011880500"</f>
        <v>01011880500</v>
      </c>
      <c r="B9708" s="1" t="str">
        <f>"PAUGH SHANNON"</f>
        <v>PAUGH SHANNON</v>
      </c>
      <c r="C9708" s="1" t="str">
        <f>"4763 CATALPA DR CATALPA PARK 2 LOT 90-91"</f>
        <v>4763 CATALPA DR CATALPA PARK 2 LOT 90-91</v>
      </c>
      <c r="D9708" s="1">
        <v>2245.17</v>
      </c>
    </row>
    <row r="9709" spans="1:4" x14ac:dyDescent="0.3">
      <c r="A9709" s="1" t="str">
        <f>"02500400100"</f>
        <v>02500400100</v>
      </c>
      <c r="B9709" s="1" t="str">
        <f>"PAUL DANIEL F JR"</f>
        <v>PAUL DANIEL F JR</v>
      </c>
      <c r="C9709" s="1" t="str">
        <f>"620 HAVENS CORNERS 3.70 ACRES "</f>
        <v xml:space="preserve">620 HAVENS CORNERS 3.70 ACRES </v>
      </c>
      <c r="D9709" s="1">
        <v>6109.08</v>
      </c>
    </row>
    <row r="9710" spans="1:4" x14ac:dyDescent="0.3">
      <c r="A9710" s="1" t="str">
        <f>"24100142300"</f>
        <v>24100142300</v>
      </c>
      <c r="B9710" s="1" t="str">
        <f>"PAUL MEGAN"</f>
        <v>PAUL MEGAN</v>
      </c>
      <c r="C9710" s="1" t="str">
        <f>"UNION DRIVE WESTPOINT 2 SECTION 5 LOT 499"</f>
        <v>UNION DRIVE WESTPOINT 2 SECTION 5 LOT 499</v>
      </c>
      <c r="D9710" s="1">
        <v>4525.3500000000004</v>
      </c>
    </row>
    <row r="9711" spans="1:4" x14ac:dyDescent="0.3">
      <c r="A9711" s="1" t="str">
        <f>"01016335900"</f>
        <v>01016335900</v>
      </c>
      <c r="B9711" s="1" t="str">
        <f>"PAUL WILMA N"</f>
        <v>PAUL WILMA N</v>
      </c>
      <c r="C9711" s="1" t="str">
        <f>"ROCKPORT LANE WISHING WELL ACRES 1 LOT 81"</f>
        <v>ROCKPORT LANE WISHING WELL ACRES 1 LOT 81</v>
      </c>
      <c r="D9711" s="1">
        <v>110</v>
      </c>
    </row>
    <row r="9712" spans="1:4" x14ac:dyDescent="0.3">
      <c r="A9712" s="1" t="str">
        <f>"08000848900"</f>
        <v>08000848900</v>
      </c>
      <c r="B9712" s="1" t="str">
        <f>"PAULEY JULIE"</f>
        <v>PAULEY JULIE</v>
      </c>
      <c r="C9712" s="1" t="str">
        <f>"HUBER VILLAGE BL RE SPRINGBOROUGH 2B LOT 3"</f>
        <v>HUBER VILLAGE BL RE SPRINGBOROUGH 2B LOT 3</v>
      </c>
      <c r="D9712" s="1">
        <v>2993.56</v>
      </c>
    </row>
    <row r="9713" spans="1:4" x14ac:dyDescent="0.3">
      <c r="A9713" s="1" t="str">
        <f>"01013331700"</f>
        <v>01013331700</v>
      </c>
      <c r="B9713" s="1" t="str">
        <f>"PAULSEN JEFFREY S, PAULSEN LEA C"</f>
        <v>PAULSEN JEFFREY S, PAULSEN LEA C</v>
      </c>
      <c r="C9713" s="1" t="str">
        <f>"WALNUT BIXBY ESTATES LOT 51 "</f>
        <v xml:space="preserve">WALNUT BIXBY ESTATES LOT 51 </v>
      </c>
      <c r="D9713" s="1">
        <v>2458.9299999999998</v>
      </c>
    </row>
    <row r="9714" spans="1:4" x14ac:dyDescent="0.3">
      <c r="A9714" s="1" t="str">
        <f>"01030143600"</f>
        <v>01030143600</v>
      </c>
      <c r="B9714" s="1" t="str">
        <f>"PAVISIC KATARINA, PAVISIC IVICA"</f>
        <v>PAVISIC KATARINA, PAVISIC IVICA</v>
      </c>
      <c r="C9714" s="1" t="str">
        <f>"4638-48 NORTH HIGH STREET CONDOMINIUM UNIT 4644 "</f>
        <v xml:space="preserve">4638-48 NORTH HIGH STREET CONDOMINIUM UNIT 4644 </v>
      </c>
      <c r="D9714" s="1">
        <v>4131.4799999999996</v>
      </c>
    </row>
    <row r="9715" spans="1:4" x14ac:dyDescent="0.3">
      <c r="A9715" s="1" t="str">
        <f>"57022116100"</f>
        <v>57022116100</v>
      </c>
      <c r="B9715" s="1" t="str">
        <f>"PAVLAK JAMES S"</f>
        <v>PAVLAK JAMES S</v>
      </c>
      <c r="C9715" s="1" t="str">
        <f>"BEAMAN DRIVE SCIOTO WOODS SEC 5 PART 2 LOT 265"</f>
        <v>BEAMAN DRIVE SCIOTO WOODS SEC 5 PART 2 LOT 265</v>
      </c>
      <c r="D9715" s="1">
        <v>1962.57</v>
      </c>
    </row>
    <row r="9716" spans="1:4" x14ac:dyDescent="0.3">
      <c r="A9716" s="1" t="str">
        <f>"27200002300"</f>
        <v>27200002300</v>
      </c>
      <c r="B9716" s="1" t="str">
        <f>"PAYNE ANDREW, PAYNE ALIVIA"</f>
        <v>PAYNE ANDREW, PAYNE ALIVIA</v>
      </c>
      <c r="C9716" s="1" t="str">
        <f>"COSGRAY RD ACRES 5.75 O Q 1180 ENT 6953"</f>
        <v>COSGRAY RD ACRES 5.75 O Q 1180 ENT 6953</v>
      </c>
      <c r="D9716" s="1">
        <v>6622.35</v>
      </c>
    </row>
    <row r="9717" spans="1:4" x14ac:dyDescent="0.3">
      <c r="A9717" s="1" t="str">
        <f>"27300530000"</f>
        <v>27300530000</v>
      </c>
      <c r="B9717" s="1" t="str">
        <f>"PAYNE DAN L, PAYNE KAREN S"</f>
        <v>PAYNE DAN L, PAYNE KAREN S</v>
      </c>
      <c r="C9717" s="1" t="str">
        <f>"TWONOTCH COURT LOWELL TRACE SEC 3 LOT 103"</f>
        <v>TWONOTCH COURT LOWELL TRACE SEC 3 LOT 103</v>
      </c>
      <c r="D9717" s="1">
        <v>548.42999999999995</v>
      </c>
    </row>
    <row r="9718" spans="1:4" x14ac:dyDescent="0.3">
      <c r="A9718" s="1" t="str">
        <f>"02500208300"</f>
        <v>02500208300</v>
      </c>
      <c r="B9718" s="1" t="str">
        <f>"PAYNE DONALD ANTHONY JR"</f>
        <v>PAYNE DONALD ANTHONY JR</v>
      </c>
      <c r="C9718" s="1" t="str">
        <f>"384 DUNBARTON RD HERITAGE 60"</f>
        <v>384 DUNBARTON RD HERITAGE 60</v>
      </c>
      <c r="D9718" s="1">
        <v>145.5</v>
      </c>
    </row>
    <row r="9719" spans="1:4" x14ac:dyDescent="0.3">
      <c r="A9719" s="1" t="str">
        <f>"01011532200"</f>
        <v>01011532200</v>
      </c>
      <c r="B9719" s="1" t="str">
        <f>"PAYNE MOSE G, PAYNE CAROL L"</f>
        <v>PAYNE MOSE G, PAYNE CAROL L</v>
      </c>
      <c r="C9719" s="1" t="str">
        <f>"1132 RUMSEY RD MASON-COOPER BUCKEYE LOT 14"</f>
        <v>1132 RUMSEY RD MASON-COOPER BUCKEYE LOT 14</v>
      </c>
      <c r="D9719" s="1">
        <v>123.62</v>
      </c>
    </row>
    <row r="9720" spans="1:4" x14ac:dyDescent="0.3">
      <c r="A9720" s="1" t="str">
        <f>"01009768300"</f>
        <v>01009768300</v>
      </c>
      <c r="B9720" s="1" t="str">
        <f>"PAYNE RAYMOND R, PAYNE DEBORAH S"</f>
        <v>PAYNE RAYMOND R, PAYNE DEBORAH S</v>
      </c>
      <c r="C9720" s="1" t="str">
        <f>"TOWERS COURT TOWERS COURT LOT 80"</f>
        <v>TOWERS COURT TOWERS COURT LOT 80</v>
      </c>
      <c r="D9720" s="1">
        <v>671.07</v>
      </c>
    </row>
    <row r="9721" spans="1:4" x14ac:dyDescent="0.3">
      <c r="A9721" s="1" t="str">
        <f>"01013533200"</f>
        <v>01013533200</v>
      </c>
      <c r="B9721" s="1" t="str">
        <f>"PAYNE THEO, JACKSON FANNIE"</f>
        <v>PAYNE THEO, JACKSON FANNIE</v>
      </c>
      <c r="C9721" s="1" t="str">
        <f>"NIAGARA COURT W BERWYN 5 LOT 10"</f>
        <v>NIAGARA COURT W BERWYN 5 LOT 10</v>
      </c>
      <c r="D9721" s="1">
        <v>1678.74</v>
      </c>
    </row>
    <row r="9722" spans="1:4" x14ac:dyDescent="0.3">
      <c r="A9722" s="1" t="str">
        <f>"01015038900"</f>
        <v>01015038900</v>
      </c>
      <c r="B9722" s="1" t="str">
        <f>"PAZ ANTONIO S, PAZ ARACELI L"</f>
        <v>PAZ ANTONIO S, PAZ ARACELI L</v>
      </c>
      <c r="C9722" s="1" t="str">
        <f>"AUTUMN HILL DR SYCAMORE HILLS SEC 2 LOT 115"</f>
        <v>AUTUMN HILL DR SYCAMORE HILLS SEC 2 LOT 115</v>
      </c>
      <c r="D9722" s="1">
        <v>379.35</v>
      </c>
    </row>
    <row r="9723" spans="1:4" x14ac:dyDescent="0.3">
      <c r="A9723" s="1" t="str">
        <f>"01015331700"</f>
        <v>01015331700</v>
      </c>
      <c r="B9723" s="1" t="str">
        <f>"PAZ MISAEL, VELASCO FLOR RUIZ"</f>
        <v>PAZ MISAEL, VELASCO FLOR RUIZ</v>
      </c>
      <c r="C9723" s="1" t="str">
        <f>"HANBY SQUARE E GRANVILLE MANOR N LOT 90"</f>
        <v>HANBY SQUARE E GRANVILLE MANOR N LOT 90</v>
      </c>
      <c r="D9723" s="1">
        <v>1534.87</v>
      </c>
    </row>
    <row r="9724" spans="1:4" x14ac:dyDescent="0.3">
      <c r="A9724" s="1" t="str">
        <f>"01005018000"</f>
        <v>01005018000</v>
      </c>
      <c r="B9724" s="1" t="str">
        <f>"PB&amp;J DEVELOPMENT GROUP LLC"</f>
        <v>PB&amp;J DEVELOPMENT GROUP LLC</v>
      </c>
      <c r="C9724" s="1" t="str">
        <f>"1066 THOMAS AVE AVONDALE LOT 171-172"</f>
        <v>1066 THOMAS AVE AVONDALE LOT 171-172</v>
      </c>
      <c r="D9724" s="1">
        <v>5590.05</v>
      </c>
    </row>
    <row r="9725" spans="1:4" x14ac:dyDescent="0.3">
      <c r="A9725" s="1" t="str">
        <f>"57016051800"</f>
        <v>57016051800</v>
      </c>
      <c r="B9725" s="1" t="str">
        <f>"PB&amp;J REAL ESTATE HOLDINGS LTD"</f>
        <v>PB&amp;J REAL ESTATE HOLDINGS LTD</v>
      </c>
      <c r="C9725" s="1" t="str">
        <f>"WINDING HOLLOW DR RIVER BEND SECT 5 LOT 719"</f>
        <v>WINDING HOLLOW DR RIVER BEND SECT 5 LOT 719</v>
      </c>
      <c r="D9725" s="1">
        <v>1196.3800000000001</v>
      </c>
    </row>
    <row r="9726" spans="1:4" x14ac:dyDescent="0.3">
      <c r="A9726" s="1" t="str">
        <f>"27200027100"</f>
        <v>27200027100</v>
      </c>
      <c r="B9726" s="1" t="str">
        <f>"PCRR BUNKER LLC"</f>
        <v>PCRR BUNKER LLC</v>
      </c>
      <c r="C9726" s="1" t="str">
        <f>"HAYDEN RUN PK ACRES 2.307 ENTRY 3453"</f>
        <v>HAYDEN RUN PK ACRES 2.307 ENTRY 3453</v>
      </c>
      <c r="D9726" s="1">
        <v>1252.69</v>
      </c>
    </row>
    <row r="9727" spans="1:4" x14ac:dyDescent="0.3">
      <c r="A9727" s="1" t="str">
        <f>"27200033600"</f>
        <v>27200033600</v>
      </c>
      <c r="B9727" s="1" t="str">
        <f>"PCRR BUNKER LLC"</f>
        <v>PCRR BUNKER LLC</v>
      </c>
      <c r="C9727" s="1" t="str">
        <f>"HAYDEN RUN RD ENTRY 3453 6.55 AC"</f>
        <v>HAYDEN RUN RD ENTRY 3453 6.55 AC</v>
      </c>
      <c r="D9727" s="1">
        <v>18475.23</v>
      </c>
    </row>
    <row r="9728" spans="1:4" x14ac:dyDescent="0.3">
      <c r="A9728" s="1" t="str">
        <f>"01001670100"</f>
        <v>01001670100</v>
      </c>
      <c r="B9728" s="1" t="str">
        <f>"PEACELAND DEVELOPMENT LLC"</f>
        <v>PEACELAND DEVELOPMENT LLC</v>
      </c>
      <c r="C9728" s="1" t="str">
        <f>"500 HAMILTON AVE 27 FT N S GARRISON PARK PLL191"</f>
        <v>500 HAMILTON AVE 27 FT N S GARRISON PARK PLL191</v>
      </c>
      <c r="D9728" s="1">
        <v>170.2</v>
      </c>
    </row>
    <row r="9729" spans="1:4" x14ac:dyDescent="0.3">
      <c r="A9729" s="1" t="str">
        <f>"01001420500"</f>
        <v>01001420500</v>
      </c>
      <c r="B9729" s="1" t="str">
        <f>"PEACELAND DEVELOPMENT LLC"</f>
        <v>PEACELAND DEVELOPMENT LLC</v>
      </c>
      <c r="C9729" s="1" t="str">
        <f>"452 N GARFIELD AVE JONES ADDITION LOT 112"</f>
        <v>452 N GARFIELD AVE JONES ADDITION LOT 112</v>
      </c>
      <c r="D9729" s="1">
        <v>189.95</v>
      </c>
    </row>
    <row r="9730" spans="1:4" x14ac:dyDescent="0.3">
      <c r="A9730" s="1" t="str">
        <f>"01003785800"</f>
        <v>01003785800</v>
      </c>
      <c r="B9730" s="1" t="str">
        <f>"PEACELAND DEVELOPMENT LLC"</f>
        <v>PEACELAND DEVELOPMENT LLC</v>
      </c>
      <c r="C9730" s="1" t="str">
        <f>"489 GARFIELD AVE FELTON'S ADDN LOT 11"</f>
        <v>489 GARFIELD AVE FELTON'S ADDN LOT 11</v>
      </c>
      <c r="D9730" s="1">
        <v>102.9</v>
      </c>
    </row>
    <row r="9731" spans="1:4" x14ac:dyDescent="0.3">
      <c r="A9731" s="1" t="str">
        <f>"09000559300"</f>
        <v>09000559300</v>
      </c>
      <c r="B9731" s="1" t="str">
        <f>"PEACOX II LLC"</f>
        <v>PEACOX II LLC</v>
      </c>
      <c r="C9731" s="1" t="str">
        <f>"BEECHWOOD AVE             BLOWER SUB                243FT NL 244FT SLW E LT56"</f>
        <v>BEECHWOOD AVE             BLOWER SUB                243FT NL 244FT SLW E LT56</v>
      </c>
      <c r="D9731" s="1">
        <v>9418.06</v>
      </c>
    </row>
    <row r="9732" spans="1:4" x14ac:dyDescent="0.3">
      <c r="A9732" s="1" t="str">
        <f>"59018112200"</f>
        <v>59018112200</v>
      </c>
      <c r="B9732" s="1" t="str">
        <f>"PEAK PROPERTY INVESTMENT COMPANY LLC"</f>
        <v>PEAK PROPERTY INVESTMENT COMPANY LLC</v>
      </c>
      <c r="C9732" s="1" t="str">
        <f>"BLUE FOX LANE FOXBORO VILLAGE SEC4 LOT 151"</f>
        <v>BLUE FOX LANE FOXBORO VILLAGE SEC4 LOT 151</v>
      </c>
      <c r="D9732" s="1">
        <v>3696.65</v>
      </c>
    </row>
    <row r="9733" spans="1:4" x14ac:dyDescent="0.3">
      <c r="A9733" s="1" t="str">
        <f>"01001813300"</f>
        <v>01001813300</v>
      </c>
      <c r="B9733" s="1" t="str">
        <f>"PEAKS MICHAEL, HARRIS ANITA M"</f>
        <v>PEAKS MICHAEL, HARRIS ANITA M</v>
      </c>
      <c r="C9733" s="1" t="str">
        <f>"782 E MOUND LIVINGSTON LOT 4"</f>
        <v>782 E MOUND LIVINGSTON LOT 4</v>
      </c>
      <c r="D9733" s="1">
        <v>2997.6</v>
      </c>
    </row>
    <row r="9734" spans="1:4" x14ac:dyDescent="0.3">
      <c r="A9734" s="1" t="str">
        <f>"06000335200"</f>
        <v>06000335200</v>
      </c>
      <c r="B9734" s="1" t="str">
        <f>"PEANUTS HOUSE LLC"</f>
        <v>PEANUTS HOUSE LLC</v>
      </c>
      <c r="C9734" s="1" t="str">
        <f>"ROCKY DEN RD RED FOX HOLLOW 99"</f>
        <v>ROCKY DEN RD RED FOX HOLLOW 99</v>
      </c>
      <c r="D9734" s="1">
        <v>4342.53</v>
      </c>
    </row>
    <row r="9735" spans="1:4" x14ac:dyDescent="0.3">
      <c r="A9735" s="1" t="str">
        <f>"01004652800"</f>
        <v>01004652800</v>
      </c>
      <c r="B9735" s="1" t="str">
        <f>"PEARSON ALLEN CAROL ANN"</f>
        <v>PEARSON ALLEN CAROL ANN</v>
      </c>
      <c r="C9735" s="1" t="str">
        <f>"805 GIBBARD AVE 31 FT E S BIDLEMAN LOT 155"</f>
        <v>805 GIBBARD AVE 31 FT E S BIDLEMAN LOT 155</v>
      </c>
      <c r="D9735" s="1">
        <v>1098.1099999999999</v>
      </c>
    </row>
    <row r="9736" spans="1:4" x14ac:dyDescent="0.3">
      <c r="A9736" s="1" t="str">
        <f>"01014076000"</f>
        <v>01014076000</v>
      </c>
      <c r="B9736" s="1" t="str">
        <f>"PEARSON JAMES, PEARSON MARY F"</f>
        <v>PEARSON JAMES, PEARSON MARY F</v>
      </c>
      <c r="C9736" s="1" t="str">
        <f>"PENFIELD RD HAVILAND 3 LOT 157"</f>
        <v>PENFIELD RD HAVILAND 3 LOT 157</v>
      </c>
      <c r="D9736" s="1">
        <v>1229.28</v>
      </c>
    </row>
    <row r="9737" spans="1:4" x14ac:dyDescent="0.3">
      <c r="A9737" s="1" t="str">
        <f>"57017430200"</f>
        <v>57017430200</v>
      </c>
      <c r="B9737" s="1" t="str">
        <f>"PEARSON LANA J"</f>
        <v>PEARSON LANA J</v>
      </c>
      <c r="C9737" s="1" t="str">
        <f>"851 CHERLYN CT WESTBURY VLG COND #5 UNIT 23-D"</f>
        <v>851 CHERLYN CT WESTBURY VLG COND #5 UNIT 23-D</v>
      </c>
      <c r="D9737" s="1">
        <v>49.03</v>
      </c>
    </row>
    <row r="9738" spans="1:4" x14ac:dyDescent="0.3">
      <c r="A9738" s="1" t="str">
        <f>"01006502800"</f>
        <v>01006502800</v>
      </c>
      <c r="B9738" s="1" t="str">
        <f>"PEARSON PAMELA D"</f>
        <v>PEARSON PAMELA D</v>
      </c>
      <c r="C9738" s="1" t="str">
        <f>"1505 HARVARD AVENUE C.G. LORDS SUB   31' WS LT 13 (31'X 140')"</f>
        <v>1505 HARVARD AVENUE C.G. LORDS SUB   31' WS LT 13 (31'X 140')</v>
      </c>
      <c r="D9738" s="1">
        <v>2758.29</v>
      </c>
    </row>
    <row r="9739" spans="1:4" x14ac:dyDescent="0.3">
      <c r="A9739" s="1" t="str">
        <f>"08000321300"</f>
        <v>08000321300</v>
      </c>
      <c r="B9739" s="1" t="str">
        <f>"PECK DONALD L, PECK SARA M"</f>
        <v>PECK DONALD L, PECK SARA M</v>
      </c>
      <c r="C9739" s="1" t="str">
        <f>"DELAWARE DR LEHY ACRES 2 84"</f>
        <v>DELAWARE DR LEHY ACRES 2 84</v>
      </c>
      <c r="D9739" s="1">
        <v>6614.69</v>
      </c>
    </row>
    <row r="9740" spans="1:4" x14ac:dyDescent="0.3">
      <c r="A9740" s="1" t="str">
        <f>"06000367300"</f>
        <v>06000367300</v>
      </c>
      <c r="B9740" s="1" t="str">
        <f>"PEEK BEATRICE L TR"</f>
        <v>PEEK BEATRICE L TR</v>
      </c>
      <c r="C9740" s="1" t="str">
        <f>"ADDISON DR LUDLOW LOT 236"</f>
        <v>ADDISON DR LUDLOW LOT 236</v>
      </c>
      <c r="D9740" s="1">
        <v>2098.14</v>
      </c>
    </row>
    <row r="9741" spans="1:4" x14ac:dyDescent="0.3">
      <c r="A9741" s="1" t="str">
        <f>"01010768900"</f>
        <v>01010768900</v>
      </c>
      <c r="B9741" s="1" t="str">
        <f>"PEELE JOE L JR"</f>
        <v>PEELE JOE L JR</v>
      </c>
      <c r="C9741" s="1" t="str">
        <f>"BOSTWICK RD BERWICK MANOR 2 LOT 172"</f>
        <v>BOSTWICK RD BERWICK MANOR 2 LOT 172</v>
      </c>
      <c r="D9741" s="1">
        <v>2469.83</v>
      </c>
    </row>
    <row r="9742" spans="1:4" x14ac:dyDescent="0.3">
      <c r="A9742" s="1" t="str">
        <f>"01012794400"</f>
        <v>01012794400</v>
      </c>
      <c r="B9742" s="1" t="str">
        <f>"PEGRAM RUBY B"</f>
        <v>PEGRAM RUBY B</v>
      </c>
      <c r="C9742" s="1" t="str">
        <f>"BERWYN LOT 70 "</f>
        <v xml:space="preserve">BERWYN LOT 70 </v>
      </c>
      <c r="D9742" s="1">
        <v>1199.6400000000001</v>
      </c>
    </row>
    <row r="9743" spans="1:4" x14ac:dyDescent="0.3">
      <c r="A9743" s="1" t="str">
        <f>"57023082700"</f>
        <v>57023082700</v>
      </c>
      <c r="B9743" s="1" t="str">
        <f>"PEITSMEYER DUENWALD PENNY J"</f>
        <v>PEITSMEYER DUENWALD PENNY J</v>
      </c>
      <c r="C9743" s="1" t="str">
        <f>"COVE POINT COURT CHESAPEAKE FARMS SECTION 2 LOT 132"</f>
        <v>COVE POINT COURT CHESAPEAKE FARMS SECTION 2 LOT 132</v>
      </c>
      <c r="D9743" s="1">
        <v>256.95</v>
      </c>
    </row>
    <row r="9744" spans="1:4" x14ac:dyDescent="0.3">
      <c r="A9744" s="1" t="str">
        <f>"01010312700"</f>
        <v>01010312700</v>
      </c>
      <c r="B9744" s="1" t="str">
        <f>"PEL PAUL S, OBRIEN MADACHOEUN L, OBRIEN GREGORY D"</f>
        <v>PEL PAUL S, OBRIEN MADACHOEUN L, OBRIEN GREGORY D</v>
      </c>
      <c r="C9744" s="1" t="str">
        <f>"VANDERBERG AVE EUREKA PARK AMD 1 LOT 11"</f>
        <v>VANDERBERG AVE EUREKA PARK AMD 1 LOT 11</v>
      </c>
      <c r="D9744" s="1">
        <v>2637.26</v>
      </c>
    </row>
    <row r="9745" spans="1:4" x14ac:dyDescent="0.3">
      <c r="A9745" s="1" t="str">
        <f>"01009294500"</f>
        <v>01009294500</v>
      </c>
      <c r="B9745" s="1" t="str">
        <f>"PELEIPELE LLC"</f>
        <v>PELEIPELE LLC</v>
      </c>
      <c r="C9745" s="1" t="str">
        <f>"N DREXEL AVE NORTH BEXLEY VIEW LOT 37"</f>
        <v>N DREXEL AVE NORTH BEXLEY VIEW LOT 37</v>
      </c>
      <c r="D9745" s="1">
        <v>2010.59</v>
      </c>
    </row>
    <row r="9746" spans="1:4" x14ac:dyDescent="0.3">
      <c r="A9746" s="1" t="str">
        <f>"57015396000"</f>
        <v>57015396000</v>
      </c>
      <c r="B9746" s="1" t="str">
        <f>"PELPHREY FRED C, PELPHREY SUE D"</f>
        <v>PELPHREY FRED C, PELPHREY SUE D</v>
      </c>
      <c r="C9746" s="1" t="str">
        <f>"GREENVILLE RD RIVER BEND SEC 4 LOT 377"</f>
        <v>GREENVILLE RD RIVER BEND SEC 4 LOT 377</v>
      </c>
      <c r="D9746" s="1">
        <v>91.81</v>
      </c>
    </row>
    <row r="9747" spans="1:4" x14ac:dyDescent="0.3">
      <c r="A9747" s="1" t="str">
        <f>"01001047700"</f>
        <v>01001047700</v>
      </c>
      <c r="B9747" s="1" t="str">
        <f>"PELZ ANTHONY W"</f>
        <v>PELZ ANTHONY W</v>
      </c>
      <c r="C9747" s="1" t="str">
        <f>"98 HAYDEN AVE KNAUSS AMD LOT 111"</f>
        <v>98 HAYDEN AVE KNAUSS AMD LOT 111</v>
      </c>
      <c r="D9747" s="1">
        <v>668.39</v>
      </c>
    </row>
    <row r="9748" spans="1:4" x14ac:dyDescent="0.3">
      <c r="A9748" s="1" t="str">
        <f>"07001073000"</f>
        <v>07001073000</v>
      </c>
      <c r="B9748" s="1" t="str">
        <f>"PEMA DIANA M"</f>
        <v>PEMA DIANA M</v>
      </c>
      <c r="C9748" s="1" t="str">
        <f>"4581 LANGPORT RD SHELBOURNE HTS EXT 4 5"</f>
        <v>4581 LANGPORT RD SHELBOURNE HTS EXT 4 5</v>
      </c>
      <c r="D9748" s="1">
        <v>7427.7</v>
      </c>
    </row>
    <row r="9749" spans="1:4" x14ac:dyDescent="0.3">
      <c r="A9749" s="1" t="str">
        <f>"16100003700"</f>
        <v>16100003700</v>
      </c>
      <c r="B9749" s="1" t="str">
        <f>"PENA JOSE ANGEL"</f>
        <v>PENA JOSE ANGEL</v>
      </c>
      <c r="C9749" s="1" t="str">
        <f>"2870 WALNUT ST URBANCREST LOT 19-23 INC"</f>
        <v>2870 WALNUT ST URBANCREST LOT 19-23 INC</v>
      </c>
      <c r="D9749" s="1">
        <v>2957.23</v>
      </c>
    </row>
    <row r="9750" spans="1:4" x14ac:dyDescent="0.3">
      <c r="A9750" s="1" t="str">
        <f>"51016036200"</f>
        <v>51016036200</v>
      </c>
      <c r="B9750" s="1" t="str">
        <f>"PENA JOSE ANGEL"</f>
        <v>PENA JOSE ANGEL</v>
      </c>
      <c r="C9750" s="1" t="str">
        <f>"704 BREATHITT AVE SOUTHERN PINES SEC 9 LOT 1039"</f>
        <v>704 BREATHITT AVE SOUTHERN PINES SEC 9 LOT 1039</v>
      </c>
      <c r="D9750" s="1">
        <v>2235.85</v>
      </c>
    </row>
    <row r="9751" spans="1:4" x14ac:dyDescent="0.3">
      <c r="A9751" s="1" t="str">
        <f>"01010310500"</f>
        <v>01010310500</v>
      </c>
      <c r="B9751" s="1" t="str">
        <f>"PENCE HELEN D, PENCE JESSE E"</f>
        <v>PENCE HELEN D, PENCE JESSE E</v>
      </c>
      <c r="C9751" s="1" t="str">
        <f>"MARINA DR WOODLAND TER LOT 151"</f>
        <v>MARINA DR WOODLAND TER LOT 151</v>
      </c>
      <c r="D9751" s="1">
        <v>1997.96</v>
      </c>
    </row>
    <row r="9752" spans="1:4" x14ac:dyDescent="0.3">
      <c r="A9752" s="1" t="str">
        <f>"01005452500"</f>
        <v>01005452500</v>
      </c>
      <c r="B9752" s="1" t="str">
        <f>"PENDLETON BRENT"</f>
        <v>PENDLETON BRENT</v>
      </c>
      <c r="C9752" s="1" t="str">
        <f>"1389 HILDRETH AVE HILDRETH&amp;CHITTENDEN LOT 30"</f>
        <v>1389 HILDRETH AVE HILDRETH&amp;CHITTENDEN LOT 30</v>
      </c>
      <c r="D9752" s="1">
        <v>1388.32</v>
      </c>
    </row>
    <row r="9753" spans="1:4" x14ac:dyDescent="0.3">
      <c r="A9753" s="1" t="str">
        <f>"01009183400"</f>
        <v>01009183400</v>
      </c>
      <c r="B9753" s="1" t="str">
        <f>"PENDULUM MAINTENANCE &amp; LANDSCAPING LLC"</f>
        <v>PENDULUM MAINTENANCE &amp; LANDSCAPING LLC</v>
      </c>
      <c r="C9753" s="1" t="str">
        <f>"JAMES RD BEXLEY HAVEN LOT 4 EX 6' OFF ENTIRE WS"</f>
        <v>JAMES RD BEXLEY HAVEN LOT 4 EX 6' OFF ENTIRE WS</v>
      </c>
      <c r="D9753" s="1">
        <v>1841.72</v>
      </c>
    </row>
    <row r="9754" spans="1:4" x14ac:dyDescent="0.3">
      <c r="A9754" s="1" t="str">
        <f>"01002435300"</f>
        <v>01002435300</v>
      </c>
      <c r="B9754" s="1" t="str">
        <f>"PENN INVESTMENTS LLC"</f>
        <v>PENN INVESTMENTS LLC</v>
      </c>
      <c r="C9754" s="1" t="str">
        <f>"60 S PRINCETON AVE WEST PARK LOT 778"</f>
        <v>60 S PRINCETON AVE WEST PARK LOT 778</v>
      </c>
      <c r="D9754" s="1">
        <v>355.21</v>
      </c>
    </row>
    <row r="9755" spans="1:4" x14ac:dyDescent="0.3">
      <c r="A9755" s="1" t="str">
        <f>"01003601400"</f>
        <v>01003601400</v>
      </c>
      <c r="B9755" s="1" t="str">
        <f>"PENN INVESTMENTS LLC"</f>
        <v>PENN INVESTMENTS LLC</v>
      </c>
      <c r="C9755" s="1" t="str">
        <f>"BIDLEMAN LOT 219 "</f>
        <v xml:space="preserve">BIDLEMAN LOT 219 </v>
      </c>
      <c r="D9755" s="1">
        <v>2018.69</v>
      </c>
    </row>
    <row r="9756" spans="1:4" x14ac:dyDescent="0.3">
      <c r="A9756" s="1" t="str">
        <f>"01001634800"</f>
        <v>01001634800</v>
      </c>
      <c r="B9756" s="1" t="str">
        <f>"PENN INVESTMENTS LLC"</f>
        <v>PENN INVESTMENTS LLC</v>
      </c>
      <c r="C9756" s="1" t="str">
        <f>"132 DAKOTA AVE WEST PARK LOT 216"</f>
        <v>132 DAKOTA AVE WEST PARK LOT 216</v>
      </c>
      <c r="D9756" s="1">
        <v>3579.66</v>
      </c>
    </row>
    <row r="9757" spans="1:4" x14ac:dyDescent="0.3">
      <c r="A9757" s="1" t="str">
        <f>"01005501200"</f>
        <v>01005501200</v>
      </c>
      <c r="B9757" s="1" t="str">
        <f>"PENN INVESTMENTS LLC"</f>
        <v>PENN INVESTMENTS LLC</v>
      </c>
      <c r="C9757" s="1" t="str">
        <f>"269 AVONDALE AVE WEST PARK LOT 168"</f>
        <v>269 AVONDALE AVE WEST PARK LOT 168</v>
      </c>
      <c r="D9757" s="1">
        <v>2601.67</v>
      </c>
    </row>
    <row r="9758" spans="1:4" x14ac:dyDescent="0.3">
      <c r="A9758" s="1" t="str">
        <f>"01003055700"</f>
        <v>01003055700</v>
      </c>
      <c r="B9758" s="1" t="str">
        <f>"PENN INVESTMENTS LLC"</f>
        <v>PENN INVESTMENTS LLC</v>
      </c>
      <c r="C9758" s="1" t="str">
        <f>"91 BREHL AVE NL DORENS CENTRAL AVE LOT 45"</f>
        <v>91 BREHL AVE NL DORENS CENTRAL AVE LOT 45</v>
      </c>
      <c r="D9758" s="1">
        <v>3252.08</v>
      </c>
    </row>
    <row r="9759" spans="1:4" x14ac:dyDescent="0.3">
      <c r="A9759" s="1" t="str">
        <f>"01003008500"</f>
        <v>01003008500</v>
      </c>
      <c r="B9759" s="1" t="str">
        <f>"PENN INVESTMENTS LLC"</f>
        <v>PENN INVESTMENTS LLC</v>
      </c>
      <c r="C9759" s="1" t="str">
        <f>"REYNOLDS AVE ENGLEWOOD LOT 56"</f>
        <v>REYNOLDS AVE ENGLEWOOD LOT 56</v>
      </c>
      <c r="D9759" s="1">
        <v>1097.25</v>
      </c>
    </row>
    <row r="9760" spans="1:4" x14ac:dyDescent="0.3">
      <c r="A9760" s="1" t="str">
        <f>"01010441400"</f>
        <v>01010441400</v>
      </c>
      <c r="B9760" s="1" t="str">
        <f>"PENN MILLICENT D"</f>
        <v>PENN MILLICENT D</v>
      </c>
      <c r="C9760" s="1" t="str">
        <f>"1441 MOLER RD  0.292 ACRE"</f>
        <v>1441 MOLER RD  0.292 ACRE</v>
      </c>
      <c r="D9760" s="1">
        <v>375.42</v>
      </c>
    </row>
    <row r="9761" spans="1:4" x14ac:dyDescent="0.3">
      <c r="A9761" s="1" t="str">
        <f>"16000056600"</f>
        <v>16000056600</v>
      </c>
      <c r="B9761" s="1" t="str">
        <f>"PENNINGTON GERALD F, PENNINGTON JUDITH A"</f>
        <v>PENNINGTON GERALD F, PENNINGTON JUDITH A</v>
      </c>
      <c r="C9761" s="1" t="str">
        <f>"2465 MCCOMB RD EMERSONIA LOT 77"</f>
        <v>2465 MCCOMB RD EMERSONIA LOT 77</v>
      </c>
      <c r="D9761" s="1">
        <v>1352.15</v>
      </c>
    </row>
    <row r="9762" spans="1:4" x14ac:dyDescent="0.3">
      <c r="A9762" s="1" t="str">
        <f>"14000134100"</f>
        <v>14000134100</v>
      </c>
      <c r="B9762" s="1" t="str">
        <f>"PENNINGTON JIM"</f>
        <v>PENNINGTON JIM</v>
      </c>
      <c r="C9762" s="1" t="str">
        <f>"1079 HARRISBURG PI GIBSON PARK PL RES"</f>
        <v>1079 HARRISBURG PI GIBSON PARK PL RES</v>
      </c>
      <c r="D9762" s="1">
        <v>2357.88</v>
      </c>
    </row>
    <row r="9763" spans="1:4" x14ac:dyDescent="0.3">
      <c r="A9763" s="1" t="str">
        <f>"07000003700"</f>
        <v>07000003700</v>
      </c>
      <c r="B9763" s="1" t="str">
        <f>"PENROD MOLLY KATHLEEN TR"</f>
        <v>PENROD MOLLY KATHLEEN TR</v>
      </c>
      <c r="C9763" s="1" t="str">
        <f>"1740 ROXBURY RD COR CHELSEA UP ARLINGTON LOT 3 BLK 14"</f>
        <v>1740 ROXBURY RD COR CHELSEA UP ARLINGTON LOT 3 BLK 14</v>
      </c>
      <c r="D9763" s="1">
        <v>30441.49</v>
      </c>
    </row>
    <row r="9764" spans="1:4" x14ac:dyDescent="0.3">
      <c r="A9764" s="1" t="str">
        <f>"15300003500"</f>
        <v>15300003500</v>
      </c>
      <c r="B9764" s="1" t="str">
        <f>"PENTAGON II LLC"</f>
        <v>PENTAGON II LLC</v>
      </c>
      <c r="C9764" s="1" t="str">
        <f>"4299 ALUM CREEK DR R22 T4 S13 2.144 ACRES"</f>
        <v>4299 ALUM CREEK DR R22 T4 S13 2.144 ACRES</v>
      </c>
      <c r="D9764" s="1">
        <v>4517.26</v>
      </c>
    </row>
    <row r="9765" spans="1:4" x14ac:dyDescent="0.3">
      <c r="A9765" s="1" t="str">
        <f>"15300003400"</f>
        <v>15300003400</v>
      </c>
      <c r="B9765" s="1" t="str">
        <f>"PENTAGON III LLC"</f>
        <v>PENTAGON III LLC</v>
      </c>
      <c r="C9765" s="1" t="str">
        <f>"4339 ALUM CREEK DR R22 T4 S13 8.361 ACRES"</f>
        <v>4339 ALUM CREEK DR R22 T4 S13 8.361 ACRES</v>
      </c>
      <c r="D9765" s="1">
        <v>11326.98</v>
      </c>
    </row>
    <row r="9766" spans="1:4" x14ac:dyDescent="0.3">
      <c r="A9766" s="1" t="str">
        <f>"15300003600"</f>
        <v>15300003600</v>
      </c>
      <c r="B9766" s="1" t="str">
        <f>"PENTAGON III LLC"</f>
        <v>PENTAGON III LLC</v>
      </c>
      <c r="C9766" s="1" t="str">
        <f>"4325 ALUM CREEK DR R22 T4 S13 1/4S4 1.123 ACRES"</f>
        <v>4325 ALUM CREEK DR R22 T4 S13 1/4S4 1.123 ACRES</v>
      </c>
      <c r="D9766" s="1">
        <v>2514.8200000000002</v>
      </c>
    </row>
    <row r="9767" spans="1:4" x14ac:dyDescent="0.3">
      <c r="A9767" s="1" t="str">
        <f>"01028397500"</f>
        <v>01028397500</v>
      </c>
      <c r="B9767" s="1" t="str">
        <f>"PENTY THOMAS T, PENTY GRACE L"</f>
        <v>PENTY THOMAS T, PENTY GRACE L</v>
      </c>
      <c r="C9767" s="1" t="str">
        <f>"THE WOODS AT HAYDEN RUN CONDOMINIUM 1ST AMD UNIT 21-5196"</f>
        <v>THE WOODS AT HAYDEN RUN CONDOMINIUM 1ST AMD UNIT 21-5196</v>
      </c>
      <c r="D9767" s="1">
        <v>11</v>
      </c>
    </row>
    <row r="9768" spans="1:4" x14ac:dyDescent="0.3">
      <c r="A9768" s="1" t="str">
        <f>"01010169000"</f>
        <v>01010169000</v>
      </c>
      <c r="B9768" s="1" t="str">
        <f>"PENZOH YONIT, KIRSCHBAUM JACOB SETH"</f>
        <v>PENZOH YONIT, KIRSCHBAUM JACOB SETH</v>
      </c>
      <c r="C9768" s="1" t="str">
        <f>"STAFFORD PL BERWICK HTS 2 LOT 333"</f>
        <v>STAFFORD PL BERWICK HTS 2 LOT 333</v>
      </c>
      <c r="D9768" s="1">
        <v>6975.01</v>
      </c>
    </row>
    <row r="9769" spans="1:4" x14ac:dyDescent="0.3">
      <c r="A9769" s="1" t="str">
        <f>"24000531500"</f>
        <v>24000531500</v>
      </c>
      <c r="B9769" s="1" t="str">
        <f>"PEPPER RANDY J, PEPPER CAROL A"</f>
        <v>PEPPER RANDY J, PEPPER CAROL A</v>
      </c>
      <c r="C9769" s="1" t="str">
        <f>"RENAA AV LAKE DARBY EST 1 LOT 100"</f>
        <v>RENAA AV LAKE DARBY EST 1 LOT 100</v>
      </c>
      <c r="D9769" s="1">
        <v>166.09</v>
      </c>
    </row>
    <row r="9770" spans="1:4" x14ac:dyDescent="0.3">
      <c r="A9770" s="1" t="str">
        <f>"57017068500"</f>
        <v>57017068500</v>
      </c>
      <c r="B9770" s="1" t="str">
        <f>"PERDUE LINDA F"</f>
        <v>PERDUE LINDA F</v>
      </c>
      <c r="C9770" s="1" t="str">
        <f>"CLOVE CT LAUREL GREENE SEC 3 PHASE 1 LOT 283"</f>
        <v>CLOVE CT LAUREL GREENE SEC 3 PHASE 1 LOT 283</v>
      </c>
      <c r="D9770" s="1">
        <v>110</v>
      </c>
    </row>
    <row r="9771" spans="1:4" x14ac:dyDescent="0.3">
      <c r="A9771" s="1" t="str">
        <f>"01001743600"</f>
        <v>01001743600</v>
      </c>
      <c r="B9771" s="1" t="str">
        <f>"PEREZ ALEX GEOVANY AMAYA, PEREZ CINDY VANESSA AMAYA"</f>
        <v>PEREZ ALEX GEOVANY AMAYA, PEREZ CINDY VANESSA AMAYA</v>
      </c>
      <c r="C9771" s="1" t="str">
        <f>"965 LOCKBOURNE RD STUDER AMD LOT 175"</f>
        <v>965 LOCKBOURNE RD STUDER AMD LOT 175</v>
      </c>
      <c r="D9771" s="1">
        <v>1469.8</v>
      </c>
    </row>
    <row r="9772" spans="1:4" x14ac:dyDescent="0.3">
      <c r="A9772" s="1" t="str">
        <f>"01007517300"</f>
        <v>01007517300</v>
      </c>
      <c r="B9772" s="1" t="str">
        <f>"PEREZ DIANA M, ALEXANDER WILLIAM A JR"</f>
        <v>PEREZ DIANA M, ALEXANDER WILLIAM A JR</v>
      </c>
      <c r="C9772" s="1" t="str">
        <f>"HOWEY AVE GRASMERE GDNS LOT 410"</f>
        <v>HOWEY AVE GRASMERE GDNS LOT 410</v>
      </c>
      <c r="D9772" s="1">
        <v>603.77</v>
      </c>
    </row>
    <row r="9773" spans="1:4" x14ac:dyDescent="0.3">
      <c r="A9773" s="1" t="str">
        <f>"14000207600"</f>
        <v>14000207600</v>
      </c>
      <c r="B9773" s="1" t="str">
        <f>"PEREZ FRANCISCO, PEREZ LAURA E"</f>
        <v>PEREZ FRANCISCO, PEREZ LAURA E</v>
      </c>
      <c r="C9773" s="1" t="str">
        <f>"PLAIN VIEW DR MON-E-BAK FARMS LOT 243"</f>
        <v>PLAIN VIEW DR MON-E-BAK FARMS LOT 243</v>
      </c>
      <c r="D9773" s="1">
        <v>604.91999999999996</v>
      </c>
    </row>
    <row r="9774" spans="1:4" x14ac:dyDescent="0.3">
      <c r="A9774" s="1" t="str">
        <f>"14000207700"</f>
        <v>14000207700</v>
      </c>
      <c r="B9774" s="1" t="str">
        <f>"PEREZ FRANCISCO, PEREZ LAURA E"</f>
        <v>PEREZ FRANCISCO, PEREZ LAURA E</v>
      </c>
      <c r="C9774" s="1" t="str">
        <f>"PLAIN VIEW DR MON-E-BAK FARMS LOT 244"</f>
        <v>PLAIN VIEW DR MON-E-BAK FARMS LOT 244</v>
      </c>
      <c r="D9774" s="1">
        <v>604.91999999999996</v>
      </c>
    </row>
    <row r="9775" spans="1:4" x14ac:dyDescent="0.3">
      <c r="A9775" s="1" t="str">
        <f>"53011185000"</f>
        <v>53011185000</v>
      </c>
      <c r="B9775" s="1" t="str">
        <f>"PEREZ GALDINO, PEREZ DE PONCE MARIA B"</f>
        <v>PEREZ GALDINO, PEREZ DE PONCE MARIA B</v>
      </c>
      <c r="C9775" s="1" t="str">
        <f>"STACK RD R22 T4 S12 ACRES .95"</f>
        <v>STACK RD R22 T4 S12 ACRES .95</v>
      </c>
      <c r="D9775" s="1">
        <v>1784.42</v>
      </c>
    </row>
    <row r="9776" spans="1:4" x14ac:dyDescent="0.3">
      <c r="A9776" s="1" t="str">
        <f>"13000220500"</f>
        <v>13000220500</v>
      </c>
      <c r="B9776" s="1" t="str">
        <f>"PEREZ GARCIA FERNANDO JESUS, SCARBROUGH PEREZ DANIELLE"</f>
        <v>PEREZ GARCIA FERNANDO JESUS, SCARBROUGH PEREZ DANIELLE</v>
      </c>
      <c r="C9776" s="1" t="str">
        <f>"1878 LEHNER AVE NORTH LINDEN 2 LOT 498"</f>
        <v>1878 LEHNER AVE NORTH LINDEN 2 LOT 498</v>
      </c>
      <c r="D9776" s="1">
        <v>1614.66</v>
      </c>
    </row>
    <row r="9777" spans="1:4" x14ac:dyDescent="0.3">
      <c r="A9777" s="1" t="str">
        <f>"04000507800"</f>
        <v>04000507800</v>
      </c>
      <c r="B9777" s="1" t="str">
        <f>"PEREZ HORACIO LUCERO"</f>
        <v>PEREZ HORACIO LUCERO</v>
      </c>
      <c r="C9777" s="1" t="str">
        <f>"2560 HOOVER COURT BROOK PARK SECTION 2 LOT 10"</f>
        <v>2560 HOOVER COURT BROOK PARK SECTION 2 LOT 10</v>
      </c>
      <c r="D9777" s="1">
        <v>4178.93</v>
      </c>
    </row>
    <row r="9778" spans="1:4" x14ac:dyDescent="0.3">
      <c r="A9778" s="1" t="str">
        <f>"23000162400"</f>
        <v>23000162400</v>
      </c>
      <c r="B9778" s="1" t="str">
        <f>"PEREZ JESUS"</f>
        <v>PEREZ JESUS</v>
      </c>
      <c r="C9778" s="1" t="str">
        <f>"5180 NORTON ROAD ENTRY 978-3809 0.91 ACRE"</f>
        <v>5180 NORTON ROAD ENTRY 978-3809 0.91 ACRE</v>
      </c>
      <c r="D9778" s="1">
        <v>152.44</v>
      </c>
    </row>
    <row r="9779" spans="1:4" x14ac:dyDescent="0.3">
      <c r="A9779" s="1" t="str">
        <f>"01007519100"</f>
        <v>01007519100</v>
      </c>
      <c r="B9779" s="1" t="str">
        <f>"PEREZ JOSE GARCIA"</f>
        <v>PEREZ JOSE GARCIA</v>
      </c>
      <c r="C9779" s="1" t="str">
        <f>"HOWEY AVE GRASMERE GARDENS LOT 428"</f>
        <v>HOWEY AVE GRASMERE GARDENS LOT 428</v>
      </c>
      <c r="D9779" s="1">
        <v>195.4</v>
      </c>
    </row>
    <row r="9780" spans="1:4" x14ac:dyDescent="0.3">
      <c r="A9780" s="1" t="str">
        <f>"09000534500"</f>
        <v>09000534500</v>
      </c>
      <c r="B9780" s="1" t="str">
        <f>"PEREZ JOSE N, MARLENY CHAVEZ PEREZ DEYSI"</f>
        <v>PEREZ JOSE N, MARLENY CHAVEZ PEREZ DEYSI</v>
      </c>
      <c r="C9780" s="1" t="str">
        <f>"729 BERNHARD ROAD S1/2 BERNHARD LOT 95 "</f>
        <v xml:space="preserve">729 BERNHARD ROAD S1/2 BERNHARD LOT 95 </v>
      </c>
      <c r="D9780" s="1">
        <v>1900.22</v>
      </c>
    </row>
    <row r="9781" spans="1:4" x14ac:dyDescent="0.3">
      <c r="A9781" s="1" t="str">
        <f>"14000188100"</f>
        <v>14000188100</v>
      </c>
      <c r="B9781" s="1" t="str">
        <f>"PEREZ LAURA E"</f>
        <v>PEREZ LAURA E</v>
      </c>
      <c r="C9781" s="1" t="str">
        <f>"3275BROOKSIDE BLVD MON-E-BAK FARMS LOT 48"</f>
        <v>3275BROOKSIDE BLVD MON-E-BAK FARMS LOT 48</v>
      </c>
      <c r="D9781" s="1">
        <v>518.19000000000005</v>
      </c>
    </row>
    <row r="9782" spans="1:4" x14ac:dyDescent="0.3">
      <c r="A9782" s="1" t="str">
        <f>"01003298300"</f>
        <v>01003298300</v>
      </c>
      <c r="B9782" s="1" t="str">
        <f>"PEREZ MARTHA A FUENTES"</f>
        <v>PEREZ MARTHA A FUENTES</v>
      </c>
      <c r="C9782" s="1" t="str">
        <f>"211 SCHULTZ BELMONT LOT 158"</f>
        <v>211 SCHULTZ BELMONT LOT 158</v>
      </c>
      <c r="D9782" s="1">
        <v>1595.66</v>
      </c>
    </row>
    <row r="9783" spans="1:4" x14ac:dyDescent="0.3">
      <c r="A9783" s="1" t="str">
        <f>"01006942100"</f>
        <v>01006942100</v>
      </c>
      <c r="B9783" s="1" t="str">
        <f>"PEREZ NUVIA GRICELDA CARRILLO"</f>
        <v>PEREZ NUVIA GRICELDA CARRILLO</v>
      </c>
      <c r="C9783" s="1" t="str">
        <f>"2007 DENUNE AVE EAST LINDEN LOT 23 50FT MID PT"</f>
        <v>2007 DENUNE AVE EAST LINDEN LOT 23 50FT MID PT</v>
      </c>
      <c r="D9783" s="1">
        <v>2756.68</v>
      </c>
    </row>
    <row r="9784" spans="1:4" x14ac:dyDescent="0.3">
      <c r="A9784" s="1" t="str">
        <f>"14000416800"</f>
        <v>14000416800</v>
      </c>
      <c r="B9784" s="1" t="str">
        <f>"PEREZ PEREZ JOEL I"</f>
        <v>PEREZ PEREZ JOEL I</v>
      </c>
      <c r="C9784" s="1" t="str">
        <f>"54 VOITIS DR BROWNS CAMP CHASE LOT 5"</f>
        <v>54 VOITIS DR BROWNS CAMP CHASE LOT 5</v>
      </c>
      <c r="D9784" s="1">
        <v>3317.92</v>
      </c>
    </row>
    <row r="9785" spans="1:4" x14ac:dyDescent="0.3">
      <c r="A9785" s="1" t="str">
        <f>"01001443900"</f>
        <v>01001443900</v>
      </c>
      <c r="B9785" s="1" t="str">
        <f>"PEREZ-VARGAS CARMEN TR"</f>
        <v>PEREZ-VARGAS CARMEN TR</v>
      </c>
      <c r="C9785" s="1" t="str">
        <f>"1735 PARSONS AVE SOUTH SIDE TERR ADD LOT 192 (31' X 150')"</f>
        <v>1735 PARSONS AVE SOUTH SIDE TERR ADD LOT 192 (31' X 150')</v>
      </c>
      <c r="D9785" s="1">
        <v>952.41</v>
      </c>
    </row>
    <row r="9786" spans="1:4" x14ac:dyDescent="0.3">
      <c r="A9786" s="1" t="str">
        <f>"05000510000"</f>
        <v>05000510000</v>
      </c>
      <c r="B9786" s="1" t="str">
        <f>"PERGRAM KELLY M"</f>
        <v>PERGRAM KELLY M</v>
      </c>
      <c r="C9786" s="1" t="str">
        <f>"STONESTHROW LANE RIVER RUN LOT 90"</f>
        <v>STONESTHROW LANE RIVER RUN LOT 90</v>
      </c>
      <c r="D9786" s="1">
        <v>458.01</v>
      </c>
    </row>
    <row r="9787" spans="1:4" x14ac:dyDescent="0.3">
      <c r="A9787" s="1" t="str">
        <f>"17000154400"</f>
        <v>17000154400</v>
      </c>
      <c r="B9787" s="1" t="str">
        <f>"PERKINS DAWN L"</f>
        <v>PERKINS DAWN L</v>
      </c>
      <c r="C9787" s="1" t="str">
        <f>"8079 MORSE RD TWIN BROOKS LOT 1 EX IRR NS"</f>
        <v>8079 MORSE RD TWIN BROOKS LOT 1 EX IRR NS</v>
      </c>
      <c r="D9787" s="1">
        <v>99</v>
      </c>
    </row>
    <row r="9788" spans="1:4" x14ac:dyDescent="0.3">
      <c r="A9788" s="1" t="str">
        <f>"01009568100"</f>
        <v>01009568100</v>
      </c>
      <c r="B9788" s="1" t="str">
        <f>"PERKINS IRA D"</f>
        <v>PERKINS IRA D</v>
      </c>
      <c r="C9788" s="1" t="str">
        <f>"HAMPTON RD RE SUB PT MAYFAIR &amp; MAYFAIR AMD LOT 384"</f>
        <v>HAMPTON RD RE SUB PT MAYFAIR &amp; MAYFAIR AMD LOT 384</v>
      </c>
      <c r="D9788" s="1">
        <v>96.59</v>
      </c>
    </row>
    <row r="9789" spans="1:4" x14ac:dyDescent="0.3">
      <c r="A9789" s="1" t="str">
        <f>"08000704500"</f>
        <v>08000704500</v>
      </c>
      <c r="B9789" s="1" t="str">
        <f>"PERRY CHARLES B, PERRY DOROTHY A"</f>
        <v>PERRY CHARLES B, PERRY DOROTHY A</v>
      </c>
      <c r="C9789" s="1" t="str">
        <f>"1159 CHATHAM RIDGE CHATHAM RIDGE SEC 2 LOT 44"</f>
        <v>1159 CHATHAM RIDGE CHATHAM RIDGE SEC 2 LOT 44</v>
      </c>
      <c r="D9789" s="1">
        <v>358.64</v>
      </c>
    </row>
    <row r="9790" spans="1:4" x14ac:dyDescent="0.3">
      <c r="A9790" s="1" t="str">
        <f>"01007129300"</f>
        <v>01007129300</v>
      </c>
      <c r="B9790" s="1" t="str">
        <f>"PERRY CINDI A"</f>
        <v>PERRY CINDI A</v>
      </c>
      <c r="C9790" s="1" t="str">
        <f>"GLENMOTN AVE GLENMOTN LOT 37"</f>
        <v>GLENMOTN AVE GLENMOTN LOT 37</v>
      </c>
      <c r="D9790" s="1">
        <v>5982.21</v>
      </c>
    </row>
    <row r="9791" spans="1:4" x14ac:dyDescent="0.3">
      <c r="A9791" s="1" t="str">
        <f>"07000859400"</f>
        <v>07000859400</v>
      </c>
      <c r="B9791" s="1" t="str">
        <f>"PERRY JOHN W, KELLER-PERRY DEBRA L"</f>
        <v>PERRY JOHN W, KELLER-PERRY DEBRA L</v>
      </c>
      <c r="C9791" s="1" t="str">
        <f>"3995 MOUNTVIEW RD MANCHESTER PL EX 1 LOT 11 BLK 429"</f>
        <v>3995 MOUNTVIEW RD MANCHESTER PL EX 1 LOT 11 BLK 429</v>
      </c>
      <c r="D9791" s="1">
        <v>4239.16</v>
      </c>
    </row>
    <row r="9792" spans="1:4" x14ac:dyDescent="0.3">
      <c r="A9792" s="1" t="str">
        <f>"57023500600"</f>
        <v>57023500600</v>
      </c>
      <c r="B9792" s="1" t="str">
        <f>"PERRY KIMBERLY A"</f>
        <v>PERRY KIMBERLY A</v>
      </c>
      <c r="C9792" s="1" t="str">
        <f>"ONSLOW DRIVE CLEARVIEW MEADOWS SECTION 3 LOT 51"</f>
        <v>ONSLOW DRIVE CLEARVIEW MEADOWS SECTION 3 LOT 51</v>
      </c>
      <c r="D9792" s="1">
        <v>168.09</v>
      </c>
    </row>
    <row r="9793" spans="1:4" x14ac:dyDescent="0.3">
      <c r="A9793" s="1" t="str">
        <f>"27400003500"</f>
        <v>27400003500</v>
      </c>
      <c r="B9793" s="1" t="str">
        <f>"PERRY PAMELA S"</f>
        <v>PERRY PAMELA S</v>
      </c>
      <c r="C9793" s="1" t="str">
        <f>"RINGS RD 38.18 ACRES OQ1180-560 ENTRY 6953-3453"</f>
        <v>RINGS RD 38.18 ACRES OQ1180-560 ENTRY 6953-3453</v>
      </c>
      <c r="D9793" s="1">
        <v>12336.39</v>
      </c>
    </row>
    <row r="9794" spans="1:4" x14ac:dyDescent="0.3">
      <c r="A9794" s="1" t="str">
        <f>"22200181600"</f>
        <v>22200181600</v>
      </c>
      <c r="B9794" s="1" t="str">
        <f>"PERRY THAD R, PERRY SUSANNE G"</f>
        <v>PERRY THAD R, PERRY SUSANNE G</v>
      </c>
      <c r="C9794" s="1" t="str">
        <f>"CALVERTON SQUARE THE RESERVE AT NEW ALBANY LOT 21"</f>
        <v>CALVERTON SQUARE THE RESERVE AT NEW ALBANY LOT 21</v>
      </c>
      <c r="D9794" s="1">
        <v>3333.4</v>
      </c>
    </row>
    <row r="9795" spans="1:4" x14ac:dyDescent="0.3">
      <c r="A9795" s="1" t="str">
        <f>"04000964600"</f>
        <v>04000964600</v>
      </c>
      <c r="B9795" s="1" t="str">
        <f>"PERRY TIFFANY L, PERRY BILLY J"</f>
        <v>PERRY TIFFANY L, PERRY BILLY J</v>
      </c>
      <c r="C9795" s="1" t="str">
        <f>"4557 HAUGHN RD ENTRY 1383 153' WS PT LOTS 133-134"</f>
        <v>4557 HAUGHN RD ENTRY 1383 153' WS PT LOTS 133-134</v>
      </c>
      <c r="D9795" s="1">
        <v>224.74</v>
      </c>
    </row>
    <row r="9796" spans="1:4" x14ac:dyDescent="0.3">
      <c r="A9796" s="1" t="str">
        <f>"24000351300"</f>
        <v>24000351300</v>
      </c>
      <c r="B9796" s="1" t="str">
        <f>"PERUANO NUESTRO LLC"</f>
        <v>PERUANO NUESTRO LLC</v>
      </c>
      <c r="C9796" s="1" t="str">
        <f>"YARMOUTH LANE LINCOLN VILLAGE 373 "</f>
        <v xml:space="preserve">YARMOUTH LANE LINCOLN VILLAGE 373 </v>
      </c>
      <c r="D9796" s="1">
        <v>1871.16</v>
      </c>
    </row>
    <row r="9797" spans="1:4" x14ac:dyDescent="0.3">
      <c r="A9797" s="1" t="str">
        <f>"01006558100"</f>
        <v>01006558100</v>
      </c>
      <c r="B9797" s="1" t="str">
        <f>"PESANTEZ FREDDY"</f>
        <v>PESANTEZ FREDDY</v>
      </c>
      <c r="C9797" s="1" t="str">
        <f>"137 HALDY AVE COLUMBIA PARK ANNEX LOT 23"</f>
        <v>137 HALDY AVE COLUMBIA PARK ANNEX LOT 23</v>
      </c>
      <c r="D9797" s="1">
        <v>105.75</v>
      </c>
    </row>
    <row r="9798" spans="1:4" x14ac:dyDescent="0.3">
      <c r="A9798" s="1" t="str">
        <f>"05000712600"</f>
        <v>05000712600</v>
      </c>
      <c r="B9798" s="1" t="str">
        <f>"PETERS JANICE M"</f>
        <v>PETERS JANICE M</v>
      </c>
      <c r="C9798" s="1" t="str">
        <f>"BRITTON FARMS SECTION 3 PHASE 1 LOT 167"</f>
        <v>BRITTON FARMS SECTION 3 PHASE 1 LOT 167</v>
      </c>
      <c r="D9798" s="1">
        <v>5968.63</v>
      </c>
    </row>
    <row r="9799" spans="1:4" x14ac:dyDescent="0.3">
      <c r="A9799" s="1" t="str">
        <f>"02000234600"</f>
        <v>02000234600</v>
      </c>
      <c r="B9799" s="1" t="str">
        <f>"PETERS MICHAEL W, PETERS JANE A"</f>
        <v>PETERS MICHAEL W, PETERS JANE A</v>
      </c>
      <c r="C9799" s="1" t="str">
        <f>"863 VERNON RD ZIMMER &amp; MANLEY AMD 444"</f>
        <v>863 VERNON RD ZIMMER &amp; MANLEY AMD 444</v>
      </c>
      <c r="D9799" s="1">
        <v>3607.13</v>
      </c>
    </row>
    <row r="9800" spans="1:4" x14ac:dyDescent="0.3">
      <c r="A9800" s="1" t="str">
        <f>"60017681200"</f>
        <v>60017681200</v>
      </c>
      <c r="B9800" s="1" t="str">
        <f>"PETERS RICHARD C, PETERS JANET E"</f>
        <v>PETERS RICHARD C, PETERS JANET E</v>
      </c>
      <c r="C9800" s="1" t="str">
        <f>"PEAR TREE COURT STRAWBERRY FARMS 4 LOT 179"</f>
        <v>PEAR TREE COURT STRAWBERRY FARMS 4 LOT 179</v>
      </c>
      <c r="D9800" s="1">
        <v>183.19</v>
      </c>
    </row>
    <row r="9801" spans="1:4" x14ac:dyDescent="0.3">
      <c r="A9801" s="1" t="str">
        <f>"03000040100"</f>
        <v>03000040100</v>
      </c>
      <c r="B9801" s="1" t="str">
        <f>"PETERSON CARL, PETERSON JANICE"</f>
        <v>PETERSON CARL, PETERSON JANICE</v>
      </c>
      <c r="C9801" s="1" t="str">
        <f>"1388 MULFORD RD NW BLVD 2 46 "</f>
        <v xml:space="preserve">1388 MULFORD RD NW BLVD 2 46 </v>
      </c>
      <c r="D9801" s="1">
        <v>508.03</v>
      </c>
    </row>
    <row r="9802" spans="1:4" x14ac:dyDescent="0.3">
      <c r="A9802" s="1" t="str">
        <f>"06000056600"</f>
        <v>06000056600</v>
      </c>
      <c r="B9802" s="1" t="str">
        <f>"PETERSON EMILY K, PETERSON TYLER M"</f>
        <v>PETERSON EMILY K, PETERSON TYLER M</v>
      </c>
      <c r="C9802" s="1" t="str">
        <f>"REYMOLDSB-N ALBANYRD BROOKSIDE PARK 2 142 "</f>
        <v xml:space="preserve">REYMOLDSB-N ALBANYRD BROOKSIDE PARK 2 142 </v>
      </c>
      <c r="D9802" s="1">
        <v>4747.5600000000004</v>
      </c>
    </row>
    <row r="9803" spans="1:4" x14ac:dyDescent="0.3">
      <c r="A9803" s="1" t="str">
        <f>"01004177600"</f>
        <v>01004177600</v>
      </c>
      <c r="B9803" s="1" t="str">
        <f>"PETERSON LARRY, JOHNSON CARLITA, ARNOLD LAUREN"</f>
        <v>PETERSON LARRY, JOHNSON CARLITA, ARNOLD LAUREN</v>
      </c>
      <c r="C9803" s="1" t="str">
        <f>"632 LINWOOD AVE 2FT NS 230 ALL 231 &amp; 232 OAKWOOD EAST"</f>
        <v>632 LINWOOD AVE 2FT NS 230 ALL 231 &amp; 232 OAKWOOD EAST</v>
      </c>
      <c r="D9803" s="1">
        <v>279.07</v>
      </c>
    </row>
    <row r="9804" spans="1:4" x14ac:dyDescent="0.3">
      <c r="A9804" s="1" t="str">
        <f>"01016770000"</f>
        <v>01016770000</v>
      </c>
      <c r="B9804" s="1" t="str">
        <f>"PETERSON STEPHANIE"</f>
        <v>PETERSON STEPHANIE</v>
      </c>
      <c r="C9804" s="1" t="str">
        <f>"CREEK HILL HILLCREEK COURT LOT 20"</f>
        <v>CREEK HILL HILLCREEK COURT LOT 20</v>
      </c>
      <c r="D9804" s="1">
        <v>1930.49</v>
      </c>
    </row>
    <row r="9805" spans="1:4" x14ac:dyDescent="0.3">
      <c r="A9805" s="1" t="str">
        <f>"01006468800"</f>
        <v>01006468800</v>
      </c>
      <c r="B9805" s="1" t="str">
        <f>"PETRELLA MARIANNE S"</f>
        <v>PETRELLA MARIANNE S</v>
      </c>
      <c r="C9805" s="1" t="str">
        <f>"PALMETTO ST BROADVIEW LOT 8 BLK 15"</f>
        <v>PALMETTO ST BROADVIEW LOT 8 BLK 15</v>
      </c>
      <c r="D9805" s="1">
        <v>149.53</v>
      </c>
    </row>
    <row r="9806" spans="1:4" x14ac:dyDescent="0.3">
      <c r="A9806" s="1" t="str">
        <f>"01028216200"</f>
        <v>01028216200</v>
      </c>
      <c r="B9806" s="1" t="str">
        <f>"PETRIDES SHIRLEY"</f>
        <v>PETRIDES SHIRLEY</v>
      </c>
      <c r="C9806" s="1" t="str">
        <f>"VILLAGE AT PRESTON WOODS CONDOMINIUMS 5TH AMD BLDG 17 UNIT 5416"</f>
        <v>VILLAGE AT PRESTON WOODS CONDOMINIUMS 5TH AMD BLDG 17 UNIT 5416</v>
      </c>
      <c r="D9806" s="1">
        <v>4839.3100000000004</v>
      </c>
    </row>
    <row r="9807" spans="1:4" x14ac:dyDescent="0.3">
      <c r="A9807" s="1" t="str">
        <f>"01000820100"</f>
        <v>01000820100</v>
      </c>
      <c r="B9807" s="1" t="str">
        <f>"PETROSIAN SASOON, THOMASIAN MANYA"</f>
        <v>PETROSIAN SASOON, THOMASIAN MANYA</v>
      </c>
      <c r="C9807" s="1" t="str">
        <f>"1173-75 E RICH ST 32X130 FT ON RICH ST CHAMPION OUT 13"</f>
        <v>1173-75 E RICH ST 32X130 FT ON RICH ST CHAMPION OUT 13</v>
      </c>
      <c r="D9807" s="1">
        <v>2214.0100000000002</v>
      </c>
    </row>
    <row r="9808" spans="1:4" x14ac:dyDescent="0.3">
      <c r="A9808" s="1" t="str">
        <f>"01023300300"</f>
        <v>01023300300</v>
      </c>
      <c r="B9808" s="1" t="str">
        <f>"PETRUSHEVSKI TONI TR, PETRUSHEVSKA SVETLANA TR"</f>
        <v>PETRUSHEVSKI TONI TR, PETRUSHEVSKA SVETLANA TR</v>
      </c>
      <c r="C9808" s="1" t="str">
        <f>"MCNEILL FARMS EAST CONDOMINIUM 12TH AMD UNIT 71B"</f>
        <v>MCNEILL FARMS EAST CONDOMINIUM 12TH AMD UNIT 71B</v>
      </c>
      <c r="D9808" s="1">
        <v>119.48</v>
      </c>
    </row>
    <row r="9809" spans="1:4" x14ac:dyDescent="0.3">
      <c r="A9809" s="1" t="str">
        <f>"01000427200"</f>
        <v>01000427200</v>
      </c>
      <c r="B9809" s="1" t="str">
        <f>"PETRUZZI JAMES VINCENT III TTEE, PETRUZZI SANDRA L TTEE"</f>
        <v>PETRUZZI JAMES VINCENT III TTEE, PETRUZZI SANDRA L TTEE</v>
      </c>
      <c r="C9809" s="1" t="str">
        <f>"210 S WARREN AVENUE WICKLOW S1/2 LOT 294 &amp; ALL 295-296"</f>
        <v>210 S WARREN AVENUE WICKLOW S1/2 LOT 294 &amp; ALL 295-296</v>
      </c>
      <c r="D9809" s="1">
        <v>2373.11</v>
      </c>
    </row>
    <row r="9810" spans="1:4" x14ac:dyDescent="0.3">
      <c r="A9810" s="1" t="str">
        <f>"09000547300"</f>
        <v>09000547300</v>
      </c>
      <c r="B9810" s="1" t="str">
        <f>"PETRY ROBERT B, PETRY PATRICIA M"</f>
        <v>PETRY ROBERT B, PETRY PATRICIA M</v>
      </c>
      <c r="C9810" s="1" t="str">
        <f>"593 MAPLEWOOD AVE LOWRIE BROS LOT 77"</f>
        <v>593 MAPLEWOOD AVE LOWRIE BROS LOT 77</v>
      </c>
      <c r="D9810" s="1">
        <v>767.78</v>
      </c>
    </row>
    <row r="9811" spans="1:4" x14ac:dyDescent="0.3">
      <c r="A9811" s="1" t="str">
        <f>"01008033900"</f>
        <v>01008033900</v>
      </c>
      <c r="B9811" s="1" t="str">
        <f>"PETRY ROBERT, PETRY PATRICIA"</f>
        <v>PETRY ROBERT, PETRY PATRICIA</v>
      </c>
      <c r="C9811" s="1" t="str">
        <f>"987 SEYMOUR AVE LENOX LOT 169"</f>
        <v>987 SEYMOUR AVE LENOX LOT 169</v>
      </c>
      <c r="D9811" s="1">
        <v>1126.3699999999999</v>
      </c>
    </row>
    <row r="9812" spans="1:4" x14ac:dyDescent="0.3">
      <c r="A9812" s="1" t="str">
        <f>"01014322600"</f>
        <v>01014322600</v>
      </c>
      <c r="B9812" s="1" t="str">
        <f>"PETTIGREW HENRY JR, PETTIGREW LORETTA R"</f>
        <v>PETTIGREW HENRY JR, PETTIGREW LORETTA R</v>
      </c>
      <c r="C9812" s="1" t="str">
        <f>"PENFIELD RD E HAVILAND 7 LOT 295"</f>
        <v>PENFIELD RD E HAVILAND 7 LOT 295</v>
      </c>
      <c r="D9812" s="1">
        <v>1371.62</v>
      </c>
    </row>
    <row r="9813" spans="1:4" x14ac:dyDescent="0.3">
      <c r="A9813" s="1" t="str">
        <f>"01024520700"</f>
        <v>01024520700</v>
      </c>
      <c r="B9813" s="1" t="str">
        <f>"PETTIS EDWINA"</f>
        <v>PETTIS EDWINA</v>
      </c>
      <c r="C9813" s="1" t="str">
        <f>"PARKSHIRE COMMONS CONDOMINIUM 1ST AMD UNIT 5534"</f>
        <v>PARKSHIRE COMMONS CONDOMINIUM 1ST AMD UNIT 5534</v>
      </c>
      <c r="D9813" s="1">
        <v>17</v>
      </c>
    </row>
    <row r="9814" spans="1:4" x14ac:dyDescent="0.3">
      <c r="A9814" s="1" t="str">
        <f>"01007572900"</f>
        <v>01007572900</v>
      </c>
      <c r="B9814" s="1" t="str">
        <f>"PETTRY LOIS A"</f>
        <v>PETTRY LOIS A</v>
      </c>
      <c r="C9814" s="1" t="str">
        <f>"WEBER RD SUNNYSIDE LOT 240"</f>
        <v>WEBER RD SUNNYSIDE LOT 240</v>
      </c>
      <c r="D9814" s="1">
        <v>2102.2199999999998</v>
      </c>
    </row>
    <row r="9815" spans="1:4" x14ac:dyDescent="0.3">
      <c r="A9815" s="1" t="str">
        <f>"01003577000"</f>
        <v>01003577000</v>
      </c>
      <c r="B9815" s="1" t="str">
        <f>"PETTUS KAREN E, FULTON ROBERTA"</f>
        <v>PETTUS KAREN E, FULTON ROBERTA</v>
      </c>
      <c r="C9815" s="1" t="str">
        <f>"N BRODWAY 75 FT WS N BROADWAY LOT 35"</f>
        <v>N BRODWAY 75 FT WS N BROADWAY LOT 35</v>
      </c>
      <c r="D9815" s="1">
        <v>4031.42</v>
      </c>
    </row>
    <row r="9816" spans="1:4" x14ac:dyDescent="0.3">
      <c r="A9816" s="1" t="str">
        <f>"04000100300"</f>
        <v>04000100300</v>
      </c>
      <c r="B9816" s="1" t="str">
        <f>"PETTY MICHAEL R"</f>
        <v>PETTY MICHAEL R</v>
      </c>
      <c r="C9816" s="1" t="str">
        <f>"3243 KINGSTON STREET PATZERS SUB 85 "</f>
        <v xml:space="preserve">3243 KINGSTON STREET PATZERS SUB 85 </v>
      </c>
      <c r="D9816" s="1">
        <v>1696.52</v>
      </c>
    </row>
    <row r="9817" spans="1:4" x14ac:dyDescent="0.3">
      <c r="A9817" s="1" t="str">
        <f>"02501231300"</f>
        <v>02501231300</v>
      </c>
      <c r="B9817" s="1" t="str">
        <f>"PETTY TARA, PETTY ROBERT D"</f>
        <v>PETTY TARA, PETTY ROBERT D</v>
      </c>
      <c r="C9817" s="1" t="str">
        <f>"PARK AT HARRISON POND VILLAGES AT ROCKY FORK SECTION 11 LOT 371"</f>
        <v>PARK AT HARRISON POND VILLAGES AT ROCKY FORK SECTION 11 LOT 371</v>
      </c>
      <c r="D9817" s="1">
        <v>5904.62</v>
      </c>
    </row>
    <row r="9818" spans="1:4" x14ac:dyDescent="0.3">
      <c r="A9818" s="1" t="str">
        <f>"01028987100"</f>
        <v>01028987100</v>
      </c>
      <c r="B9818" s="1" t="str">
        <f>"PFAFF GINA"</f>
        <v>PFAFF GINA</v>
      </c>
      <c r="C9818" s="1" t="str">
        <f>"VILLAS AT WEST ALBANY CONDOMINIUM 2ND AMD PH 3 BLDG 7 UNIT 703"</f>
        <v>VILLAS AT WEST ALBANY CONDOMINIUM 2ND AMD PH 3 BLDG 7 UNIT 703</v>
      </c>
      <c r="D9818" s="1">
        <v>3088.37</v>
      </c>
    </row>
    <row r="9819" spans="1:4" x14ac:dyDescent="0.3">
      <c r="A9819" s="1" t="str">
        <f>"01013151200"</f>
        <v>01013151200</v>
      </c>
      <c r="B9819" s="1" t="str">
        <f>"PFAHL COLLEEN"</f>
        <v>PFAHL COLLEEN</v>
      </c>
      <c r="C9819" s="1" t="str">
        <f>"MEDHURST RD FOXCROFT 2 LOT 93"</f>
        <v>MEDHURST RD FOXCROFT 2 LOT 93</v>
      </c>
      <c r="D9819" s="1">
        <v>297.8</v>
      </c>
    </row>
    <row r="9820" spans="1:4" x14ac:dyDescent="0.3">
      <c r="A9820" s="1" t="str">
        <f>"01023978000"</f>
        <v>01023978000</v>
      </c>
      <c r="B9820" s="1" t="str">
        <f>"PFK COMPANY II LLC, TAMARACK ENTERPRISES II"</f>
        <v>PFK COMPANY II LLC, TAMARACK ENTERPRISES II</v>
      </c>
      <c r="C9820" s="1" t="str">
        <f>"CHERRY STREET             THEO COMSTOCKS            PT VAC AL=0.042 ACRE     "</f>
        <v xml:space="preserve">CHERRY STREET             THEO COMSTOCKS            PT VAC AL=0.042 ACRE     </v>
      </c>
      <c r="D9820" s="1">
        <v>99.65</v>
      </c>
    </row>
    <row r="9821" spans="1:4" x14ac:dyDescent="0.3">
      <c r="A9821" s="1" t="str">
        <f>"01002020500"</f>
        <v>01002020500</v>
      </c>
      <c r="B9821" s="1" t="str">
        <f>"PFK COMPANY II LLC, TAMARACK ENTERPRISES II"</f>
        <v>PFK COMPANY II LLC, TAMARACK ENTERPRISES II</v>
      </c>
      <c r="C9821" s="1" t="str">
        <f>"230-254 S 3RD ST          ALL 565 &amp; 63FT OF         566 &amp; ALL LOT 567        "</f>
        <v xml:space="preserve">230-254 S 3RD ST          ALL 565 &amp; 63FT OF         566 &amp; ALL LOT 567        </v>
      </c>
      <c r="D9821" s="1">
        <v>1913.67</v>
      </c>
    </row>
    <row r="9822" spans="1:4" x14ac:dyDescent="0.3">
      <c r="A9822" s="1" t="str">
        <f>"51018071300"</f>
        <v>51018071300</v>
      </c>
      <c r="B9822" s="1" t="str">
        <f>"PFK COMPANY II LLC, TAMARACK ENTERPRISES II"</f>
        <v>PFK COMPANY II LLC, TAMARACK ENTERPRISES II</v>
      </c>
      <c r="C9822" s="1" t="str">
        <f>"S HIGH ST 3 ACRES R22 T4 S21"</f>
        <v>S HIGH ST 3 ACRES R22 T4 S21</v>
      </c>
      <c r="D9822" s="1">
        <v>2.2400000000000002</v>
      </c>
    </row>
    <row r="9823" spans="1:4" x14ac:dyDescent="0.3">
      <c r="A9823" s="1" t="str">
        <f>"01008745000"</f>
        <v>01008745000</v>
      </c>
      <c r="B9823" s="1" t="str">
        <f>"PFLAUM ROBERT A, PFLAUM LORI G, PFLAUM ROBERT A TR"</f>
        <v>PFLAUM ROBERT A, PFLAUM LORI G, PFLAUM ROBERT A TR</v>
      </c>
      <c r="C9823" s="1" t="str">
        <f>"1665 NORTHWEST BLVD PUGH ADDN PT LOT 20"</f>
        <v>1665 NORTHWEST BLVD PUGH ADDN PT LOT 20</v>
      </c>
      <c r="D9823" s="1">
        <v>7865.02</v>
      </c>
    </row>
    <row r="9824" spans="1:4" x14ac:dyDescent="0.3">
      <c r="A9824" s="1" t="str">
        <f>"05000177600"</f>
        <v>05000177600</v>
      </c>
      <c r="B9824" s="1" t="str">
        <f>"PFLIEGER BRENDA"</f>
        <v>PFLIEGER BRENDA</v>
      </c>
      <c r="C9824" s="1" t="str">
        <f>"5163 WYANDOT PLACE LUXAIR 3 LOT 70"</f>
        <v>5163 WYANDOT PLACE LUXAIR 3 LOT 70</v>
      </c>
      <c r="D9824" s="1">
        <v>1490.29</v>
      </c>
    </row>
    <row r="9825" spans="1:4" x14ac:dyDescent="0.3">
      <c r="A9825" s="1" t="str">
        <f>"01008132600"</f>
        <v>01008132600</v>
      </c>
      <c r="B9825" s="1" t="str">
        <f>"PHAM NGHIA"</f>
        <v>PHAM NGHIA</v>
      </c>
      <c r="C9825" s="1" t="str">
        <f>"DRESDEN ST KENMORE LOT 164"</f>
        <v>DRESDEN ST KENMORE LOT 164</v>
      </c>
      <c r="D9825" s="1">
        <v>1325.61</v>
      </c>
    </row>
    <row r="9826" spans="1:4" x14ac:dyDescent="0.3">
      <c r="A9826" s="1" t="str">
        <f>"01013377200"</f>
        <v>01013377200</v>
      </c>
      <c r="B9826" s="1" t="str">
        <f>"PHANTHANAVONG BOUAVONE"</f>
        <v>PHANTHANAVONG BOUAVONE</v>
      </c>
      <c r="C9826" s="1" t="str">
        <f>"LIV-MOOR CT MILTWOOD LOT 43"</f>
        <v>LIV-MOOR CT MILTWOOD LOT 43</v>
      </c>
      <c r="D9826" s="1">
        <v>3908.52</v>
      </c>
    </row>
    <row r="9827" spans="1:4" x14ac:dyDescent="0.3">
      <c r="A9827" s="1" t="str">
        <f>"01010901600"</f>
        <v>01010901600</v>
      </c>
      <c r="B9827" s="1" t="str">
        <f>"PHELLS BRENDA C"</f>
        <v>PHELLS BRENDA C</v>
      </c>
      <c r="C9827" s="1" t="str">
        <f>"BERRELL AVE CAPOCCIO LOT 3"</f>
        <v>BERRELL AVE CAPOCCIO LOT 3</v>
      </c>
      <c r="D9827" s="1">
        <v>56.33</v>
      </c>
    </row>
    <row r="9828" spans="1:4" x14ac:dyDescent="0.3">
      <c r="A9828" s="1" t="str">
        <f>"27300324900"</f>
        <v>27300324900</v>
      </c>
      <c r="B9828" s="1" t="str">
        <f>"PHILLABAUM DANIEL E"</f>
        <v>PHILLABAUM DANIEL E</v>
      </c>
      <c r="C9828" s="1" t="str">
        <f>"6951 GULLWAY BAY DR SHANNON PK SEC2 PH1 EAST END LOT 114"</f>
        <v>6951 GULLWAY BAY DR SHANNON PK SEC2 PH1 EAST END LOT 114</v>
      </c>
      <c r="D9828" s="1">
        <v>315.33999999999997</v>
      </c>
    </row>
    <row r="9829" spans="1:4" x14ac:dyDescent="0.3">
      <c r="A9829" s="1" t="str">
        <f>"24100147300"</f>
        <v>24100147300</v>
      </c>
      <c r="B9829" s="1" t="str">
        <f>"PHILLIPPI JAMES M"</f>
        <v>PHILLIPPI JAMES M</v>
      </c>
      <c r="C9829" s="1" t="str">
        <f>"COLE RD ENTRY 6636 OQ666 2/3 5.001 ACRES"</f>
        <v>COLE RD ENTRY 6636 OQ666 2/3 5.001 ACRES</v>
      </c>
      <c r="D9829" s="1">
        <v>617.65</v>
      </c>
    </row>
    <row r="9830" spans="1:4" x14ac:dyDescent="0.3">
      <c r="A9830" s="1" t="str">
        <f>"27300260800"</f>
        <v>27300260800</v>
      </c>
      <c r="B9830" s="1" t="str">
        <f>"PHILLIPS ALLI TR (THE MCGLONE FAMILY PRESERVATION TRUST DATED DECEMBER 21, 2016)"</f>
        <v>PHILLIPS ALLI TR (THE MCGLONE FAMILY PRESERVATION TRUST DATED DECEMBER 21, 2016)</v>
      </c>
      <c r="C9830" s="1" t="str">
        <f>"6799 FALLEN TIMBERS INDIAN RUN MEADOWS 1 PART 2 LOT 64"</f>
        <v>6799 FALLEN TIMBERS INDIAN RUN MEADOWS 1 PART 2 LOT 64</v>
      </c>
      <c r="D9830" s="1">
        <v>2642.52</v>
      </c>
    </row>
    <row r="9831" spans="1:4" x14ac:dyDescent="0.3">
      <c r="A9831" s="1" t="str">
        <f>"01003717600"</f>
        <v>01003717600</v>
      </c>
      <c r="B9831" s="1" t="str">
        <f>"PHILLIPS ANDREW J"</f>
        <v>PHILLIPS ANDREW J</v>
      </c>
      <c r="C9831" s="1" t="str">
        <f>"ROSEWOOD AVE MEADOW-DALE LOT 27"</f>
        <v>ROSEWOOD AVE MEADOW-DALE LOT 27</v>
      </c>
      <c r="D9831" s="1">
        <v>3001.24</v>
      </c>
    </row>
    <row r="9832" spans="1:4" x14ac:dyDescent="0.3">
      <c r="A9832" s="1" t="str">
        <f>"61017134600"</f>
        <v>61017134600</v>
      </c>
      <c r="B9832" s="1" t="str">
        <f>"PHILLIPS BRIAN T, PHILLIPS EMILY E"</f>
        <v>PHILLIPS BRIAN T, PHILLIPS EMILY E</v>
      </c>
      <c r="C9832" s="1" t="str">
        <f>"CROSS COUNTRY DR WORTHINGVIEW SEC 3 LOT 104"</f>
        <v>CROSS COUNTRY DR WORTHINGVIEW SEC 3 LOT 104</v>
      </c>
      <c r="D9832" s="1">
        <v>427.71</v>
      </c>
    </row>
    <row r="9833" spans="1:4" x14ac:dyDescent="0.3">
      <c r="A9833" s="1" t="str">
        <f>"02501158000"</f>
        <v>02501158000</v>
      </c>
      <c r="B9833" s="1" t="str">
        <f>"PHILLIPS BRIAN, PHILLIPS SARAH"</f>
        <v>PHILLIPS BRIAN, PHILLIPS SARAH</v>
      </c>
      <c r="C9833" s="1" t="str">
        <f>"SPRUCE HILL DRIVE FARM CREEK SECTION 3 LOT 111"</f>
        <v>SPRUCE HILL DRIVE FARM CREEK SECTION 3 LOT 111</v>
      </c>
      <c r="D9833" s="1">
        <v>936.04</v>
      </c>
    </row>
    <row r="9834" spans="1:4" x14ac:dyDescent="0.3">
      <c r="A9834" s="1" t="str">
        <f>"01000636300"</f>
        <v>01000636300</v>
      </c>
      <c r="B9834" s="1" t="str">
        <f>"PHILLIPS COLLIN N"</f>
        <v>PHILLIPS COLLIN N</v>
      </c>
      <c r="C9834" s="1" t="str">
        <f>"2608 INDIANOLA AVE INDIANOLA PK VIEW 2 LOT 271"</f>
        <v>2608 INDIANOLA AVE INDIANOLA PK VIEW 2 LOT 271</v>
      </c>
      <c r="D9834" s="1">
        <v>222.57</v>
      </c>
    </row>
    <row r="9835" spans="1:4" x14ac:dyDescent="0.3">
      <c r="A9835" s="1" t="str">
        <f>"01012610800"</f>
        <v>01012610800</v>
      </c>
      <c r="B9835" s="1" t="str">
        <f>"PHILLIPS D CHANDLER"</f>
        <v>PHILLIPS D CHANDLER</v>
      </c>
      <c r="C9835" s="1" t="str">
        <f>"BRENTNELL AVE BRENTWOOD LOT 10"</f>
        <v>BRENTNELL AVE BRENTWOOD LOT 10</v>
      </c>
      <c r="D9835" s="1">
        <v>112.07</v>
      </c>
    </row>
    <row r="9836" spans="1:4" x14ac:dyDescent="0.3">
      <c r="A9836" s="1" t="str">
        <f>"04000746900"</f>
        <v>04000746900</v>
      </c>
      <c r="B9836" s="1" t="str">
        <f>"PHILLIPS DONALD G TR"</f>
        <v>PHILLIPS DONALD G TR</v>
      </c>
      <c r="C9836" s="1" t="str">
        <f>"SUNDEW AVENUE MEADOW GROVE SEC 8 LOT 295"</f>
        <v>SUNDEW AVENUE MEADOW GROVE SEC 8 LOT 295</v>
      </c>
      <c r="D9836" s="1">
        <v>223.4</v>
      </c>
    </row>
    <row r="9837" spans="1:4" x14ac:dyDescent="0.3">
      <c r="A9837" s="1" t="str">
        <f>"01012128400"</f>
        <v>01012128400</v>
      </c>
      <c r="B9837" s="1" t="str">
        <f>"PHILLIPS HOLLY RENEE"</f>
        <v>PHILLIPS HOLLY RENEE</v>
      </c>
      <c r="C9837" s="1" t="str">
        <f>"1252 STRIEBEL RD PINECREST 2 LOT 242"</f>
        <v>1252 STRIEBEL RD PINECREST 2 LOT 242</v>
      </c>
      <c r="D9837" s="1">
        <v>1028.2</v>
      </c>
    </row>
    <row r="9838" spans="1:4" x14ac:dyDescent="0.3">
      <c r="A9838" s="1" t="str">
        <f>"57015810300"</f>
        <v>57015810300</v>
      </c>
      <c r="B9838" s="1" t="str">
        <f>"PHILLIPS JILLIAN"</f>
        <v>PHILLIPS JILLIAN</v>
      </c>
      <c r="C9838" s="1" t="str">
        <f>"HARDESTY HEIGHTS COND NO Q LOT Q-10"</f>
        <v>HARDESTY HEIGHTS COND NO Q LOT Q-10</v>
      </c>
      <c r="D9838" s="1">
        <v>76.95</v>
      </c>
    </row>
    <row r="9839" spans="1:4" x14ac:dyDescent="0.3">
      <c r="A9839" s="1" t="str">
        <f>"14800059900"</f>
        <v>14800059900</v>
      </c>
      <c r="B9839" s="1" t="str">
        <f>"PHILLIPS LINDA L"</f>
        <v>PHILLIPS LINDA L</v>
      </c>
      <c r="C9839" s="1" t="str">
        <f>"2662 VALLEYVIEW DR VALLEYVIEW 30 "</f>
        <v xml:space="preserve">2662 VALLEYVIEW DR VALLEYVIEW 30 </v>
      </c>
      <c r="D9839" s="1">
        <v>213.63</v>
      </c>
    </row>
    <row r="9840" spans="1:4" x14ac:dyDescent="0.3">
      <c r="A9840" s="1" t="str">
        <f>"01002363200"</f>
        <v>01002363200</v>
      </c>
      <c r="B9840" s="1" t="str">
        <f>"PHILLIPS RYAN P"</f>
        <v>PHILLIPS RYAN P</v>
      </c>
      <c r="C9840" s="1" t="str">
        <f>"GATES ST HOMEVILLE LOT 68"</f>
        <v>GATES ST HOMEVILLE LOT 68</v>
      </c>
      <c r="D9840" s="1">
        <v>1110.1199999999999</v>
      </c>
    </row>
    <row r="9841" spans="1:4" x14ac:dyDescent="0.3">
      <c r="A9841" s="1" t="str">
        <f>"15000138200"</f>
        <v>15000138200</v>
      </c>
      <c r="B9841" s="1" t="str">
        <f>"PHILLIPS WILLIAM J"</f>
        <v>PHILLIPS WILLIAM J</v>
      </c>
      <c r="C9841" s="1" t="str">
        <f>"917 CHERRYDALE AVE HAMILTON MEADOWS 6 LOT 580"</f>
        <v>917 CHERRYDALE AVE HAMILTON MEADOWS 6 LOT 580</v>
      </c>
      <c r="D9841" s="1">
        <v>1862.77</v>
      </c>
    </row>
    <row r="9842" spans="1:4" x14ac:dyDescent="0.3">
      <c r="A9842" s="1" t="str">
        <f>"01010096500"</f>
        <v>01010096500</v>
      </c>
      <c r="B9842" s="1" t="str">
        <f>"PHIMMASAY DEE DEE, PHIMMASAY SOMCHANH"</f>
        <v>PHIMMASAY DEE DEE, PHIMMASAY SOMCHANH</v>
      </c>
      <c r="C9842" s="1" t="str">
        <f>"PICARD RD BERWICK MANOR LOT 19"</f>
        <v>PICARD RD BERWICK MANOR LOT 19</v>
      </c>
      <c r="D9842" s="1">
        <v>2444.2399999999998</v>
      </c>
    </row>
    <row r="9843" spans="1:4" x14ac:dyDescent="0.3">
      <c r="A9843" s="1" t="str">
        <f>"15000130900"</f>
        <v>15000130900</v>
      </c>
      <c r="B9843" s="1" t="str">
        <f>"PHIMMASONE KHAMMONE, PHOUTHAVONG PHIMMASONE"</f>
        <v>PHIMMASONE KHAMMONE, PHOUTHAVONG PHIMMASONE</v>
      </c>
      <c r="C9843" s="1" t="str">
        <f>"MEADOW LN R22 T4 S15 0.115 ACRE"</f>
        <v>MEADOW LN R22 T4 S15 0.115 ACRE</v>
      </c>
      <c r="D9843" s="1">
        <v>128.88999999999999</v>
      </c>
    </row>
    <row r="9844" spans="1:4" x14ac:dyDescent="0.3">
      <c r="A9844" s="1" t="str">
        <f>"15000131600"</f>
        <v>15000131600</v>
      </c>
      <c r="B9844" s="1" t="str">
        <f>"PHIMMASONE KHAMMONE, PHOUTHAVONG PHIMMASONE"</f>
        <v>PHIMMASONE KHAMMONE, PHOUTHAVONG PHIMMASONE</v>
      </c>
      <c r="C9844" s="1" t="str">
        <f>"MEADOW LN R22 T4 S15 0.114 ACRE"</f>
        <v>MEADOW LN R22 T4 S15 0.114 ACRE</v>
      </c>
      <c r="D9844" s="1">
        <v>118.15</v>
      </c>
    </row>
    <row r="9845" spans="1:4" x14ac:dyDescent="0.3">
      <c r="A9845" s="1" t="str">
        <f>"15000044100"</f>
        <v>15000044100</v>
      </c>
      <c r="B9845" s="1" t="str">
        <f>"PHIMMASONE KHAMMONE, PHOUTHAVONG PHIMMASONE"</f>
        <v>PHIMMASONE KHAMMONE, PHOUTHAVONG PHIMMASONE</v>
      </c>
      <c r="C9845" s="1" t="str">
        <f>"1070 MEADOW LN R22 T4 S15 0.092"</f>
        <v>1070 MEADOW LN R22 T4 S15 0.092</v>
      </c>
      <c r="D9845" s="1">
        <v>1738.53</v>
      </c>
    </row>
    <row r="9846" spans="1:4" x14ac:dyDescent="0.3">
      <c r="A9846" s="1" t="str">
        <f>"15000044400"</f>
        <v>15000044400</v>
      </c>
      <c r="B9846" s="1" t="str">
        <f>"PHIMMASONE KHAMMONE, PHOUTHAVONG PHIMMASONE"</f>
        <v>PHIMMASONE KHAMMONE, PHOUTHAVONG PHIMMASONE</v>
      </c>
      <c r="C9846" s="1" t="str">
        <f>"MEADOW LN R22 T4 S15 0.07 ACRE"</f>
        <v>MEADOW LN R22 T4 S15 0.07 ACRE</v>
      </c>
      <c r="D9846" s="1">
        <v>75.19</v>
      </c>
    </row>
    <row r="9847" spans="1:4" x14ac:dyDescent="0.3">
      <c r="A9847" s="1" t="str">
        <f>"01006507700"</f>
        <v>01006507700</v>
      </c>
      <c r="B9847" s="1" t="str">
        <f>"PHINNEY DAVID M"</f>
        <v>PHINNEY DAVID M</v>
      </c>
      <c r="C9847" s="1" t="str">
        <f>"1627 S 4TH ST 40FT ON 4TH ST MERION LOT 5"</f>
        <v>1627 S 4TH ST 40FT ON 4TH ST MERION LOT 5</v>
      </c>
      <c r="D9847" s="1">
        <v>773.07</v>
      </c>
    </row>
    <row r="9848" spans="1:4" x14ac:dyDescent="0.3">
      <c r="A9848" s="1" t="str">
        <f>"24000219500"</f>
        <v>24000219500</v>
      </c>
      <c r="B9848" s="1" t="str">
        <f>"PHIPPS DENNIS R, PHIPPS BRYAN G"</f>
        <v>PHIPPS DENNIS R, PHIPPS BRYAN G</v>
      </c>
      <c r="C9848" s="1" t="str">
        <f>"EVERGREEN TERRACE ROME MANOR LOT 402-3 &amp; PT VAC ALY"</f>
        <v>EVERGREEN TERRACE ROME MANOR LOT 402-3 &amp; PT VAC ALY</v>
      </c>
      <c r="D9848" s="1">
        <v>2655.58</v>
      </c>
    </row>
    <row r="9849" spans="1:4" x14ac:dyDescent="0.3">
      <c r="A9849" s="1" t="str">
        <f>"01018310200"</f>
        <v>01018310200</v>
      </c>
      <c r="B9849" s="1" t="str">
        <f>"PHIPPS GEORGE A, PHIPPS MARSHA M"</f>
        <v>PHIPPS GEORGE A, PHIPPS MARSHA M</v>
      </c>
      <c r="C9849" s="1" t="str">
        <f>"SCOTLAND YARD CONDO UNIT 1641   BLDG 18 "</f>
        <v xml:space="preserve">SCOTLAND YARD CONDO UNIT 1641   BLDG 18 </v>
      </c>
      <c r="D9849" s="1">
        <v>138.11000000000001</v>
      </c>
    </row>
    <row r="9850" spans="1:4" x14ac:dyDescent="0.3">
      <c r="A9850" s="1" t="str">
        <f>"01000005900"</f>
        <v>01000005900</v>
      </c>
      <c r="B9850" s="1" t="str">
        <f>"PI BETA PHI FHC - OHIO BETA LLC"</f>
        <v>PI BETA PHI FHC - OHIO BETA LLC</v>
      </c>
      <c r="C9850" s="1" t="str">
        <f>"E FIFTEENTH AVE INDIANOLA FARM 0.54 ACRE"</f>
        <v>E FIFTEENTH AVE INDIANOLA FARM 0.54 ACRE</v>
      </c>
      <c r="D9850" s="1">
        <v>3382.07</v>
      </c>
    </row>
    <row r="9851" spans="1:4" x14ac:dyDescent="0.3">
      <c r="A9851" s="1" t="str">
        <f>"01003880500"</f>
        <v>01003880500</v>
      </c>
      <c r="B9851" s="1" t="str">
        <f>"PI BETA PHI FHC - OHIO BETA LLC"</f>
        <v>PI BETA PHI FHC - OHIO BETA LLC</v>
      </c>
      <c r="C9851" s="1" t="str">
        <f>"1845 INDIANOLA AVE INDIANOLA FARM 0.495 ACRE"</f>
        <v>1845 INDIANOLA AVE INDIANOLA FARM 0.495 ACRE</v>
      </c>
      <c r="D9851" s="1">
        <v>23295.09</v>
      </c>
    </row>
    <row r="9852" spans="1:4" x14ac:dyDescent="0.3">
      <c r="A9852" s="1" t="str">
        <f>"01011130100"</f>
        <v>01011130100</v>
      </c>
      <c r="B9852" s="1" t="str">
        <f>"PICCININI MARA TR"</f>
        <v>PICCININI MARA TR</v>
      </c>
      <c r="C9852" s="1" t="str">
        <f>"HALDY RD JOAN HEIGHTS 125 FT S E LOT 5"</f>
        <v>HALDY RD JOAN HEIGHTS 125 FT S E LOT 5</v>
      </c>
      <c r="D9852" s="1">
        <v>3260.04</v>
      </c>
    </row>
    <row r="9853" spans="1:4" x14ac:dyDescent="0.3">
      <c r="A9853" s="1" t="str">
        <f>"01011130200"</f>
        <v>01011130200</v>
      </c>
      <c r="B9853" s="1" t="str">
        <f>"PICCININI MARA TR"</f>
        <v>PICCININI MARA TR</v>
      </c>
      <c r="C9853" s="1" t="str">
        <f>"HALDY RD JOAN HEIGHTS 12K FT S E LOT L"</f>
        <v>HALDY RD JOAN HEIGHTS 12K FT S E LOT L</v>
      </c>
      <c r="D9853" s="1">
        <v>3260.04</v>
      </c>
    </row>
    <row r="9854" spans="1:4" x14ac:dyDescent="0.3">
      <c r="A9854" s="1" t="str">
        <f>"07000208900"</f>
        <v>07000208900</v>
      </c>
      <c r="B9854" s="1" t="str">
        <f>"PICCININI MARA TR"</f>
        <v>PICCININI MARA TR</v>
      </c>
      <c r="C9854" s="1" t="str">
        <f>"HIGHLAND DR R 19 T 1 1/4 T 1 .343 ACRE"</f>
        <v>HIGHLAND DR R 19 T 1 1/4 T 1 .343 ACRE</v>
      </c>
      <c r="D9854" s="1">
        <v>11859.98</v>
      </c>
    </row>
    <row r="9855" spans="1:4" x14ac:dyDescent="0.3">
      <c r="A9855" s="1" t="str">
        <f>"01013230600"</f>
        <v>01013230600</v>
      </c>
      <c r="B9855" s="1" t="str">
        <f>"PICCININI MARA TR"</f>
        <v>PICCININI MARA TR</v>
      </c>
      <c r="C9855" s="1" t="str">
        <f>"VANDERBERG AVE WILSHIRE HTS LOT 13-14 BLK 10"</f>
        <v>VANDERBERG AVE WILSHIRE HTS LOT 13-14 BLK 10</v>
      </c>
      <c r="D9855" s="1">
        <v>2735.46</v>
      </c>
    </row>
    <row r="9856" spans="1:4" x14ac:dyDescent="0.3">
      <c r="A9856" s="1" t="str">
        <f>"01007828100"</f>
        <v>01007828100</v>
      </c>
      <c r="B9856" s="1" t="str">
        <f>"PICHARDO ORTIZ VICTOR MANUEL"</f>
        <v>PICHARDO ORTIZ VICTOR MANUEL</v>
      </c>
      <c r="C9856" s="1" t="str">
        <f>"720 S TERRACE AVE WESTLAND EXT LOT 306-307"</f>
        <v>720 S TERRACE AVE WESTLAND EXT LOT 306-307</v>
      </c>
      <c r="D9856" s="1">
        <v>2977.39</v>
      </c>
    </row>
    <row r="9857" spans="1:4" x14ac:dyDescent="0.3">
      <c r="A9857" s="1" t="str">
        <f>"24000630200"</f>
        <v>24000630200</v>
      </c>
      <c r="B9857" s="1" t="str">
        <f>"PICKETT CLYDE BARRY JR, PICKETT MICHELE L"</f>
        <v>PICKETT CLYDE BARRY JR, PICKETT MICHELE L</v>
      </c>
      <c r="C9857" s="1" t="str">
        <f>"JOPLIN CT RESUB LK DARBY EST 4 LOT 1633"</f>
        <v>JOPLIN CT RESUB LK DARBY EST 4 LOT 1633</v>
      </c>
      <c r="D9857" s="1">
        <v>174.8</v>
      </c>
    </row>
    <row r="9858" spans="1:4" x14ac:dyDescent="0.3">
      <c r="A9858" s="1" t="str">
        <f>"18500139000"</f>
        <v>18500139000</v>
      </c>
      <c r="B9858" s="1" t="str">
        <f>"PICKETT SHARRIE LYNN"</f>
        <v>PICKETT SHARRIE LYNN</v>
      </c>
      <c r="C9858" s="1" t="str">
        <f>"HAMILTON RD R21 T11 S21 .510 AC(.056 R/W)"</f>
        <v>HAMILTON RD R21 T11 S21 .510 AC(.056 R/W)</v>
      </c>
      <c r="D9858" s="1">
        <v>1426.61</v>
      </c>
    </row>
    <row r="9859" spans="1:4" x14ac:dyDescent="0.3">
      <c r="A9859" s="1" t="str">
        <f>"59020410800"</f>
        <v>59020410800</v>
      </c>
      <c r="B9859" s="1" t="str">
        <f>"PICKNEY NICOLE M"</f>
        <v>PICKNEY NICOLE M</v>
      </c>
      <c r="C9859" s="1" t="str">
        <f>"GARDENBROOKE STREET MCKITRICK ESTATES SECTION 9 LOT 193"</f>
        <v>GARDENBROOKE STREET MCKITRICK ESTATES SECTION 9 LOT 193</v>
      </c>
      <c r="D9859" s="1">
        <v>3774.21</v>
      </c>
    </row>
    <row r="9860" spans="1:4" x14ac:dyDescent="0.3">
      <c r="A9860" s="1" t="str">
        <f>"01007069800"</f>
        <v>01007069800</v>
      </c>
      <c r="B9860" s="1" t="str">
        <f>"PIDLAOAN VICTORIA, HONTIVEROS SILAHIS"</f>
        <v>PIDLAOAN VICTORIA, HONTIVEROS SILAHIS</v>
      </c>
      <c r="C9860" s="1" t="str">
        <f>"PARKSIDE RD W WESTGATE LOT 265"</f>
        <v>PARKSIDE RD W WESTGATE LOT 265</v>
      </c>
      <c r="D9860" s="1">
        <v>3194.16</v>
      </c>
    </row>
    <row r="9861" spans="1:4" x14ac:dyDescent="0.3">
      <c r="A9861" s="1" t="str">
        <f>"01007722700"</f>
        <v>01007722700</v>
      </c>
      <c r="B9861" s="1" t="str">
        <f>"PIDLAOAN VICTORIO, HONTIVEROS SILAHIS S"</f>
        <v>PIDLAOAN VICTORIO, HONTIVEROS SILAHIS S</v>
      </c>
      <c r="C9861" s="1" t="str">
        <f>"N WESTMOOR AVE NORTHVIEW ON TH HILL TOP LOT 18"</f>
        <v>N WESTMOOR AVE NORTHVIEW ON TH HILL TOP LOT 18</v>
      </c>
      <c r="D9861" s="1">
        <v>3329.22</v>
      </c>
    </row>
    <row r="9862" spans="1:4" x14ac:dyDescent="0.3">
      <c r="A9862" s="1" t="str">
        <f>"01008616100"</f>
        <v>01008616100</v>
      </c>
      <c r="B9862" s="1" t="str">
        <f>"PIEHLER STEVEN E, FRANZEN MARY E"</f>
        <v>PIEHLER STEVEN E, FRANZEN MARY E</v>
      </c>
      <c r="C9862" s="1" t="str">
        <f>"S S LENAPPE DRIVE INDIAN SPRINGS LOT 94"</f>
        <v>S S LENAPPE DRIVE INDIAN SPRINGS LOT 94</v>
      </c>
      <c r="D9862" s="1">
        <v>3007.38</v>
      </c>
    </row>
    <row r="9863" spans="1:4" x14ac:dyDescent="0.3">
      <c r="A9863" s="1" t="str">
        <f>"54522594100"</f>
        <v>54522594100</v>
      </c>
      <c r="B9863" s="1" t="str">
        <f>"PIEHOWICZ BARBARA J TTEE"</f>
        <v>PIEHOWICZ BARBARA J TTEE</v>
      </c>
      <c r="C9863" s="1" t="str">
        <f>"THE NEW ALBANY COUNTRY CLUB SEC 7 LOT 15"</f>
        <v>THE NEW ALBANY COUNTRY CLUB SEC 7 LOT 15</v>
      </c>
      <c r="D9863" s="1">
        <v>1676.05</v>
      </c>
    </row>
    <row r="9864" spans="1:4" x14ac:dyDescent="0.3">
      <c r="A9864" s="1" t="str">
        <f>"05001181200"</f>
        <v>05001181200</v>
      </c>
      <c r="B9864" s="1" t="str">
        <f>"PIERCE THOMAS ALAN"</f>
        <v>PIERCE THOMAS ALAN</v>
      </c>
      <c r="C9864" s="1" t="str">
        <f>"THE COURTYARDS AT CARR FARMS SECTION 5 LOT 253"</f>
        <v>THE COURTYARDS AT CARR FARMS SECTION 5 LOT 253</v>
      </c>
      <c r="D9864" s="1">
        <v>6645.61</v>
      </c>
    </row>
    <row r="9865" spans="1:4" x14ac:dyDescent="0.3">
      <c r="A9865" s="1" t="str">
        <f>"04000742100"</f>
        <v>04000742100</v>
      </c>
      <c r="B9865" s="1" t="str">
        <f>"PIERCE WILLIAM N, PIERCE ROBYN B"</f>
        <v>PIERCE WILLIAM N, PIERCE ROBYN B</v>
      </c>
      <c r="C9865" s="1" t="str">
        <f>"AMD OF PART OF ANNABELLE ROBINSON SUB RESERVE D"</f>
        <v>AMD OF PART OF ANNABELLE ROBINSON SUB RESERVE D</v>
      </c>
      <c r="D9865" s="1">
        <v>94</v>
      </c>
    </row>
    <row r="9866" spans="1:4" x14ac:dyDescent="0.3">
      <c r="A9866" s="1" t="str">
        <f>"01019104400"</f>
        <v>01019104400</v>
      </c>
      <c r="B9866" s="1" t="str">
        <f>"PIERSON ANTHONY"</f>
        <v>PIERSON ANTHONY</v>
      </c>
      <c r="C9866" s="1" t="str">
        <f>"WORTHINGTON FOREST CONDO UNIT 5490 BLDG 3"</f>
        <v>WORTHINGTON FOREST CONDO UNIT 5490 BLDG 3</v>
      </c>
      <c r="D9866" s="1">
        <v>1737.79</v>
      </c>
    </row>
    <row r="9867" spans="1:4" x14ac:dyDescent="0.3">
      <c r="A9867" s="1" t="str">
        <f>"44029365700"</f>
        <v>44029365700</v>
      </c>
      <c r="B9867" s="1" t="str">
        <f>"PIETRZAK AUDREY SUSAN TTEE"</f>
        <v>PIETRZAK AUDREY SUSAN TTEE</v>
      </c>
      <c r="C9867" s="1" t="str">
        <f>"BROADSTONE LOT 30 "</f>
        <v xml:space="preserve">BROADSTONE LOT 30 </v>
      </c>
      <c r="D9867" s="1">
        <v>2.4</v>
      </c>
    </row>
    <row r="9868" spans="1:4" x14ac:dyDescent="0.3">
      <c r="A9868" s="1" t="str">
        <f>"60016388700"</f>
        <v>60016388700</v>
      </c>
      <c r="B9868" s="1" t="str">
        <f>"PIGG LENA M"</f>
        <v>PIGG LENA M</v>
      </c>
      <c r="C9868" s="1" t="str">
        <f>"PEPPERTREE CONDO SEC 1 BLDG 9 UNIT 16"</f>
        <v>PEPPERTREE CONDO SEC 1 BLDG 9 UNIT 16</v>
      </c>
      <c r="D9868" s="1">
        <v>1034.45</v>
      </c>
    </row>
    <row r="9869" spans="1:4" x14ac:dyDescent="0.3">
      <c r="A9869" s="1" t="str">
        <f>"09000152300"</f>
        <v>09000152300</v>
      </c>
      <c r="B9869" s="1" t="str">
        <f>"PIGG PAMELA"</f>
        <v>PIGG PAMELA</v>
      </c>
      <c r="C9869" s="1" t="str">
        <f>"1065 SHADY LANE ROAD WALTER W MORRISONS 1 LOT 5"</f>
        <v>1065 SHADY LANE ROAD WALTER W MORRISONS 1 LOT 5</v>
      </c>
      <c r="D9869" s="1">
        <v>174.66</v>
      </c>
    </row>
    <row r="9870" spans="1:4" x14ac:dyDescent="0.3">
      <c r="A9870" s="1" t="str">
        <f>"04000609800"</f>
        <v>04000609800</v>
      </c>
      <c r="B9870" s="1" t="str">
        <f>"PIGOTT RICHARD C, PIGOTT NANCY S"</f>
        <v>PIGOTT RICHARD C, PIGOTT NANCY S</v>
      </c>
      <c r="C9870" s="1" t="str">
        <f>"3609 JUNIPER ST WEST GROVE SEC 3 LOT 72"</f>
        <v>3609 JUNIPER ST WEST GROVE SEC 3 LOT 72</v>
      </c>
      <c r="D9870" s="1">
        <v>1098.99</v>
      </c>
    </row>
    <row r="9871" spans="1:4" x14ac:dyDescent="0.3">
      <c r="A9871" s="1" t="str">
        <f>"16100036500"</f>
        <v>16100036500</v>
      </c>
      <c r="B9871" s="1" t="str">
        <f>"PIGULKO VLADISLAV"</f>
        <v>PIGULKO VLADISLAV</v>
      </c>
      <c r="C9871" s="1" t="str">
        <f>"2ND AVE URBANCREST LOTS 29-30  BLK 15"</f>
        <v>2ND AVE URBANCREST LOTS 29-30  BLK 15</v>
      </c>
      <c r="D9871" s="1">
        <v>371.75</v>
      </c>
    </row>
    <row r="9872" spans="1:4" x14ac:dyDescent="0.3">
      <c r="A9872" s="1" t="str">
        <f>"01011439600"</f>
        <v>01011439600</v>
      </c>
      <c r="B9872" s="1" t="str">
        <f>"PIGULKO VLADISLAV"</f>
        <v>PIGULKO VLADISLAV</v>
      </c>
      <c r="C9872" s="1" t="str">
        <f>"OLPP AVE 28.38FT WS 4&amp;7.62FT ES 3 MARION PK LOT 3-4"</f>
        <v>OLPP AVE 28.38FT WS 4&amp;7.62FT ES 3 MARION PK LOT 3-4</v>
      </c>
      <c r="D9872" s="1">
        <v>1125.8699999999999</v>
      </c>
    </row>
    <row r="9873" spans="1:4" x14ac:dyDescent="0.3">
      <c r="A9873" s="1" t="str">
        <f>"56027226400"</f>
        <v>56027226400</v>
      </c>
      <c r="B9873" s="1" t="str">
        <f>"PIKE SANDRA M, BROWN HARRY E"</f>
        <v>PIKE SANDRA M, BROWN HARRY E</v>
      </c>
      <c r="C9873" s="1" t="str">
        <f>"THE MILLINGTON CONDOMINIUM AT MILL RUN BLDG G UNIT 50 (GARAGE)"</f>
        <v>THE MILLINGTON CONDOMINIUM AT MILL RUN BLDG G UNIT 50 (GARAGE)</v>
      </c>
      <c r="D9873" s="1">
        <v>111.14</v>
      </c>
    </row>
    <row r="9874" spans="1:4" x14ac:dyDescent="0.3">
      <c r="A9874" s="1" t="str">
        <f>"01001342900"</f>
        <v>01001342900</v>
      </c>
      <c r="B9874" s="1" t="str">
        <f>"PILGER ROB, BROWN ERIN"</f>
        <v>PILGER ROB, BROWN ERIN</v>
      </c>
      <c r="C9874" s="1" t="str">
        <f>"SOUTHWOOD AVE MERION EXRS WS LOT 504"</f>
        <v>SOUTHWOOD AVE MERION EXRS WS LOT 504</v>
      </c>
      <c r="D9874" s="1">
        <v>1219.67</v>
      </c>
    </row>
    <row r="9875" spans="1:4" x14ac:dyDescent="0.3">
      <c r="A9875" s="1" t="str">
        <f>"01000563000"</f>
        <v>01000563000</v>
      </c>
      <c r="B9875" s="1" t="str">
        <f>"PILGER ROBERT, BROWN ERIN"</f>
        <v>PILGER ROBERT, BROWN ERIN</v>
      </c>
      <c r="C9875" s="1" t="str">
        <f>"448 WOODROW AVE WOODROW AVE SEC 41"</f>
        <v>448 WOODROW AVE WOODROW AVE SEC 41</v>
      </c>
      <c r="D9875" s="1">
        <v>1300.9000000000001</v>
      </c>
    </row>
    <row r="9876" spans="1:4" x14ac:dyDescent="0.3">
      <c r="A9876" s="1" t="str">
        <f>"01000664100"</f>
        <v>01000664100</v>
      </c>
      <c r="B9876" s="1" t="str">
        <f>"PILOT DOGS INCORPORATED"</f>
        <v>PILOT DOGS INCORPORATED</v>
      </c>
      <c r="C9876" s="1" t="str">
        <f>"202-4 S SANDUSKY ST MEINERT SUB 1"</f>
        <v>202-4 S SANDUSKY ST MEINERT SUB 1</v>
      </c>
      <c r="D9876" s="1">
        <v>378.75</v>
      </c>
    </row>
    <row r="9877" spans="1:4" x14ac:dyDescent="0.3">
      <c r="A9877" s="1" t="str">
        <f>"01000611500"</f>
        <v>01000611500</v>
      </c>
      <c r="B9877" s="1" t="str">
        <f>"PILOT DOGS INCORPORATED"</f>
        <v>PILOT DOGS INCORPORATED</v>
      </c>
      <c r="C9877" s="1" t="str">
        <f>"210 S SANDUSKY ST MEINERT SUB 4,5,8,9 "</f>
        <v xml:space="preserve">210 S SANDUSKY ST MEINERT SUB 4,5,8,9 </v>
      </c>
      <c r="D9877" s="1">
        <v>4674.1099999999997</v>
      </c>
    </row>
    <row r="9878" spans="1:4" x14ac:dyDescent="0.3">
      <c r="A9878" s="1" t="str">
        <f>"07001377500"</f>
        <v>07001377500</v>
      </c>
      <c r="B9878" s="1" t="str">
        <f>"PILOTTA JOSEPH J, PILOTTA JUDITH"</f>
        <v>PILOTTA JOSEPH J, PILOTTA JUDITH</v>
      </c>
      <c r="C9878" s="1" t="str">
        <f>"ATLEE CT CONCORD VIL CONDO UNIT 4"</f>
        <v>ATLEE CT CONCORD VIL CONDO UNIT 4</v>
      </c>
      <c r="D9878" s="1">
        <v>5667.09</v>
      </c>
    </row>
    <row r="9879" spans="1:4" x14ac:dyDescent="0.3">
      <c r="A9879" s="1" t="str">
        <f>"01016690500"</f>
        <v>01016690500</v>
      </c>
      <c r="B9879" s="1" t="str">
        <f>"PIMENTO KEVIN"</f>
        <v>PIMENTO KEVIN</v>
      </c>
      <c r="C9879" s="1" t="str">
        <f>"2088 ARGYLE DRIVE AMVET HOMESTEAD 2 LOT 33 BLK M"</f>
        <v>2088 ARGYLE DRIVE AMVET HOMESTEAD 2 LOT 33 BLK M</v>
      </c>
      <c r="D9879" s="1">
        <v>957.88</v>
      </c>
    </row>
    <row r="9880" spans="1:4" x14ac:dyDescent="0.3">
      <c r="A9880" s="1" t="str">
        <f>"02501227800"</f>
        <v>02501227800</v>
      </c>
      <c r="B9880" s="1" t="str">
        <f>"PIN REAL ESTATE LLC"</f>
        <v>PIN REAL ESTATE LLC</v>
      </c>
      <c r="C9880" s="1" t="str">
        <f>"CROSSROADS COMMERCE       CENTER BUILDING 5         CONDOMINIUMS UNIT 750I   "</f>
        <v xml:space="preserve">CROSSROADS COMMERCE       CENTER BUILDING 5         CONDOMINIUMS UNIT 750I   </v>
      </c>
      <c r="D9880" s="1">
        <v>685.05</v>
      </c>
    </row>
    <row r="9881" spans="1:4" x14ac:dyDescent="0.3">
      <c r="A9881" s="1" t="str">
        <f>"02501227900"</f>
        <v>02501227900</v>
      </c>
      <c r="B9881" s="1" t="str">
        <f>"PIN REAL ESTATE LLC"</f>
        <v>PIN REAL ESTATE LLC</v>
      </c>
      <c r="C9881" s="1" t="str">
        <f>"CROSSROADS COMMERCE       CENTER BUILDING 5         CONDOMINIUMS UNIT 750J   "</f>
        <v xml:space="preserve">CROSSROADS COMMERCE       CENTER BUILDING 5         CONDOMINIUMS UNIT 750J   </v>
      </c>
      <c r="D9881" s="1">
        <v>740.81</v>
      </c>
    </row>
    <row r="9882" spans="1:4" x14ac:dyDescent="0.3">
      <c r="A9882" s="1" t="str">
        <f>"01003596000"</f>
        <v>01003596000</v>
      </c>
      <c r="B9882" s="1" t="str">
        <f>"PINCKNEY WILLIAM M, PINCKNEY DEBORAH E"</f>
        <v>PINCKNEY WILLIAM M, PINCKNEY DEBORAH E</v>
      </c>
      <c r="C9882" s="1" t="str">
        <f>"189 N 20TH 30 FT N S DE WITT &amp; HOFFMAN LOT 80"</f>
        <v>189 N 20TH 30 FT N S DE WITT &amp; HOFFMAN LOT 80</v>
      </c>
      <c r="D9882" s="1">
        <v>1985.03</v>
      </c>
    </row>
    <row r="9883" spans="1:4" x14ac:dyDescent="0.3">
      <c r="A9883" s="1" t="str">
        <f>"01008235100"</f>
        <v>01008235100</v>
      </c>
      <c r="B9883" s="1" t="str">
        <f>"PINDELL FREDERICK M"</f>
        <v>PINDELL FREDERICK M</v>
      </c>
      <c r="C9883" s="1" t="str">
        <f>"HARDESTY VILLAGE CONDOMINIUM NO U UNIT U-8"</f>
        <v>HARDESTY VILLAGE CONDOMINIUM NO U UNIT U-8</v>
      </c>
      <c r="D9883" s="1">
        <v>2085.56</v>
      </c>
    </row>
    <row r="9884" spans="1:4" x14ac:dyDescent="0.3">
      <c r="A9884" s="1" t="str">
        <f>"01028024400"</f>
        <v>01028024400</v>
      </c>
      <c r="B9884" s="1" t="str">
        <f>"PINEDA DE GYVEZ JOSE DE JESUS TR, PINEDA RICARDO JOSE, JURLING NELLEKE TR"</f>
        <v>PINEDA DE GYVEZ JOSE DE JESUS TR, PINEDA RICARDO JOSE, JURLING NELLEKE TR</v>
      </c>
      <c r="C9884" s="1" t="str">
        <f>"CONDOMINIUM ON HIGHLAND UNIT 1086"</f>
        <v>CONDOMINIUM ON HIGHLAND UNIT 1086</v>
      </c>
      <c r="D9884" s="1">
        <v>1993.44</v>
      </c>
    </row>
    <row r="9885" spans="1:4" x14ac:dyDescent="0.3">
      <c r="A9885" s="1" t="str">
        <f>"01000265500"</f>
        <v>01000265500</v>
      </c>
      <c r="B9885" s="1" t="str">
        <f>"PINGEL NATHAN, PINGEL LORI E"</f>
        <v>PINGEL NATHAN, PINGEL LORI E</v>
      </c>
      <c r="C9885" s="1" t="str">
        <f>"426 E WHITTIER ST KAMPMAN &amp; BUEHL LOT 33 OUT 4"</f>
        <v>426 E WHITTIER ST KAMPMAN &amp; BUEHL LOT 33 OUT 4</v>
      </c>
      <c r="D9885" s="1">
        <v>236.82</v>
      </c>
    </row>
    <row r="9886" spans="1:4" x14ac:dyDescent="0.3">
      <c r="A9886" s="1" t="str">
        <f>"61022436500"</f>
        <v>61022436500</v>
      </c>
      <c r="B9886" s="1" t="str">
        <f>"PINGUE GIUSEPPE A SR"</f>
        <v>PINGUE GIUSEPPE A SR</v>
      </c>
      <c r="C9886" s="1" t="str">
        <f>"718 WORTH WOODS BLVD KEYS PRO CENTER CONDO UNIT 718"</f>
        <v>718 WORTH WOODS BLVD KEYS PRO CENTER CONDO UNIT 718</v>
      </c>
      <c r="D9886" s="1">
        <v>3496.56</v>
      </c>
    </row>
    <row r="9887" spans="1:4" x14ac:dyDescent="0.3">
      <c r="A9887" s="1" t="str">
        <f>"61022436600"</f>
        <v>61022436600</v>
      </c>
      <c r="B9887" s="1" t="str">
        <f>"PINGUE GIUSEPPE A SR"</f>
        <v>PINGUE GIUSEPPE A SR</v>
      </c>
      <c r="C9887" s="1" t="str">
        <f>"720 WORTH WOODS BLVD KEYS PRO CENTER CONDO UNIT 720"</f>
        <v>720 WORTH WOODS BLVD KEYS PRO CENTER CONDO UNIT 720</v>
      </c>
      <c r="D9887" s="1">
        <v>3470.01</v>
      </c>
    </row>
    <row r="9888" spans="1:4" x14ac:dyDescent="0.3">
      <c r="A9888" s="1" t="str">
        <f>"01019923000"</f>
        <v>01019923000</v>
      </c>
      <c r="B9888" s="1" t="str">
        <f>"PINKSTON BEULAH C"</f>
        <v>PINKSTON BEULAH C</v>
      </c>
      <c r="C9888" s="1" t="str">
        <f>"STORNOWAY DR S MCNAUGHTEN COM CONDO BLDG 18 UNIT 6119"</f>
        <v>STORNOWAY DR S MCNAUGHTEN COM CONDO BLDG 18 UNIT 6119</v>
      </c>
      <c r="D9888" s="1">
        <v>2525.73</v>
      </c>
    </row>
    <row r="9889" spans="1:4" x14ac:dyDescent="0.3">
      <c r="A9889" s="1" t="str">
        <f>"01007115200"</f>
        <v>01007115200</v>
      </c>
      <c r="B9889" s="1" t="str">
        <f>"PINNACLE 1REALTY LTD"</f>
        <v>PINNACLE 1REALTY LTD</v>
      </c>
      <c r="C9889" s="1" t="str">
        <f>"CLEVELAND AVE NORTH LAWN LOT 1"</f>
        <v>CLEVELAND AVE NORTH LAWN LOT 1</v>
      </c>
      <c r="D9889" s="1">
        <v>2704.5</v>
      </c>
    </row>
    <row r="9890" spans="1:4" x14ac:dyDescent="0.3">
      <c r="A9890" s="1" t="str">
        <f>"01013089100"</f>
        <v>01013089100</v>
      </c>
      <c r="B9890" s="1" t="str">
        <f>"PINTO MURCIA JOSE NELSON"</f>
        <v>PINTO MURCIA JOSE NELSON</v>
      </c>
      <c r="C9890" s="1" t="str">
        <f>"WATKINS RD KEYSQUARE LOT 5"</f>
        <v>WATKINS RD KEYSQUARE LOT 5</v>
      </c>
      <c r="D9890" s="1">
        <v>544.76</v>
      </c>
    </row>
    <row r="9891" spans="1:4" x14ac:dyDescent="0.3">
      <c r="A9891" s="1" t="str">
        <f>"01013089200"</f>
        <v>01013089200</v>
      </c>
      <c r="B9891" s="1" t="str">
        <f>"PINTO MURCIA JOSE NELSON"</f>
        <v>PINTO MURCIA JOSE NELSON</v>
      </c>
      <c r="C9891" s="1" t="str">
        <f>"WATKINS RD KEYSQUARE LOT 6"</f>
        <v>WATKINS RD KEYSQUARE LOT 6</v>
      </c>
      <c r="D9891" s="1">
        <v>5194.03</v>
      </c>
    </row>
    <row r="9892" spans="1:4" x14ac:dyDescent="0.3">
      <c r="A9892" s="1" t="str">
        <f>"01011585000"</f>
        <v>01011585000</v>
      </c>
      <c r="B9892" s="1" t="str">
        <f>"PINTO MURCIA JOSE NELSON"</f>
        <v>PINTO MURCIA JOSE NELSON</v>
      </c>
      <c r="C9892" s="1" t="str">
        <f>"SOUTHEAST LOT 30 "</f>
        <v xml:space="preserve">SOUTHEAST LOT 30 </v>
      </c>
      <c r="D9892" s="1">
        <v>3252.76</v>
      </c>
    </row>
    <row r="9893" spans="1:4" x14ac:dyDescent="0.3">
      <c r="A9893" s="1" t="str">
        <f>"01007466300"</f>
        <v>01007466300</v>
      </c>
      <c r="B9893" s="1" t="str">
        <f>"PIONEER VINEYARD LLC"</f>
        <v>PIONEER VINEYARD LLC</v>
      </c>
      <c r="C9893" s="1" t="str">
        <f>"VELMA ST HIAWATHA PK PLC LOT 89"</f>
        <v>VELMA ST HIAWATHA PK PLC LOT 89</v>
      </c>
      <c r="D9893" s="1">
        <v>1726.65</v>
      </c>
    </row>
    <row r="9894" spans="1:4" x14ac:dyDescent="0.3">
      <c r="A9894" s="1" t="str">
        <f>"01011897500"</f>
        <v>01011897500</v>
      </c>
      <c r="B9894" s="1" t="str">
        <f>"PIPER CLIFFORD"</f>
        <v>PIPER CLIFFORD</v>
      </c>
      <c r="C9894" s="1" t="str">
        <f>"LIV-MOOR DR LIV-MOOR HTS 4 LOT 85"</f>
        <v>LIV-MOOR DR LIV-MOOR HTS 4 LOT 85</v>
      </c>
      <c r="D9894" s="1">
        <v>198.79</v>
      </c>
    </row>
    <row r="9895" spans="1:4" x14ac:dyDescent="0.3">
      <c r="A9895" s="1" t="str">
        <f>"06000075900"</f>
        <v>06000075900</v>
      </c>
      <c r="B9895" s="1" t="str">
        <f>"PIPPIN SUSANNE TOD"</f>
        <v>PIPPIN SUSANNE TOD</v>
      </c>
      <c r="C9895" s="1" t="str">
        <f>"WARWICK AVE BROOKSIDE PARK 2 LOT 335"</f>
        <v>WARWICK AVE BROOKSIDE PARK 2 LOT 335</v>
      </c>
      <c r="D9895" s="1">
        <v>141.44999999999999</v>
      </c>
    </row>
    <row r="9896" spans="1:4" x14ac:dyDescent="0.3">
      <c r="A9896" s="1" t="str">
        <f>"01013111600"</f>
        <v>01013111600</v>
      </c>
      <c r="B9896" s="1" t="str">
        <f>"PISANELLI NICOLE"</f>
        <v>PISANELLI NICOLE</v>
      </c>
      <c r="C9896" s="1" t="str">
        <f>"BRENTWOOD PARK 4 LOT 22 "</f>
        <v xml:space="preserve">BRENTWOOD PARK 4 LOT 22 </v>
      </c>
      <c r="D9896" s="1">
        <v>5811.12</v>
      </c>
    </row>
    <row r="9897" spans="1:4" x14ac:dyDescent="0.3">
      <c r="A9897" s="1" t="str">
        <f>"05000073400"</f>
        <v>05000073400</v>
      </c>
      <c r="B9897" s="1" t="str">
        <f>"PITTENGER JOSEPH J II"</f>
        <v>PITTENGER JOSEPH J II</v>
      </c>
      <c r="C9897" s="1" t="str">
        <f>"4282 PACKARD DRIVE AVERY RD LOT 112"</f>
        <v>4282 PACKARD DRIVE AVERY RD LOT 112</v>
      </c>
      <c r="D9897" s="1">
        <v>5731.99</v>
      </c>
    </row>
    <row r="9898" spans="1:4" x14ac:dyDescent="0.3">
      <c r="A9898" s="1" t="str">
        <f>"01008772200"</f>
        <v>01008772200</v>
      </c>
      <c r="B9898" s="1" t="str">
        <f>"PITTS EARNIKA A"</f>
        <v>PITTS EARNIKA A</v>
      </c>
      <c r="C9898" s="1" t="str">
        <f>"KINGSLEA RD 53 FT ES 187 BERWICK LOT 187"</f>
        <v>KINGSLEA RD 53 FT ES 187 BERWICK LOT 187</v>
      </c>
      <c r="D9898" s="1">
        <v>2352.1</v>
      </c>
    </row>
    <row r="9899" spans="1:4" x14ac:dyDescent="0.3">
      <c r="A9899" s="1" t="str">
        <f>"01007304900"</f>
        <v>01007304900</v>
      </c>
      <c r="B9899" s="1" t="str">
        <f>"PIVOT PROPERTIES AND INVESTMENTS LLC"</f>
        <v>PIVOT PROPERTIES AND INVESTMENTS LLC</v>
      </c>
      <c r="C9899" s="1" t="str">
        <f>"ATWOOD TERRACE ALMADA LOT 78"</f>
        <v>ATWOOD TERRACE ALMADA LOT 78</v>
      </c>
      <c r="D9899" s="1">
        <v>200</v>
      </c>
    </row>
    <row r="9900" spans="1:4" x14ac:dyDescent="0.3">
      <c r="A9900" s="1" t="str">
        <f>"01004075200"</f>
        <v>01004075200</v>
      </c>
      <c r="B9900" s="1" t="str">
        <f>"PIVOTAU LLC"</f>
        <v>PIVOTAU LLC</v>
      </c>
      <c r="C9900" s="1" t="str">
        <f>"209 W 3RD AVE COLLINS ATKINSON &amp; GUITNER LOT 109"</f>
        <v>209 W 3RD AVE COLLINS ATKINSON &amp; GUITNER LOT 109</v>
      </c>
      <c r="D9900" s="1">
        <v>2629.98</v>
      </c>
    </row>
    <row r="9901" spans="1:4" x14ac:dyDescent="0.3">
      <c r="A9901" s="1" t="str">
        <f>"01003622300"</f>
        <v>01003622300</v>
      </c>
      <c r="B9901" s="1" t="str">
        <f>"PIVOTAU LLC"</f>
        <v>PIVOTAU LLC</v>
      </c>
      <c r="C9901" s="1" t="str">
        <f>"215 W 3RD AVE COLLINS ATKINSON &amp; GUITNER LOT 109"</f>
        <v>215 W 3RD AVE COLLINS ATKINSON &amp; GUITNER LOT 109</v>
      </c>
      <c r="D9901" s="1">
        <v>2635.29</v>
      </c>
    </row>
    <row r="9902" spans="1:4" x14ac:dyDescent="0.3">
      <c r="A9902" s="1" t="str">
        <f>"01003056700"</f>
        <v>01003056700</v>
      </c>
      <c r="B9902" s="1" t="str">
        <f>"PIVOTAU LLC"</f>
        <v>PIVOTAU LLC</v>
      </c>
      <c r="C9902" s="1" t="str">
        <f>"224 WILBER AVE NEIL PLACE LOT 11"</f>
        <v>224 WILBER AVE NEIL PLACE LOT 11</v>
      </c>
      <c r="D9902" s="1">
        <v>4712.33</v>
      </c>
    </row>
    <row r="9903" spans="1:4" x14ac:dyDescent="0.3">
      <c r="A9903" s="1" t="str">
        <f>"01014309700"</f>
        <v>01014309700</v>
      </c>
      <c r="B9903" s="1" t="str">
        <f>"PIZZA SHOP ECONOMICS LLC"</f>
        <v>PIZZA SHOP ECONOMICS LLC</v>
      </c>
      <c r="C9903" s="1" t="str">
        <f>"3882-4 SULLIVANT AVE WESTVIEW IND PARK PT LOT 18"</f>
        <v>3882-4 SULLIVANT AVE WESTVIEW IND PARK PT LOT 18</v>
      </c>
      <c r="D9903" s="1">
        <v>9496.94</v>
      </c>
    </row>
    <row r="9904" spans="1:4" x14ac:dyDescent="0.3">
      <c r="A9904" s="1" t="str">
        <f>"04000761800"</f>
        <v>04000761800</v>
      </c>
      <c r="B9904" s="1" t="str">
        <f>"PIZZURRO MARK S, PIZZURRO KARLA S"</f>
        <v>PIZZURRO MARK S, PIZZURRO KARLA S</v>
      </c>
      <c r="C9904" s="1" t="str">
        <f>"HOOVER CROSSING SECTION 1 LOT 51"</f>
        <v>HOOVER CROSSING SECTION 1 LOT 51</v>
      </c>
      <c r="D9904" s="1">
        <v>284.36</v>
      </c>
    </row>
    <row r="9905" spans="1:4" x14ac:dyDescent="0.3">
      <c r="A9905" s="1" t="str">
        <f>"01008024900"</f>
        <v>01008024900</v>
      </c>
      <c r="B9905" s="1" t="str">
        <f>"PKI DEVELOPMENTS LLC"</f>
        <v>PKI DEVELOPMENTS LLC</v>
      </c>
      <c r="C9905" s="1" t="str">
        <f>"LENOX LOT 159  "</f>
        <v xml:space="preserve">LENOX LOT 159  </v>
      </c>
      <c r="D9905" s="1">
        <v>457.59</v>
      </c>
    </row>
    <row r="9906" spans="1:4" x14ac:dyDescent="0.3">
      <c r="A9906" s="1" t="str">
        <f>"14000565500"</f>
        <v>14000565500</v>
      </c>
      <c r="B9906" s="1" t="str">
        <f>"PKI HOLDINGS LLC"</f>
        <v>PKI HOLDINGS LLC</v>
      </c>
      <c r="C9906" s="1" t="str">
        <f>"MARSDALE AVE WESTBROOK 55 "</f>
        <v xml:space="preserve">MARSDALE AVE WESTBROOK 55 </v>
      </c>
      <c r="D9906" s="1">
        <v>518.42999999999995</v>
      </c>
    </row>
    <row r="9907" spans="1:4" x14ac:dyDescent="0.3">
      <c r="A9907" s="1" t="str">
        <f>"01004262900"</f>
        <v>01004262900</v>
      </c>
      <c r="B9907" s="1" t="str">
        <f>"PKPP ALPHA NU LLC"</f>
        <v>PKPP ALPHA NU LLC</v>
      </c>
      <c r="C9907" s="1" t="str">
        <f>"200 E 15TH AVE INDIANOLA FARM "</f>
        <v xml:space="preserve">200 E 15TH AVE INDIANOLA FARM </v>
      </c>
      <c r="D9907" s="1">
        <v>3447.29</v>
      </c>
    </row>
    <row r="9908" spans="1:4" x14ac:dyDescent="0.3">
      <c r="A9908" s="1" t="str">
        <f>"59017275900"</f>
        <v>59017275900</v>
      </c>
      <c r="B9908" s="1" t="str">
        <f>"PLACE SHIRLEY A"</f>
        <v>PLACE SHIRLEY A</v>
      </c>
      <c r="C9908" s="1" t="str">
        <f>"CRESTON COURT RIVERSIDE GREEN SEC4 LOT 173"</f>
        <v>CRESTON COURT RIVERSIDE GREEN SEC4 LOT 173</v>
      </c>
      <c r="D9908" s="1">
        <v>4014.7</v>
      </c>
    </row>
    <row r="9909" spans="1:4" x14ac:dyDescent="0.3">
      <c r="A9909" s="1" t="str">
        <f>"01006061000"</f>
        <v>01006061000</v>
      </c>
      <c r="B9909" s="1" t="str">
        <f>"PLANE REAL ESTATE LLC"</f>
        <v>PLANE REAL ESTATE LLC</v>
      </c>
      <c r="C9909" s="1" t="str">
        <f>"19TH AVE WALDEMERE LOT 382"</f>
        <v>19TH AVE WALDEMERE LOT 382</v>
      </c>
      <c r="D9909" s="1">
        <v>1733.68</v>
      </c>
    </row>
    <row r="9910" spans="1:4" x14ac:dyDescent="0.3">
      <c r="A9910" s="1" t="str">
        <f>"01001688100"</f>
        <v>01001688100</v>
      </c>
      <c r="B9910" s="1" t="str">
        <f>"PLANK DONALD T TR"</f>
        <v>PLANK DONALD T TR</v>
      </c>
      <c r="C9910" s="1" t="str">
        <f>"888 S HIGH ST             JAEGER                    LOT 83                   "</f>
        <v xml:space="preserve">888 S HIGH ST             JAEGER                    LOT 83                   </v>
      </c>
      <c r="D9910" s="1">
        <v>6578.68</v>
      </c>
    </row>
    <row r="9911" spans="1:4" x14ac:dyDescent="0.3">
      <c r="A9911" s="1" t="str">
        <f>"01010086400"</f>
        <v>01010086400</v>
      </c>
      <c r="B9911" s="1" t="str">
        <f>"PLANNED PARENTHOOD OF GREATER OHIO"</f>
        <v>PLANNED PARENTHOOD OF GREATER OHIO</v>
      </c>
      <c r="C9911" s="1" t="str">
        <f>".625 ACRE                 RESUB GOODALE             URBAN RENEWAL B 4        "</f>
        <v xml:space="preserve">.625 ACRE                 RESUB GOODALE             URBAN RENEWAL B 4        </v>
      </c>
      <c r="D9911" s="1">
        <v>3831.66</v>
      </c>
    </row>
    <row r="9912" spans="1:4" x14ac:dyDescent="0.3">
      <c r="A9912" s="1" t="str">
        <f>"18000208500"</f>
        <v>18000208500</v>
      </c>
      <c r="B9912" s="1" t="str">
        <f>"PLAYHOUSE PROPERTIES LLC"</f>
        <v>PLAYHOUSE PROPERTIES LLC</v>
      </c>
      <c r="C9912" s="1" t="str">
        <f>"EVANSTON RD BLACKLICK ESTATES 1 227"</f>
        <v>EVANSTON RD BLACKLICK ESTATES 1 227</v>
      </c>
      <c r="D9912" s="1">
        <v>2901.23</v>
      </c>
    </row>
    <row r="9913" spans="1:4" x14ac:dyDescent="0.3">
      <c r="A9913" s="1" t="str">
        <f>"09000546500"</f>
        <v>09000546500</v>
      </c>
      <c r="B9913" s="1" t="str">
        <f>"PLAZA INTERNATIONAL PROPERTIES LLC"</f>
        <v>PLAZA INTERNATIONAL PROPERTIES LLC</v>
      </c>
      <c r="C9913" s="1" t="str">
        <f>"4352 E BROAD ST           1.067 ACRES               R21 T12 S5 1/2S5         "</f>
        <v xml:space="preserve">4352 E BROAD ST           1.067 ACRES               R21 T12 S5 1/2S5         </v>
      </c>
      <c r="D9913" s="1">
        <v>20409.37</v>
      </c>
    </row>
    <row r="9914" spans="1:4" x14ac:dyDescent="0.3">
      <c r="A9914" s="1" t="str">
        <f>"09000062700"</f>
        <v>09000062700</v>
      </c>
      <c r="B9914" s="1" t="str">
        <f>"PLAZA INTERNATIONAL PROPERTIES LLC"</f>
        <v>PLAZA INTERNATIONAL PROPERTIES LLC</v>
      </c>
      <c r="C9914" s="1" t="str">
        <f>"4210 E BROAD ST 1 ACRE R 21 T 12 S 5 1-4S 5"</f>
        <v>4210 E BROAD ST 1 ACRE R 21 T 12 S 5 1-4S 5</v>
      </c>
      <c r="D9914" s="1">
        <v>15169.38</v>
      </c>
    </row>
    <row r="9915" spans="1:4" x14ac:dyDescent="0.3">
      <c r="A9915" s="1" t="str">
        <f>"01013721300"</f>
        <v>01013721300</v>
      </c>
      <c r="B9915" s="1" t="str">
        <f>"PLEASANT DENZIL D"</f>
        <v>PLEASANT DENZIL D</v>
      </c>
      <c r="C9915" s="1" t="str">
        <f>"PENFIELD RD HAVILAND 1 LOT 60"</f>
        <v>PENFIELD RD HAVILAND 1 LOT 60</v>
      </c>
      <c r="D9915" s="1">
        <v>1526.42</v>
      </c>
    </row>
    <row r="9916" spans="1:4" x14ac:dyDescent="0.3">
      <c r="A9916" s="1" t="str">
        <f>"01001202300"</f>
        <v>01001202300</v>
      </c>
      <c r="B9916" s="1" t="str">
        <f>"PLEITEZ DOUGLAS"</f>
        <v>PLEITEZ DOUGLAS</v>
      </c>
      <c r="C9916" s="1" t="str">
        <f>"WREXHAM AVE GLENWOOD LOT 51"</f>
        <v>WREXHAM AVE GLENWOOD LOT 51</v>
      </c>
      <c r="D9916" s="1">
        <v>649.72</v>
      </c>
    </row>
    <row r="9917" spans="1:4" x14ac:dyDescent="0.3">
      <c r="A9917" s="1" t="str">
        <f>"01009610300"</f>
        <v>01009610300</v>
      </c>
      <c r="B9917" s="1" t="str">
        <f>"PLETCHER TERRY W"</f>
        <v>PLETCHER TERRY W</v>
      </c>
      <c r="C9917" s="1" t="str">
        <f>"KIMBERLY VILLAS CONDOMINIUM PHASE VII BLDG 56 UNIT B"</f>
        <v>KIMBERLY VILLAS CONDOMINIUM PHASE VII BLDG 56 UNIT B</v>
      </c>
      <c r="D9917" s="1">
        <v>745.89</v>
      </c>
    </row>
    <row r="9918" spans="1:4" x14ac:dyDescent="0.3">
      <c r="A9918" s="1" t="str">
        <f>"01006997800"</f>
        <v>01006997800</v>
      </c>
      <c r="B9918" s="1" t="str">
        <f>"PLOTT DARCEILIA T"</f>
        <v>PLOTT DARCEILIA T</v>
      </c>
      <c r="C9918" s="1" t="str">
        <f>"N STAR RD LAIRDS PARCELS LOT 7-6"</f>
        <v>N STAR RD LAIRDS PARCELS LOT 7-6</v>
      </c>
      <c r="D9918" s="1">
        <v>7135.68</v>
      </c>
    </row>
    <row r="9919" spans="1:4" x14ac:dyDescent="0.3">
      <c r="A9919" s="1" t="str">
        <f>"07001475700"</f>
        <v>07001475700</v>
      </c>
      <c r="B9919" s="1" t="str">
        <f>"PLUMMER CAREEN LYN, PLUMMER CHARLES KEITH"</f>
        <v>PLUMMER CAREEN LYN, PLUMMER CHARLES KEITH</v>
      </c>
      <c r="C9919" s="1" t="str">
        <f>"ARLINGTON CROSSING        CONDOMINIUM 13TH AMD      UNIT 404                 "</f>
        <v xml:space="preserve">ARLINGTON CROSSING        CONDOMINIUM 13TH AMD      UNIT 404                 </v>
      </c>
      <c r="D9919" s="1">
        <v>457.73</v>
      </c>
    </row>
    <row r="9920" spans="1:4" x14ac:dyDescent="0.3">
      <c r="A9920" s="1" t="str">
        <f>"04000323600"</f>
        <v>04000323600</v>
      </c>
      <c r="B9920" s="1" t="str">
        <f>"PLUTH MELISSA"</f>
        <v>PLUTH MELISSA</v>
      </c>
      <c r="C9920" s="1" t="str">
        <f>"3104 BARBEE AVENUE RE-SUB PT BARFIELD HTS 1 LOT 94"</f>
        <v>3104 BARBEE AVENUE RE-SUB PT BARFIELD HTS 1 LOT 94</v>
      </c>
      <c r="D9920" s="1">
        <v>4405.59</v>
      </c>
    </row>
    <row r="9921" spans="1:4" x14ac:dyDescent="0.3">
      <c r="A9921" s="1" t="str">
        <f>"51529228300"</f>
        <v>51529228300</v>
      </c>
      <c r="B9921" s="1" t="str">
        <f>"PLUTUS VENTURES LLC"</f>
        <v>PLUTUS VENTURES LLC</v>
      </c>
      <c r="C9921" s="1" t="str">
        <f>"CEDAR RUN SECTION 4 PART 2 LOT 450"</f>
        <v>CEDAR RUN SECTION 4 PART 2 LOT 450</v>
      </c>
      <c r="D9921" s="1">
        <v>149.41</v>
      </c>
    </row>
    <row r="9922" spans="1:4" x14ac:dyDescent="0.3">
      <c r="A9922" s="1" t="str">
        <f>"01030839100"</f>
        <v>01030839100</v>
      </c>
      <c r="B9922" s="1" t="str">
        <f>"PLUTUS VENTURES LLC"</f>
        <v>PLUTUS VENTURES LLC</v>
      </c>
      <c r="C9922" s="1" t="str">
        <f>"HAMILTON WOODS BLVD S TOWNES AT HAMILTON WOODS LOT 51"</f>
        <v>HAMILTON WOODS BLVD S TOWNES AT HAMILTON WOODS LOT 51</v>
      </c>
      <c r="D9922" s="1">
        <v>4.0599999999999996</v>
      </c>
    </row>
    <row r="9923" spans="1:4" x14ac:dyDescent="0.3">
      <c r="A9923" s="1" t="str">
        <f>"01010471200"</f>
        <v>01010471200</v>
      </c>
      <c r="B9923" s="1" t="str">
        <f>"PMM PROPERTIES LLC"</f>
        <v>PMM PROPERTIES LLC</v>
      </c>
      <c r="C9923" s="1" t="str">
        <f>"DUBLIN RD CRE .652 R23T1 S2-11"</f>
        <v>DUBLIN RD CRE .652 R23T1 S2-11</v>
      </c>
      <c r="D9923" s="1">
        <v>50844</v>
      </c>
    </row>
    <row r="9924" spans="1:4" x14ac:dyDescent="0.3">
      <c r="A9924" s="1" t="str">
        <f>"01012897200"</f>
        <v>01012897200</v>
      </c>
      <c r="B9924" s="1" t="str">
        <f>"PMM PROPERTIES LLC"</f>
        <v>PMM PROPERTIES LLC</v>
      </c>
      <c r="C9924" s="1" t="str">
        <f>"DUBLIN RD ACRES .507 R23T1 SEC 2-11"</f>
        <v>DUBLIN RD ACRES .507 R23T1 SEC 2-11</v>
      </c>
      <c r="D9924" s="1">
        <v>10485.07</v>
      </c>
    </row>
    <row r="9925" spans="1:4" x14ac:dyDescent="0.3">
      <c r="A9925" s="1" t="str">
        <f>"10000005000"</f>
        <v>10000005000</v>
      </c>
      <c r="B9925" s="1" t="str">
        <f>"POAGA LLC"</f>
        <v>POAGA LLC</v>
      </c>
      <c r="C9925" s="1" t="str">
        <f>"891 N HIGH ST PT LOT 21 CITY OF WORTHINGTON"</f>
        <v>891 N HIGH ST PT LOT 21 CITY OF WORTHINGTON</v>
      </c>
      <c r="D9925" s="1">
        <v>482.2</v>
      </c>
    </row>
    <row r="9926" spans="1:4" x14ac:dyDescent="0.3">
      <c r="A9926" s="1" t="str">
        <f>"60020677700"</f>
        <v>60020677700</v>
      </c>
      <c r="B9926" s="1" t="str">
        <f>"PODKIN PHYLLIS"</f>
        <v>PODKIN PHYLLIS</v>
      </c>
      <c r="C9926" s="1" t="str">
        <f>"BERRYFIELD DRIVE STRAWBERRY FIELDS LOT 5"</f>
        <v>BERRYFIELD DRIVE STRAWBERRY FIELDS LOT 5</v>
      </c>
      <c r="D9926" s="1">
        <v>177.75</v>
      </c>
    </row>
    <row r="9927" spans="1:4" x14ac:dyDescent="0.3">
      <c r="A9927" s="1" t="str">
        <f>"01016229600"</f>
        <v>01016229600</v>
      </c>
      <c r="B9927" s="1" t="str">
        <f>"PODRECCA ADELCHI, PODRECCA AGNESINA"</f>
        <v>PODRECCA ADELCHI, PODRECCA AGNESINA</v>
      </c>
      <c r="C9927" s="1" t="str">
        <f>"SWEETGUM PLACE FOREST PARK EAST S12 LOT 1499"</f>
        <v>SWEETGUM PLACE FOREST PARK EAST S12 LOT 1499</v>
      </c>
      <c r="D9927" s="1">
        <v>210.28</v>
      </c>
    </row>
    <row r="9928" spans="1:4" x14ac:dyDescent="0.3">
      <c r="A9928" s="1" t="str">
        <f>"53017050800"</f>
        <v>53017050800</v>
      </c>
      <c r="B9928" s="1" t="str">
        <f>"POE ROBERT P JR"</f>
        <v>POE ROBERT P JR</v>
      </c>
      <c r="C9928" s="1" t="str">
        <f>"LIBERTY BELL LANE INDEPENDENCE VLG 1 LOT 74"</f>
        <v>LIBERTY BELL LANE INDEPENDENCE VLG 1 LOT 74</v>
      </c>
      <c r="D9928" s="1">
        <v>4508.01</v>
      </c>
    </row>
    <row r="9929" spans="1:4" x14ac:dyDescent="0.3">
      <c r="A9929" s="1" t="str">
        <f>"01001124400"</f>
        <v>01001124400</v>
      </c>
      <c r="B9929" s="1" t="str">
        <f>"POETTINGER STEVEN"</f>
        <v>POETTINGER STEVEN</v>
      </c>
      <c r="C9929" s="1" t="str">
        <f>"311 AVONDALE AVE WEST PARK LOT 178"</f>
        <v>311 AVONDALE AVE WEST PARK LOT 178</v>
      </c>
      <c r="D9929" s="1">
        <v>3101.01</v>
      </c>
    </row>
    <row r="9930" spans="1:4" x14ac:dyDescent="0.3">
      <c r="A9930" s="1" t="str">
        <f>"01006379300"</f>
        <v>01006379300</v>
      </c>
      <c r="B9930" s="1" t="str">
        <f>"POINT ON LANE PARTNERS LLC"</f>
        <v>POINT ON LANE PARTNERS LLC</v>
      </c>
      <c r="C9930" s="1" t="str">
        <f>"W LANE AVE   &amp; CHAFFEE LOT 44 &amp; PT LOT 26 0.3215 ACRE"</f>
        <v>W LANE AVE   &amp; CHAFFEE LOT 44 &amp; PT LOT 26 0.3215 ACRE</v>
      </c>
      <c r="D9930" s="1">
        <v>18398.39</v>
      </c>
    </row>
    <row r="9931" spans="1:4" x14ac:dyDescent="0.3">
      <c r="A9931" s="1" t="str">
        <f>"01007136700"</f>
        <v>01007136700</v>
      </c>
      <c r="B9931" s="1" t="str">
        <f>"POIRIER ROBERT J, POIRIER MARILYNNE M"</f>
        <v>POIRIER ROBERT J, POIRIER MARILYNNE M</v>
      </c>
      <c r="C9931" s="1" t="str">
        <f>"RICHARDS RD DOMINION PK LOT 43"</f>
        <v>RICHARDS RD DOMINION PK LOT 43</v>
      </c>
      <c r="D9931" s="1">
        <v>324.42</v>
      </c>
    </row>
    <row r="9932" spans="1:4" x14ac:dyDescent="0.3">
      <c r="A9932" s="1" t="str">
        <f>"61019933000"</f>
        <v>61019933000</v>
      </c>
      <c r="B9932" s="1" t="str">
        <f>"POLADI MOUNIKA, RASAMSETTI SURENDRA"</f>
        <v>POLADI MOUNIKA, RASAMSETTI SURENDRA</v>
      </c>
      <c r="C9932" s="1" t="str">
        <f>"BAILEY PL CHRISTOPHER WOODS LOT 19"</f>
        <v>BAILEY PL CHRISTOPHER WOODS LOT 19</v>
      </c>
      <c r="D9932" s="1">
        <v>12739.54</v>
      </c>
    </row>
    <row r="9933" spans="1:4" x14ac:dyDescent="0.3">
      <c r="A9933" s="1" t="str">
        <f>"01006518100"</f>
        <v>01006518100</v>
      </c>
      <c r="B9933" s="1" t="str">
        <f>"POLITI JONATHAN"</f>
        <v>POLITI JONATHAN</v>
      </c>
      <c r="C9933" s="1" t="str">
        <f>"124 LANSING ST 20 88 X 93 75 FT S E COR JAEGER LOT 72"</f>
        <v>124 LANSING ST 20 88 X 93 75 FT S E COR JAEGER LOT 72</v>
      </c>
      <c r="D9933" s="1">
        <v>4526.42</v>
      </c>
    </row>
    <row r="9934" spans="1:4" x14ac:dyDescent="0.3">
      <c r="A9934" s="1" t="str">
        <f>"01003713000"</f>
        <v>01003713000</v>
      </c>
      <c r="B9934" s="1" t="str">
        <f>"POLITI JUDITH T L TTEE"</f>
        <v>POLITI JUDITH T L TTEE</v>
      </c>
      <c r="C9934" s="1" t="str">
        <f>"66 THURMAN AVE DESHLER THURMAN &amp; BENNETT LOT 47 TO 83"</f>
        <v>66 THURMAN AVE DESHLER THURMAN &amp; BENNETT LOT 47 TO 83</v>
      </c>
      <c r="D9934" s="1">
        <v>13443.44</v>
      </c>
    </row>
    <row r="9935" spans="1:4" x14ac:dyDescent="0.3">
      <c r="A9935" s="1" t="str">
        <f>"01002438100"</f>
        <v>01002438100</v>
      </c>
      <c r="B9935" s="1" t="str">
        <f>"POLLARD GEORGE L, POLLARD MADELINE"</f>
        <v>POLLARD GEORGE L, POLLARD MADELINE</v>
      </c>
      <c r="C9935" s="1" t="str">
        <f>"968 STUDOR AVE STUDER AMD LOT 167"</f>
        <v>968 STUDOR AVE STUDER AMD LOT 167</v>
      </c>
      <c r="D9935" s="1">
        <v>3946</v>
      </c>
    </row>
    <row r="9936" spans="1:4" x14ac:dyDescent="0.3">
      <c r="A9936" s="1" t="str">
        <f>"01000875700"</f>
        <v>01000875700</v>
      </c>
      <c r="B9936" s="1" t="str">
        <f>"POLLARD TELITHA, BRADY TERINEE"</f>
        <v>POLLARD TELITHA, BRADY TERINEE</v>
      </c>
      <c r="C9936" s="1" t="str">
        <f>"2213 DARTMOUTH AVE HAYDENS PARK PLACE LOT 57"</f>
        <v>2213 DARTMOUTH AVE HAYDENS PARK PLACE LOT 57</v>
      </c>
      <c r="D9936" s="1">
        <v>1516.63</v>
      </c>
    </row>
    <row r="9937" spans="1:4" x14ac:dyDescent="0.3">
      <c r="A9937" s="1" t="str">
        <f>"01015581400"</f>
        <v>01015581400</v>
      </c>
      <c r="B9937" s="1" t="str">
        <f>"POLLOCK LAYLA, FAZEL MINOO LEEDA"</f>
        <v>POLLOCK LAYLA, FAZEL MINOO LEEDA</v>
      </c>
      <c r="C9937" s="1" t="str">
        <f>"TELLEGA AVE SOUTHERN PINES SEC NO 12 LOT 758"</f>
        <v>TELLEGA AVE SOUTHERN PINES SEC NO 12 LOT 758</v>
      </c>
      <c r="D9937" s="1">
        <v>2846.29</v>
      </c>
    </row>
    <row r="9938" spans="1:4" x14ac:dyDescent="0.3">
      <c r="A9938" s="1" t="str">
        <f>"01006638500"</f>
        <v>01006638500</v>
      </c>
      <c r="B9938" s="1" t="str">
        <f>"POMANTE SARAH L"</f>
        <v>POMANTE SARAH L</v>
      </c>
      <c r="C9938" s="1" t="str">
        <f>"11TH AVE 2ND E COLUMBUS HTS LOT 97"</f>
        <v>11TH AVE 2ND E COLUMBUS HTS LOT 97</v>
      </c>
      <c r="D9938" s="1">
        <v>2513.06</v>
      </c>
    </row>
    <row r="9939" spans="1:4" x14ac:dyDescent="0.3">
      <c r="A9939" s="1" t="str">
        <f>"01004246700"</f>
        <v>01004246700</v>
      </c>
      <c r="B9939" s="1" t="str">
        <f>"POMANTE SARAH L"</f>
        <v>POMANTE SARAH L</v>
      </c>
      <c r="C9939" s="1" t="str">
        <f>"73 RICHARDSON AVE LANDSCAPE LOT 239"</f>
        <v>73 RICHARDSON AVE LANDSCAPE LOT 239</v>
      </c>
      <c r="D9939" s="1">
        <v>1682.13</v>
      </c>
    </row>
    <row r="9940" spans="1:4" x14ac:dyDescent="0.3">
      <c r="A9940" s="1" t="str">
        <f>"03000179400"</f>
        <v>03000179400</v>
      </c>
      <c r="B9940" s="1" t="str">
        <f>"POMERANTS ALEX, POMERANTS LAURIE"</f>
        <v>POMERANTS ALEX, POMERANTS LAURIE</v>
      </c>
      <c r="C9940" s="1" t="str">
        <f>"1258 HOPE AVE NORTHWEST BLVD 3 LOT 290"</f>
        <v>1258 HOPE AVE NORTHWEST BLVD 3 LOT 290</v>
      </c>
      <c r="D9940" s="1">
        <v>4226.8500000000004</v>
      </c>
    </row>
    <row r="9941" spans="1:4" x14ac:dyDescent="0.3">
      <c r="A9941" s="1" t="str">
        <f>"08000498700"</f>
        <v>08000498700</v>
      </c>
      <c r="B9941" s="1" t="str">
        <f>"POND SHANNON R TR"</f>
        <v>POND SHANNON R TR</v>
      </c>
      <c r="C9941" s="1" t="str">
        <f>"VANCOUVER DRIVE H C HUBER PLAT 49 SEC 11 LOT 2506"</f>
        <v>VANCOUVER DRIVE H C HUBER PLAT 49 SEC 11 LOT 2506</v>
      </c>
      <c r="D9941" s="1">
        <v>277.91000000000003</v>
      </c>
    </row>
    <row r="9942" spans="1:4" x14ac:dyDescent="0.3">
      <c r="A9942" s="1" t="str">
        <f>"04001598500"</f>
        <v>04001598500</v>
      </c>
      <c r="B9942" s="1" t="str">
        <f>"POND STEPHEN T, POND SHIRLEY A"</f>
        <v>POND STEPHEN T, POND SHIRLEY A</v>
      </c>
      <c r="C9942" s="1" t="str">
        <f>"MEWS AT PINNACLE CLUB CONDOMINIUM 16TH AMD UNIT 4-4839"</f>
        <v>MEWS AT PINNACLE CLUB CONDOMINIUM 16TH AMD UNIT 4-4839</v>
      </c>
      <c r="D9942" s="1">
        <v>815.1</v>
      </c>
    </row>
    <row r="9943" spans="1:4" x14ac:dyDescent="0.3">
      <c r="A9943" s="1" t="str">
        <f>"01012831200"</f>
        <v>01012831200</v>
      </c>
      <c r="B9943" s="1" t="str">
        <f>"PONDER KENNETH"</f>
        <v>PONDER KENNETH</v>
      </c>
      <c r="C9943" s="1" t="str">
        <f>"2207 EARL AVE ORCHARD HEIGHTS LOT 6"</f>
        <v>2207 EARL AVE ORCHARD HEIGHTS LOT 6</v>
      </c>
      <c r="D9943" s="1">
        <v>1358.63</v>
      </c>
    </row>
    <row r="9944" spans="1:4" x14ac:dyDescent="0.3">
      <c r="A9944" s="1" t="str">
        <f>"01009585500"</f>
        <v>01009585500</v>
      </c>
      <c r="B9944" s="1" t="str">
        <f>"PONTIAC PROPERTIES LLC"</f>
        <v>PONTIAC PROPERTIES LLC</v>
      </c>
      <c r="C9944" s="1" t="str">
        <f>"HAMILTON AVE OAK PARK 2 LOT 22"</f>
        <v>HAMILTON AVE OAK PARK 2 LOT 22</v>
      </c>
      <c r="D9944" s="1">
        <v>120.6</v>
      </c>
    </row>
    <row r="9945" spans="1:4" x14ac:dyDescent="0.3">
      <c r="A9945" s="1" t="str">
        <f>"01008320200"</f>
        <v>01008320200</v>
      </c>
      <c r="B9945" s="1" t="str">
        <f>"PONTIAC PROPERTIES LLC"</f>
        <v>PONTIAC PROPERTIES LLC</v>
      </c>
      <c r="C9945" s="1" t="str">
        <f>"W S PONTIAC SUNNYSIDE LOT 39"</f>
        <v>W S PONTIAC SUNNYSIDE LOT 39</v>
      </c>
      <c r="D9945" s="1">
        <v>96.47</v>
      </c>
    </row>
    <row r="9946" spans="1:4" x14ac:dyDescent="0.3">
      <c r="A9946" s="1" t="str">
        <f>"01013327100"</f>
        <v>01013327100</v>
      </c>
      <c r="B9946" s="1" t="str">
        <f>"POOL GORDON M, POOL KELLI M"</f>
        <v>POOL GORDON M, POOL KELLI M</v>
      </c>
      <c r="C9946" s="1" t="str">
        <f>"MAJESTIC DR N WALNUT-BIXBY EST LOT 5"</f>
        <v>MAJESTIC DR N WALNUT-BIXBY EST LOT 5</v>
      </c>
      <c r="D9946" s="1">
        <v>2513.5100000000002</v>
      </c>
    </row>
    <row r="9947" spans="1:4" x14ac:dyDescent="0.3">
      <c r="A9947" s="1" t="str">
        <f>"01001578500"</f>
        <v>01001578500</v>
      </c>
      <c r="B9947" s="1" t="str">
        <f>"POOLE CAROLE"</f>
        <v>POOLE CAROLE</v>
      </c>
      <c r="C9947" s="1" t="str">
        <f>"262 MIDLAND AVE WESTWOOD HTS LOT 155"</f>
        <v>262 MIDLAND AVE WESTWOOD HTS LOT 155</v>
      </c>
      <c r="D9947" s="1">
        <v>1730.97</v>
      </c>
    </row>
    <row r="9948" spans="1:4" x14ac:dyDescent="0.3">
      <c r="A9948" s="1" t="str">
        <f>"01029445900"</f>
        <v>01029445900</v>
      </c>
      <c r="B9948" s="1" t="str">
        <f>"POOLE LATISHA A"</f>
        <v>POOLE LATISHA A</v>
      </c>
      <c r="C9948" s="1" t="str">
        <f>"SUMMERLYN SECTION 4 LOT 183"</f>
        <v>SUMMERLYN SECTION 4 LOT 183</v>
      </c>
      <c r="D9948" s="1">
        <v>2386.64</v>
      </c>
    </row>
    <row r="9949" spans="1:4" x14ac:dyDescent="0.3">
      <c r="A9949" s="1" t="str">
        <f>"01004623300"</f>
        <v>01004623300</v>
      </c>
      <c r="B9949" s="1" t="str">
        <f>"POOLE NITA F"</f>
        <v>POOLE NITA F</v>
      </c>
      <c r="C9949" s="1" t="str">
        <f>"1180 SIDNEY ST SA SHOEMAKER HRS LOT 96"</f>
        <v>1180 SIDNEY ST SA SHOEMAKER HRS LOT 96</v>
      </c>
      <c r="D9949" s="1">
        <v>1145.42</v>
      </c>
    </row>
    <row r="9950" spans="1:4" x14ac:dyDescent="0.3">
      <c r="A9950" s="1" t="str">
        <f>"09000003900"</f>
        <v>09000003900</v>
      </c>
      <c r="B9950" s="1" t="str">
        <f>"POPCEVSKI IVANKA"</f>
        <v>POPCEVSKI IVANKA</v>
      </c>
      <c r="C9950" s="1" t="str">
        <f>"CALLINGWOOD AVE 50X200FT NE COR LOWRIE BROS LOT 171"</f>
        <v>CALLINGWOOD AVE 50X200FT NE COR LOWRIE BROS LOT 171</v>
      </c>
      <c r="D9950" s="1">
        <v>1310.88</v>
      </c>
    </row>
    <row r="9951" spans="1:4" x14ac:dyDescent="0.3">
      <c r="A9951" s="1" t="str">
        <f>"01001783600"</f>
        <v>01001783600</v>
      </c>
      <c r="B9951" s="1" t="str">
        <f>"POPCEVSKI ROBERT"</f>
        <v>POPCEVSKI ROBERT</v>
      </c>
      <c r="C9951" s="1" t="str">
        <f>"525 E BECK ST DUNHAM RANKIN&amp; SEWART LOT 45"</f>
        <v>525 E BECK ST DUNHAM RANKIN&amp; SEWART LOT 45</v>
      </c>
      <c r="D9951" s="1">
        <v>2400.92</v>
      </c>
    </row>
    <row r="9952" spans="1:4" x14ac:dyDescent="0.3">
      <c r="A9952" s="1" t="str">
        <f>"59019469800"</f>
        <v>59019469800</v>
      </c>
      <c r="B9952" s="1" t="str">
        <f>"POPE ADAM, WAYMAN COURTNEY"</f>
        <v>POPE ADAM, WAYMAN COURTNEY</v>
      </c>
      <c r="C9952" s="1" t="str">
        <f>"BANBRIDGE LA BALLYMEAD DUB SEC 1 LOT 59"</f>
        <v>BANBRIDGE LA BALLYMEAD DUB SEC 1 LOT 59</v>
      </c>
      <c r="D9952" s="1">
        <v>4798.7</v>
      </c>
    </row>
    <row r="9953" spans="1:4" x14ac:dyDescent="0.3">
      <c r="A9953" s="1" t="str">
        <f>"01018872400"</f>
        <v>01018872400</v>
      </c>
      <c r="B9953" s="1" t="str">
        <f>"POPE KIMBERLY, POPE JUSTIN"</f>
        <v>POPE KIMBERLY, POPE JUSTIN</v>
      </c>
      <c r="C9953" s="1" t="str">
        <f>"WINDGATE VILL CONDO EXH B-1 UNIT 1 BLD 1 "</f>
        <v xml:space="preserve">WINDGATE VILL CONDO EXH B-1 UNIT 1 BLD 1 </v>
      </c>
      <c r="D9953" s="1">
        <v>100.94</v>
      </c>
    </row>
    <row r="9954" spans="1:4" x14ac:dyDescent="0.3">
      <c r="A9954" s="1" t="str">
        <f>"01025592100"</f>
        <v>01025592100</v>
      </c>
      <c r="B9954" s="1" t="str">
        <f>"POPE KIMBERLY, POPE JUSTIN"</f>
        <v>POPE KIMBERLY, POPE JUSTIN</v>
      </c>
      <c r="C9954" s="1" t="str">
        <f>"WINDGATE VILLAGE CONDOMINIUM UNIT G-24 (GARAGE UNIT)"</f>
        <v>WINDGATE VILLAGE CONDOMINIUM UNIT G-24 (GARAGE UNIT)</v>
      </c>
      <c r="D9954" s="1">
        <v>5.81</v>
      </c>
    </row>
    <row r="9955" spans="1:4" x14ac:dyDescent="0.3">
      <c r="A9955" s="1" t="str">
        <f>"01001516200"</f>
        <v>01001516200</v>
      </c>
      <c r="B9955" s="1" t="str">
        <f>"POPPY TIME LLC"</f>
        <v>POPPY TIME LLC</v>
      </c>
      <c r="C9955" s="1" t="str">
        <f>"666 E 5TH AVE N E PARK PLC LOT 37-40 &amp;PT LT41,66-70&amp;PT AL"</f>
        <v>666 E 5TH AVE N E PARK PLC LOT 37-40 &amp;PT LT41,66-70&amp;PT AL</v>
      </c>
      <c r="D9955" s="1">
        <v>7087.26</v>
      </c>
    </row>
    <row r="9956" spans="1:4" x14ac:dyDescent="0.3">
      <c r="A9956" s="1" t="str">
        <f>"01005763700"</f>
        <v>01005763700</v>
      </c>
      <c r="B9956" s="1" t="str">
        <f>"PORCHETTI MICHAEL"</f>
        <v>PORCHETTI MICHAEL</v>
      </c>
      <c r="C9956" s="1" t="str">
        <f>"MC MILLEN AVE B F STAGES LOT 15"</f>
        <v>MC MILLEN AVE B F STAGES LOT 15</v>
      </c>
      <c r="D9956" s="1">
        <v>5965.26</v>
      </c>
    </row>
    <row r="9957" spans="1:4" x14ac:dyDescent="0.3">
      <c r="A9957" s="1" t="str">
        <f>"01007717400"</f>
        <v>01007717400</v>
      </c>
      <c r="B9957" s="1" t="str">
        <f>"PORTEOUS DANIEL P"</f>
        <v>PORTEOUS DANIEL P</v>
      </c>
      <c r="C9957" s="1" t="str">
        <f>"BANCROFT ST MULBUR PARK LOT 212"</f>
        <v>BANCROFT ST MULBUR PARK LOT 212</v>
      </c>
      <c r="D9957" s="1">
        <v>93.37</v>
      </c>
    </row>
    <row r="9958" spans="1:4" x14ac:dyDescent="0.3">
      <c r="A9958" s="1" t="str">
        <f>"01027858000"</f>
        <v>01027858000</v>
      </c>
      <c r="B9958" s="1" t="str">
        <f>"PORTER ALICE K TR"</f>
        <v>PORTER ALICE K TR</v>
      </c>
      <c r="C9958" s="1" t="str">
        <f>"3130 MCCUTCHEON PLACE McCUTCHEON PLACE SUBDIVISION LOT 6"</f>
        <v>3130 MCCUTCHEON PLACE McCUTCHEON PLACE SUBDIVISION LOT 6</v>
      </c>
      <c r="D9958" s="1">
        <v>162.05000000000001</v>
      </c>
    </row>
    <row r="9959" spans="1:4" x14ac:dyDescent="0.3">
      <c r="A9959" s="1" t="str">
        <f>"15300040900"</f>
        <v>15300040900</v>
      </c>
      <c r="B9959" s="1" t="str">
        <f>"PORTER BRENDA J"</f>
        <v>PORTER BRENDA J</v>
      </c>
      <c r="C9959" s="1" t="str">
        <f>"MAUREEN BLVD S ELKS ACRES SEC #2 E 1/2 LOT 139"</f>
        <v>MAUREEN BLVD S ELKS ACRES SEC #2 E 1/2 LOT 139</v>
      </c>
      <c r="D9959" s="1">
        <v>78.069999999999993</v>
      </c>
    </row>
    <row r="9960" spans="1:4" x14ac:dyDescent="0.3">
      <c r="A9960" s="1" t="str">
        <f>"14000702000"</f>
        <v>14000702000</v>
      </c>
      <c r="B9960" s="1" t="str">
        <f>"PORTER JEFF"</f>
        <v>PORTER JEFF</v>
      </c>
      <c r="C9960" s="1" t="str">
        <f>"1459 SOUTHWESTERN RD SOUTH WESTERN PARCELS 6"</f>
        <v>1459 SOUTHWESTERN RD SOUTH WESTERN PARCELS 6</v>
      </c>
      <c r="D9960" s="1">
        <v>2121.58</v>
      </c>
    </row>
    <row r="9961" spans="1:4" x14ac:dyDescent="0.3">
      <c r="A9961" s="1" t="str">
        <f>"18000075200"</f>
        <v>18000075200</v>
      </c>
      <c r="B9961" s="1" t="str">
        <f>"PORTER NICHOLE"</f>
        <v>PORTER NICHOLE</v>
      </c>
      <c r="C9961" s="1" t="str">
        <f>"MADELINE DR EDGEWATER PARK PARCELS SOUTH 160"</f>
        <v>MADELINE DR EDGEWATER PARK PARCELS SOUTH 160</v>
      </c>
      <c r="D9961" s="1">
        <v>846.36</v>
      </c>
    </row>
    <row r="9962" spans="1:4" x14ac:dyDescent="0.3">
      <c r="A9962" s="1" t="str">
        <f>"01009036900"</f>
        <v>01009036900</v>
      </c>
      <c r="B9962" s="1" t="str">
        <f>"PORTER PATRICIA A"</f>
        <v>PORTER PATRICIA A</v>
      </c>
      <c r="C9962" s="1" t="str">
        <f>"BROWNLEE AVE EASTMINSTER LOT 146"</f>
        <v>BROWNLEE AVE EASTMINSTER LOT 146</v>
      </c>
      <c r="D9962" s="1">
        <v>3639.72</v>
      </c>
    </row>
    <row r="9963" spans="1:4" x14ac:dyDescent="0.3">
      <c r="A9963" s="1" t="str">
        <f>"01007577300"</f>
        <v>01007577300</v>
      </c>
      <c r="B9963" s="1" t="str">
        <f>"PORTER PATRICIA A TOD"</f>
        <v>PORTER PATRICIA A TOD</v>
      </c>
      <c r="C9963" s="1" t="str">
        <f>"ATWOOD TERRACE N GRASMERE LOT 17-18"</f>
        <v>ATWOOD TERRACE N GRASMERE LOT 17-18</v>
      </c>
      <c r="D9963" s="1">
        <v>539.87</v>
      </c>
    </row>
    <row r="9964" spans="1:4" x14ac:dyDescent="0.3">
      <c r="A9964" s="1" t="str">
        <f>"01019528000"</f>
        <v>01019528000</v>
      </c>
      <c r="B9964" s="1" t="str">
        <f>"PORTER RALPH E, PORTER LEAH T R"</f>
        <v>PORTER RALPH E, PORTER LEAH T R</v>
      </c>
      <c r="C9964" s="1" t="str">
        <f>"E BROAD ST PARK TOWERS CONDO UNIT 1605"</f>
        <v>E BROAD ST PARK TOWERS CONDO UNIT 1605</v>
      </c>
      <c r="D9964" s="1">
        <v>2315.17</v>
      </c>
    </row>
    <row r="9965" spans="1:4" x14ac:dyDescent="0.3">
      <c r="A9965" s="1" t="str">
        <f>"01000887500"</f>
        <v>01000887500</v>
      </c>
      <c r="B9965" s="1" t="str">
        <f>"PORTER REBECCA"</f>
        <v>PORTER REBECCA</v>
      </c>
      <c r="C9965" s="1" t="str">
        <f>"2169 MARGARET AVE WILSHIRE PLC LOT 10"</f>
        <v>2169 MARGARET AVE WILSHIRE PLC LOT 10</v>
      </c>
      <c r="D9965" s="1">
        <v>289.72000000000003</v>
      </c>
    </row>
    <row r="9966" spans="1:4" x14ac:dyDescent="0.3">
      <c r="A9966" s="1" t="str">
        <f>"06000329900"</f>
        <v>06000329900</v>
      </c>
      <c r="B9966" s="1" t="str">
        <f>"PORTILLO ELIZABETH"</f>
        <v>PORTILLO ELIZABETH</v>
      </c>
      <c r="C9966" s="1" t="str">
        <f>"RED FOX COURT RED FOX HOLLOW 45 "</f>
        <v xml:space="preserve">RED FOX COURT RED FOX HOLLOW 45 </v>
      </c>
      <c r="D9966" s="1">
        <v>210.18</v>
      </c>
    </row>
    <row r="9967" spans="1:4" x14ac:dyDescent="0.3">
      <c r="A9967" s="1" t="str">
        <f>"01014694700"</f>
        <v>01014694700</v>
      </c>
      <c r="B9967" s="1" t="str">
        <f>"PORTILLO SANDRA ALVARENGA"</f>
        <v>PORTILLO SANDRA ALVARENGA</v>
      </c>
      <c r="C9967" s="1" t="str">
        <f>"FOREST PK EAST SEC 3 LOT 338 "</f>
        <v xml:space="preserve">FOREST PK EAST SEC 3 LOT 338 </v>
      </c>
      <c r="D9967" s="1">
        <v>205.41</v>
      </c>
    </row>
    <row r="9968" spans="1:4" x14ac:dyDescent="0.3">
      <c r="A9968" s="1" t="str">
        <f>"10000443100"</f>
        <v>10000443100</v>
      </c>
      <c r="B9968" s="1" t="str">
        <f>"POSEY JOSHUA E, POSEY SARA ELIZABETH"</f>
        <v>POSEY JOSHUA E, POSEY SARA ELIZABETH</v>
      </c>
      <c r="C9968" s="1" t="str">
        <f>"238 HIGHGATE AVE WORTHINGWAY LOT 62 "</f>
        <v xml:space="preserve">238 HIGHGATE AVE WORTHINGWAY LOT 62 </v>
      </c>
      <c r="D9968" s="1">
        <v>1781.98</v>
      </c>
    </row>
    <row r="9969" spans="1:4" x14ac:dyDescent="0.3">
      <c r="A9969" s="1" t="str">
        <f>"22200426800"</f>
        <v>22200426800</v>
      </c>
      <c r="B9969" s="1" t="str">
        <f>"POSNER JORDAN, POSNER JACOB"</f>
        <v>POSNER JORDAN, POSNER JACOB</v>
      </c>
      <c r="C9969" s="1" t="str">
        <f>"6853 HARPER LANE          WENTWORTH CROSSING        SECTION 1 LOT 38         "</f>
        <v xml:space="preserve">6853 HARPER LANE          WENTWORTH CROSSING        SECTION 1 LOT 38         </v>
      </c>
      <c r="D9969" s="1">
        <v>718.86</v>
      </c>
    </row>
    <row r="9970" spans="1:4" x14ac:dyDescent="0.3">
      <c r="A9970" s="1" t="str">
        <f>"24000195100"</f>
        <v>24000195100</v>
      </c>
      <c r="B9970" s="1" t="str">
        <f>"POST ANDREW"</f>
        <v>POST ANDREW</v>
      </c>
      <c r="C9970" s="1" t="str">
        <f>"GREENER AVE 100.5 FT OFF W END GARDEN HTS LOT 84"</f>
        <v>GREENER AVE 100.5 FT OFF W END GARDEN HTS LOT 84</v>
      </c>
      <c r="D9970" s="1">
        <v>2759.34</v>
      </c>
    </row>
    <row r="9971" spans="1:4" x14ac:dyDescent="0.3">
      <c r="A9971" s="1" t="str">
        <f>"01009062900"</f>
        <v>01009062900</v>
      </c>
      <c r="B9971" s="1" t="str">
        <f>"POSTLEWAITE LINDA L"</f>
        <v>POSTLEWAITE LINDA L</v>
      </c>
      <c r="C9971" s="1" t="str">
        <f>"MEDWAY AVE EASTMOOR LOT 44"</f>
        <v>MEDWAY AVE EASTMOOR LOT 44</v>
      </c>
      <c r="D9971" s="1">
        <v>2600.14</v>
      </c>
    </row>
    <row r="9972" spans="1:4" x14ac:dyDescent="0.3">
      <c r="A9972" s="1" t="str">
        <f>"06000737000"</f>
        <v>06000737000</v>
      </c>
      <c r="B9972" s="1" t="str">
        <f>"POTENZA INVESTMENT GROUP LLC"</f>
        <v>POTENZA INVESTMENT GROUP LLC</v>
      </c>
      <c r="C9972" s="1" t="str">
        <f>"DAUGHERTY DRIVE TIMBER CREEK EAST SEC 4 LOT 78"</f>
        <v>DAUGHERTY DRIVE TIMBER CREEK EAST SEC 4 LOT 78</v>
      </c>
      <c r="D9972" s="1">
        <v>4109.2299999999996</v>
      </c>
    </row>
    <row r="9973" spans="1:4" x14ac:dyDescent="0.3">
      <c r="A9973" s="1" t="str">
        <f>"53016416900"</f>
        <v>53016416900</v>
      </c>
      <c r="B9973" s="1" t="str">
        <f>"POTENZA INVESTMENT GROUP LLC"</f>
        <v>POTENZA INVESTMENT GROUP LLC</v>
      </c>
      <c r="C9973" s="1" t="str">
        <f>"POTOMAC STREET THREE RIVERS LOT 264  0.041 ACRES"</f>
        <v>POTOMAC STREET THREE RIVERS LOT 264  0.041 ACRES</v>
      </c>
      <c r="D9973" s="1">
        <v>1591.2</v>
      </c>
    </row>
    <row r="9974" spans="1:4" x14ac:dyDescent="0.3">
      <c r="A9974" s="1" t="str">
        <f>"09000755400"</f>
        <v>09000755400</v>
      </c>
      <c r="B9974" s="1" t="str">
        <f>"POTH ROAD ONE LLC"</f>
        <v>POTH ROAD ONE LLC</v>
      </c>
      <c r="C9974" s="1" t="str">
        <f>"4450 POTH RD R17 T1 1/4T4 LOT 4-5 20.2674 ACRES"</f>
        <v>4450 POTH RD R17 T1 1/4T4 LOT 4-5 20.2674 ACRES</v>
      </c>
      <c r="D9974" s="1">
        <v>6202.55</v>
      </c>
    </row>
    <row r="9975" spans="1:4" x14ac:dyDescent="0.3">
      <c r="A9975" s="1" t="str">
        <f>"09000841200"</f>
        <v>09000841200</v>
      </c>
      <c r="B9975" s="1" t="str">
        <f>"POTH ROAD ONE LLC"</f>
        <v>POTH ROAD ONE LLC</v>
      </c>
      <c r="C9975" s="1" t="str">
        <f>"POTH RD R17 T1 1/4T4 LOT 4-5 0.7158 ACRE"</f>
        <v>POTH RD R17 T1 1/4T4 LOT 4-5 0.7158 ACRE</v>
      </c>
      <c r="D9975" s="1">
        <v>124.08</v>
      </c>
    </row>
    <row r="9976" spans="1:4" x14ac:dyDescent="0.3">
      <c r="A9976" s="1" t="str">
        <f>"01015712900"</f>
        <v>01015712900</v>
      </c>
      <c r="B9976" s="1" t="str">
        <f>"POTTER ANNETTE"</f>
        <v>POTTER ANNETTE</v>
      </c>
      <c r="C9976" s="1" t="str">
        <f>"1201 AUTUMN HILL DR SYCAMORE HILLS SEC 3 LOT 195"</f>
        <v>1201 AUTUMN HILL DR SYCAMORE HILLS SEC 3 LOT 195</v>
      </c>
      <c r="D9976" s="1">
        <v>320.22000000000003</v>
      </c>
    </row>
    <row r="9977" spans="1:4" x14ac:dyDescent="0.3">
      <c r="A9977" s="1" t="str">
        <f>"01014343000"</f>
        <v>01014343000</v>
      </c>
      <c r="B9977" s="1" t="str">
        <f>"POTTER JAN"</f>
        <v>POTTER JAN</v>
      </c>
      <c r="C9977" s="1" t="str">
        <f>"CONESTOGA DR THE GREENBRIER FARM NO 3 LOT 48"</f>
        <v>CONESTOGA DR THE GREENBRIER FARM NO 3 LOT 48</v>
      </c>
      <c r="D9977" s="1">
        <v>2777.97</v>
      </c>
    </row>
    <row r="9978" spans="1:4" x14ac:dyDescent="0.3">
      <c r="A9978" s="1" t="str">
        <f>"61017828500"</f>
        <v>61017828500</v>
      </c>
      <c r="B9978" s="1" t="str">
        <f>"POTTER KATHLEEN A TR"</f>
        <v>POTTER KATHLEEN A TR</v>
      </c>
      <c r="C9978" s="1" t="str">
        <f>"CLOISTER DR THE WOODS@JOSEPHINUM LOT 63"</f>
        <v>CLOISTER DR THE WOODS@JOSEPHINUM LOT 63</v>
      </c>
      <c r="D9978" s="1">
        <v>553.4</v>
      </c>
    </row>
    <row r="9979" spans="1:4" x14ac:dyDescent="0.3">
      <c r="A9979" s="1" t="str">
        <f>"07000958500"</f>
        <v>07000958500</v>
      </c>
      <c r="B9979" s="1" t="str">
        <f>"POTTER PATRICK, POTTER KATHERINE"</f>
        <v>POTTER PATRICK, POTTER KATHERINE</v>
      </c>
      <c r="C9979" s="1" t="str">
        <f>"2300 NAYLAND RD MIDDLESEX PLACE 6 BLK 2"</f>
        <v>2300 NAYLAND RD MIDDLESEX PLACE 6 BLK 2</v>
      </c>
      <c r="D9979" s="1">
        <v>599.89</v>
      </c>
    </row>
    <row r="9980" spans="1:4" x14ac:dyDescent="0.3">
      <c r="A9980" s="1" t="str">
        <f>"01002336300"</f>
        <v>01002336300</v>
      </c>
      <c r="B9980" s="1" t="str">
        <f>"POTTER THERESA E"</f>
        <v>POTTER THERESA E</v>
      </c>
      <c r="C9980" s="1" t="str">
        <f>"540 SYCAMORE ST ELSMERE PLACE URP PT LOT 74"</f>
        <v>540 SYCAMORE ST ELSMERE PLACE URP PT LOT 74</v>
      </c>
      <c r="D9980" s="1">
        <v>5225.13</v>
      </c>
    </row>
    <row r="9981" spans="1:4" x14ac:dyDescent="0.3">
      <c r="A9981" s="1" t="str">
        <f>"01000808300"</f>
        <v>01000808300</v>
      </c>
      <c r="B9981" s="1" t="str">
        <f>"POTTS CHRISTOPHER"</f>
        <v>POTTS CHRISTOPHER</v>
      </c>
      <c r="C9981" s="1" t="str">
        <f>"40 MARTIN AVE             SINCLAIR                  LOT 71                   "</f>
        <v xml:space="preserve">40 MARTIN AVE             SINCLAIR                  LOT 71                   </v>
      </c>
      <c r="D9981" s="1">
        <v>3986.39</v>
      </c>
    </row>
    <row r="9982" spans="1:4" x14ac:dyDescent="0.3">
      <c r="A9982" s="1" t="str">
        <f>"01007100100"</f>
        <v>01007100100</v>
      </c>
      <c r="B9982" s="1" t="str">
        <f>"POTTS ERIC F"</f>
        <v>POTTS ERIC F</v>
      </c>
      <c r="C9982" s="1" t="str">
        <f>"CLARENDON AVE LINKES AMD LOTS 16 -17"</f>
        <v>CLARENDON AVE LINKES AMD LOTS 16 -17</v>
      </c>
      <c r="D9982" s="1">
        <v>1441.27</v>
      </c>
    </row>
    <row r="9983" spans="1:4" x14ac:dyDescent="0.3">
      <c r="A9983" s="1" t="str">
        <f>"01003925800"</f>
        <v>01003925800</v>
      </c>
      <c r="B9983" s="1" t="str">
        <f>"POTTS ERIC V"</f>
        <v>POTTS ERIC V</v>
      </c>
      <c r="C9983" s="1" t="str">
        <f>"S HIGHLAND AVE PARTS OF LOTS 5&amp;6 HUGHES"</f>
        <v>S HIGHLAND AVE PARTS OF LOTS 5&amp;6 HUGHES</v>
      </c>
      <c r="D9983" s="1">
        <v>575.39</v>
      </c>
    </row>
    <row r="9984" spans="1:4" x14ac:dyDescent="0.3">
      <c r="A9984" s="1" t="str">
        <f>"01000124300"</f>
        <v>01000124300</v>
      </c>
      <c r="B9984" s="1" t="str">
        <f>"POUNDS DOMINICA"</f>
        <v>POUNDS DOMINICA</v>
      </c>
      <c r="C9984" s="1" t="str">
        <f>"1228 FRANKLIN AVE SCHMIDT &amp; FASSIG SUB 7"</f>
        <v>1228 FRANKLIN AVE SCHMIDT &amp; FASSIG SUB 7</v>
      </c>
      <c r="D9984" s="1">
        <v>3583.62</v>
      </c>
    </row>
    <row r="9985" spans="1:4" x14ac:dyDescent="0.3">
      <c r="A9985" s="1" t="str">
        <f>"01005948300"</f>
        <v>01005948300</v>
      </c>
      <c r="B9985" s="1" t="str">
        <f>"POWE MELVIN E"</f>
        <v>POWE MELVIN E</v>
      </c>
      <c r="C9985" s="1" t="str">
        <f>"ROBERT ST LINDEN TERRACE LOT 20"</f>
        <v>ROBERT ST LINDEN TERRACE LOT 20</v>
      </c>
      <c r="D9985" s="1">
        <v>69.8</v>
      </c>
    </row>
    <row r="9986" spans="1:4" x14ac:dyDescent="0.3">
      <c r="A9986" s="1" t="str">
        <f>"01001326800"</f>
        <v>01001326800</v>
      </c>
      <c r="B9986" s="1" t="str">
        <f>"POWELL BERTHA L"</f>
        <v>POWELL BERTHA L</v>
      </c>
      <c r="C9986" s="1" t="str">
        <f>"2322 SUNBURY RD R17 T1 S3 0.5078 ACRE"</f>
        <v>2322 SUNBURY RD R17 T1 S3 0.5078 ACRE</v>
      </c>
      <c r="D9986" s="1">
        <v>2980.07</v>
      </c>
    </row>
    <row r="9987" spans="1:4" x14ac:dyDescent="0.3">
      <c r="A9987" s="1" t="str">
        <f>"01009509800"</f>
        <v>01009509800</v>
      </c>
      <c r="B9987" s="1" t="str">
        <f>"POWELL KARLA TTEE, POWELL ALIDA TTEE"</f>
        <v>POWELL KARLA TTEE, POWELL ALIDA TTEE</v>
      </c>
      <c r="C9987" s="1" t="str">
        <f>"HOWEY RD N GRASMERE AMD LOT 18"</f>
        <v>HOWEY RD N GRASMERE AMD LOT 18</v>
      </c>
      <c r="D9987" s="1">
        <v>957.72</v>
      </c>
    </row>
    <row r="9988" spans="1:4" x14ac:dyDescent="0.3">
      <c r="A9988" s="1" t="str">
        <f>"01000736400"</f>
        <v>01000736400</v>
      </c>
      <c r="B9988" s="1" t="str">
        <f>"POWELL MARK"</f>
        <v>POWELL MARK</v>
      </c>
      <c r="C9988" s="1" t="str">
        <f>"PARKWOOD AVE GREENDALE PLC LOT 26"</f>
        <v>PARKWOOD AVE GREENDALE PLC LOT 26</v>
      </c>
      <c r="D9988" s="1">
        <v>344.05</v>
      </c>
    </row>
    <row r="9989" spans="1:4" x14ac:dyDescent="0.3">
      <c r="A9989" s="1" t="str">
        <f>"19000137800"</f>
        <v>19000137800</v>
      </c>
      <c r="B9989" s="1" t="str">
        <f>"POWELL MARK V, VISNAUSKAS DORIS"</f>
        <v>POWELL MARK V, VISNAUSKAS DORIS</v>
      </c>
      <c r="C9989" s="1" t="str">
        <f>"2236 PARKWOOD AVE GREENDALE PLACE LOT 24"</f>
        <v>2236 PARKWOOD AVE GREENDALE PLACE LOT 24</v>
      </c>
      <c r="D9989" s="1">
        <v>497.74</v>
      </c>
    </row>
    <row r="9990" spans="1:4" x14ac:dyDescent="0.3">
      <c r="A9990" s="1" t="str">
        <f>"08000581700"</f>
        <v>08000581700</v>
      </c>
      <c r="B9990" s="1" t="str">
        <f>"POWELL NANCY A TR"</f>
        <v>POWELL NANCY A TR</v>
      </c>
      <c r="C9990" s="1" t="str">
        <f>"GOLDSMITH DRIVE TWELVE TREES LOT 16"</f>
        <v>GOLDSMITH DRIVE TWELVE TREES LOT 16</v>
      </c>
      <c r="D9990" s="1">
        <v>4670.55</v>
      </c>
    </row>
    <row r="9991" spans="1:4" x14ac:dyDescent="0.3">
      <c r="A9991" s="1" t="str">
        <f>"01005014700"</f>
        <v>01005014700</v>
      </c>
      <c r="B9991" s="1" t="str">
        <f>"POWELL TANYA M"</f>
        <v>POWELL TANYA M</v>
      </c>
      <c r="C9991" s="1" t="str">
        <f>"1637 RICHMOND AVE E1/2 OF 12&amp;ALL 13 TAYLOR LOT 12-13"</f>
        <v>1637 RICHMOND AVE E1/2 OF 12&amp;ALL 13 TAYLOR LOT 12-13</v>
      </c>
      <c r="D9991" s="1">
        <v>1457.93</v>
      </c>
    </row>
    <row r="9992" spans="1:4" x14ac:dyDescent="0.3">
      <c r="A9992" s="1" t="str">
        <f>"08000975700"</f>
        <v>08000975700</v>
      </c>
      <c r="B9992" s="1" t="str">
        <f>"POWELL WALKER M, POWELL TRACEY L"</f>
        <v>POWELL WALKER M, POWELL TRACEY L</v>
      </c>
      <c r="C9992" s="1" t="str">
        <f>"GLACIER PASS RIVER TRACE SEC 2 LOT 45"</f>
        <v>GLACIER PASS RIVER TRACE SEC 2 LOT 45</v>
      </c>
      <c r="D9992" s="1">
        <v>4642.1000000000004</v>
      </c>
    </row>
    <row r="9993" spans="1:4" x14ac:dyDescent="0.3">
      <c r="A9993" s="1" t="str">
        <f>"07000201000"</f>
        <v>07000201000</v>
      </c>
      <c r="B9993" s="1" t="str">
        <f>"POWELSON WILLIAM P, POWELSON VICKI G"</f>
        <v>POWELSON WILLIAM P, POWELSON VICKI G</v>
      </c>
      <c r="C9993" s="1" t="str">
        <f>"2543 ANDOVER RD NORTH ARLINGTON LOT 67"</f>
        <v>2543 ANDOVER RD NORTH ARLINGTON LOT 67</v>
      </c>
      <c r="D9993" s="1">
        <v>567.97</v>
      </c>
    </row>
    <row r="9994" spans="1:4" x14ac:dyDescent="0.3">
      <c r="A9994" s="1" t="str">
        <f>"01010532000"</f>
        <v>01010532000</v>
      </c>
      <c r="B9994" s="1" t="str">
        <f>"POWER OF PRAYER CHURCH MINISTRIES"</f>
        <v>POWER OF PRAYER CHURCH MINISTRIES</v>
      </c>
      <c r="C9994" s="1" t="str">
        <f>"ZETTLER RD 63.33X 231.82 FT W MID PT R21 T12 S19 1/2S32"</f>
        <v>ZETTLER RD 63.33X 231.82 FT W MID PT R21 T12 S19 1/2S32</v>
      </c>
      <c r="D9994" s="1">
        <v>1738.99</v>
      </c>
    </row>
    <row r="9995" spans="1:4" x14ac:dyDescent="0.3">
      <c r="A9995" s="1" t="str">
        <f>"18100136600"</f>
        <v>18100136600</v>
      </c>
      <c r="B9995" s="1" t="str">
        <f>"POWERS GREGORY P JR TR, KEMMERER LYNDSAY B TR"</f>
        <v>POWERS GREGORY P JR TR, KEMMERER LYNDSAY B TR</v>
      </c>
      <c r="C9995" s="1" t="str">
        <f>"GROOM RD R20 T10 S11 5.596 ACRES"</f>
        <v>GROOM RD R20 T10 S11 5.596 ACRES</v>
      </c>
      <c r="D9995" s="1">
        <v>1472.93</v>
      </c>
    </row>
    <row r="9996" spans="1:4" x14ac:dyDescent="0.3">
      <c r="A9996" s="1" t="str">
        <f>"11000423800"</f>
        <v>11000423800</v>
      </c>
      <c r="B9996" s="1" t="str">
        <f>"POWERS LLOYD F TTEE, POWERS JANE H TTEE"</f>
        <v>POWERS LLOYD F TTEE, POWERS JANE H TTEE</v>
      </c>
      <c r="C9996" s="1" t="str">
        <f>"MANILA DR GLENGARY HTS 314"</f>
        <v>MANILA DR GLENGARY HTS 314</v>
      </c>
      <c r="D9996" s="1">
        <v>2254.0300000000002</v>
      </c>
    </row>
    <row r="9997" spans="1:4" x14ac:dyDescent="0.3">
      <c r="A9997" s="1" t="str">
        <f>"01019185700"</f>
        <v>01019185700</v>
      </c>
      <c r="B9997" s="1" t="str">
        <f>"POWERS-BASINGER LORI"</f>
        <v>POWERS-BASINGER LORI</v>
      </c>
      <c r="C9997" s="1" t="str">
        <f>"OLENTANGY THE CONDOMINIUM BLDG 10 UNIT 10-677F"</f>
        <v>OLENTANGY THE CONDOMINIUM BLDG 10 UNIT 10-677F</v>
      </c>
      <c r="D9997" s="1">
        <v>1593.05</v>
      </c>
    </row>
    <row r="9998" spans="1:4" x14ac:dyDescent="0.3">
      <c r="A9998" s="1" t="str">
        <f>"24000124900"</f>
        <v>24000124900</v>
      </c>
      <c r="B9998" s="1" t="str">
        <f>"PRAIRIE TOWNSHIP BOARD OF TRUSTEES"</f>
        <v>PRAIRIE TOWNSHIP BOARD OF TRUSTEES</v>
      </c>
      <c r="C9998" s="1" t="str">
        <f>"PASADENA AVE LITTLE FARMS 364-365 -366"</f>
        <v>PASADENA AVE LITTLE FARMS 364-365 -366</v>
      </c>
      <c r="D9998" s="1">
        <v>1798.94</v>
      </c>
    </row>
    <row r="9999" spans="1:4" x14ac:dyDescent="0.3">
      <c r="A9999" s="1" t="str">
        <f>"01005527400"</f>
        <v>01005527400</v>
      </c>
      <c r="B9999" s="1" t="str">
        <f>"PRAMSCHUFER MARILYN S"</f>
        <v>PRAMSCHUFER MARILYN S</v>
      </c>
      <c r="C9999" s="1" t="str">
        <f>"235 KENWORTH RD KENWORTH PLACE LOTS 37-38"</f>
        <v>235 KENWORTH RD KENWORTH PLACE LOTS 37-38</v>
      </c>
      <c r="D9999" s="1">
        <v>448.99</v>
      </c>
    </row>
    <row r="10000" spans="1:4" x14ac:dyDescent="0.3">
      <c r="A10000" s="1" t="str">
        <f>"01019131100"</f>
        <v>01019131100</v>
      </c>
      <c r="B10000" s="1" t="str">
        <f>"PRAMUKH HOLDING LLC"</f>
        <v>PRAMUKH HOLDING LLC</v>
      </c>
      <c r="C10000" s="1" t="str">
        <f>"WORTH GRANVILLE RD R18 T2 1/4T4 1.7911 ACRES LOT 2-3"</f>
        <v>WORTH GRANVILLE RD R18 T2 1/4T4 1.7911 ACRES LOT 2-3</v>
      </c>
      <c r="D10000" s="1">
        <v>11860.54</v>
      </c>
    </row>
    <row r="10001" spans="1:4" x14ac:dyDescent="0.3">
      <c r="A10001" s="1" t="str">
        <f>"51022952800"</f>
        <v>51022952800</v>
      </c>
      <c r="B10001" s="1" t="str">
        <f>"PRASEUTSACK SAYTHONG, CHINDAVONG SYPAPHAY C"</f>
        <v>PRASEUTSACK SAYTHONG, CHINDAVONG SYPAPHAY C</v>
      </c>
      <c r="C10001" s="1" t="str">
        <f>"HAMILTON HEIGHTS SECTION 2 PART 2 LOT 94"</f>
        <v>HAMILTON HEIGHTS SECTION 2 PART 2 LOT 94</v>
      </c>
      <c r="D10001" s="1">
        <v>883.31</v>
      </c>
    </row>
    <row r="10002" spans="1:4" x14ac:dyDescent="0.3">
      <c r="A10002" s="1" t="str">
        <f>"01021924600"</f>
        <v>01021924600</v>
      </c>
      <c r="B10002" s="1" t="str">
        <f>"PRASEUTSACK SAYTHONG, PRASEUTSACK SYPAPHAY C"</f>
        <v>PRASEUTSACK SAYTHONG, PRASEUTSACK SYPAPHAY C</v>
      </c>
      <c r="C10002" s="1" t="str">
        <f>"LOCKBOURNE ROAD LESQUEREUX PT LOTS 5-6=0.4106 ACRE"</f>
        <v>LOCKBOURNE ROAD LESQUEREUX PT LOTS 5-6=0.4106 ACRE</v>
      </c>
      <c r="D10002" s="1">
        <v>1988.32</v>
      </c>
    </row>
    <row r="10003" spans="1:4" x14ac:dyDescent="0.3">
      <c r="A10003" s="1" t="str">
        <f>"01011519200"</f>
        <v>01011519200</v>
      </c>
      <c r="B10003" s="1" t="str">
        <f>"PRASEUTSACK SYPAPHAY C"</f>
        <v>PRASEUTSACK SYPAPHAY C</v>
      </c>
      <c r="C10003" s="1" t="str">
        <f>"OAKWOOD AVE LAWRENCE OAKLAND AMD LOT17"</f>
        <v>OAKWOOD AVE LAWRENCE OAKLAND AMD LOT17</v>
      </c>
      <c r="D10003" s="1">
        <v>1540.09</v>
      </c>
    </row>
    <row r="10004" spans="1:4" x14ac:dyDescent="0.3">
      <c r="A10004" s="1" t="str">
        <f>"01006303100"</f>
        <v>01006303100</v>
      </c>
      <c r="B10004" s="1" t="str">
        <f>"PRASEUTSACK SYPAPHAY C"</f>
        <v>PRASEUTSACK SYPAPHAY C</v>
      </c>
      <c r="C10004" s="1" t="str">
        <f>"LINWOOD AVE THE HAAG LOT 23"</f>
        <v>LINWOOD AVE THE HAAG LOT 23</v>
      </c>
      <c r="D10004" s="1">
        <v>740.53</v>
      </c>
    </row>
    <row r="10005" spans="1:4" x14ac:dyDescent="0.3">
      <c r="A10005" s="1" t="str">
        <f>"13000211000"</f>
        <v>13000211000</v>
      </c>
      <c r="B10005" s="1" t="str">
        <f>"PRATER GARRY"</f>
        <v>PRATER GARRY</v>
      </c>
      <c r="C10005" s="1" t="str">
        <f>"2253 SALE RD NORTH LINDEN NO 3 LOT 11 &amp; 5'VAC ALLEY"</f>
        <v>2253 SALE RD NORTH LINDEN NO 3 LOT 11 &amp; 5'VAC ALLEY</v>
      </c>
      <c r="D10005" s="1">
        <v>164.37</v>
      </c>
    </row>
    <row r="10006" spans="1:4" x14ac:dyDescent="0.3">
      <c r="A10006" s="1" t="str">
        <f>"27301145600"</f>
        <v>27301145600</v>
      </c>
      <c r="B10006" s="1" t="str">
        <f>"PRATIKANTAM ANUPAMA, PRATIKANTAM BHASKAR RAJU"</f>
        <v>PRATIKANTAM ANUPAMA, PRATIKANTAM BHASKAR RAJU</v>
      </c>
      <c r="C10006" s="1" t="str">
        <f>"RESERVE CONDOMINIUMS AT SCIOTO CROSSING BLDG 14 UNIT 7746 "</f>
        <v xml:space="preserve">RESERVE CONDOMINIUMS AT SCIOTO CROSSING BLDG 14 UNIT 7746 </v>
      </c>
      <c r="D10006" s="1">
        <v>6195.04</v>
      </c>
    </row>
    <row r="10007" spans="1:4" x14ac:dyDescent="0.3">
      <c r="A10007" s="1" t="str">
        <f>"59023186800"</f>
        <v>59023186800</v>
      </c>
      <c r="B10007" s="1" t="str">
        <f>"PRATIKANTAM BHASKAR RAJU"</f>
        <v>PRATIKANTAM BHASKAR RAJU</v>
      </c>
      <c r="C10007" s="1" t="str">
        <f>"DUBLIN GREEN CONDOMINIUM 2ND AMD UNIT 6829-103"</f>
        <v>DUBLIN GREEN CONDOMINIUM 2ND AMD UNIT 6829-103</v>
      </c>
      <c r="D10007" s="1">
        <v>4414.5</v>
      </c>
    </row>
    <row r="10008" spans="1:4" x14ac:dyDescent="0.3">
      <c r="A10008" s="1" t="str">
        <f>"01013085600"</f>
        <v>01013085600</v>
      </c>
      <c r="B10008" s="1" t="str">
        <f>"PRATT RICHARD J"</f>
        <v>PRATT RICHARD J</v>
      </c>
      <c r="C10008" s="1" t="str">
        <f>"NORCROSS RD SALEM VILLAGE 2 LOT 173"</f>
        <v>NORCROSS RD SALEM VILLAGE 2 LOT 173</v>
      </c>
      <c r="D10008" s="1">
        <v>17.82</v>
      </c>
    </row>
    <row r="10009" spans="1:4" x14ac:dyDescent="0.3">
      <c r="A10009" s="1" t="str">
        <f>"09000190900"</f>
        <v>09000190900</v>
      </c>
      <c r="B10009" s="1" t="str">
        <f>"PREECE VIOLET K"</f>
        <v>PREECE VIOLET K</v>
      </c>
      <c r="C10009" s="1" t="str">
        <f>"246 S YEARLING RD NORTON FIELD PLAT 2 LOT 613"</f>
        <v>246 S YEARLING RD NORTON FIELD PLAT 2 LOT 613</v>
      </c>
      <c r="D10009" s="1">
        <v>1138.43</v>
      </c>
    </row>
    <row r="10010" spans="1:4" x14ac:dyDescent="0.3">
      <c r="A10010" s="1" t="str">
        <f>"01001180200"</f>
        <v>01001180200</v>
      </c>
      <c r="B10010" s="1" t="str">
        <f>"PREISSE CONSULTING LLC"</f>
        <v>PREISSE CONSULTING LLC</v>
      </c>
      <c r="C10010" s="1" t="str">
        <f>"725 S 5TH ST STAGES LOT 10"</f>
        <v>725 S 5TH ST STAGES LOT 10</v>
      </c>
      <c r="D10010" s="1">
        <v>296.39</v>
      </c>
    </row>
    <row r="10011" spans="1:4" x14ac:dyDescent="0.3">
      <c r="A10011" s="1" t="str">
        <f>"01030273700"</f>
        <v>01030273700</v>
      </c>
      <c r="B10011" s="1" t="str">
        <f>"PREMIA REO 2019 CW7-FTF"</f>
        <v>PREMIA REO 2019 CW7-FTF</v>
      </c>
      <c r="C10011" s="1" t="str">
        <f>"1140 FOREST CONDOMINIUM UNIT 1140 "</f>
        <v xml:space="preserve">1140 FOREST CONDOMINIUM UNIT 1140 </v>
      </c>
      <c r="D10011" s="1">
        <v>4500.8900000000003</v>
      </c>
    </row>
    <row r="10012" spans="1:4" x14ac:dyDescent="0.3">
      <c r="A10012" s="1" t="str">
        <f>"01007955300"</f>
        <v>01007955300</v>
      </c>
      <c r="B10012" s="1" t="str">
        <f>"PRENTISS DARRYLE"</f>
        <v>PRENTISS DARRYLE</v>
      </c>
      <c r="C10012" s="1" t="str">
        <f>"TWENTY THIRD AVE CLEVEMONT LOT 52 &amp; 13FT ES LOT 51"</f>
        <v>TWENTY THIRD AVE CLEVEMONT LOT 52 &amp; 13FT ES LOT 51</v>
      </c>
      <c r="D10012" s="1">
        <v>773.01</v>
      </c>
    </row>
    <row r="10013" spans="1:4" x14ac:dyDescent="0.3">
      <c r="A10013" s="1" t="str">
        <f>"22200475700"</f>
        <v>22200475700</v>
      </c>
      <c r="B10013" s="1" t="str">
        <f>"PRESCOTT COLIN, PRESCOTT ABIGAIL Z"</f>
        <v>PRESCOTT COLIN, PRESCOTT ABIGAIL Z</v>
      </c>
      <c r="C10013" s="1" t="str">
        <f>"NEW ALBANY COUNTRY CLUB SECTION 28 PART 1 LOT 5"</f>
        <v>NEW ALBANY COUNTRY CLUB SECTION 28 PART 1 LOT 5</v>
      </c>
      <c r="D10013" s="1">
        <v>28735.13</v>
      </c>
    </row>
    <row r="10014" spans="1:4" x14ac:dyDescent="0.3">
      <c r="A10014" s="1" t="str">
        <f>"01026233900"</f>
        <v>01026233900</v>
      </c>
      <c r="B10014" s="1" t="str">
        <f>"PRESKAR LINDA K"</f>
        <v>PRESKAR LINDA K</v>
      </c>
      <c r="C10014" s="1" t="str">
        <f>"COLLINGWOOD POINTE AT THE PRESERVE CONDO 5TH AMD UNIT 19-4690"</f>
        <v>COLLINGWOOD POINTE AT THE PRESERVE CONDO 5TH AMD UNIT 19-4690</v>
      </c>
      <c r="D10014" s="1">
        <v>2084.31</v>
      </c>
    </row>
    <row r="10015" spans="1:4" x14ac:dyDescent="0.3">
      <c r="A10015" s="1" t="str">
        <f>"57022546200"</f>
        <v>57022546200</v>
      </c>
      <c r="B10015" s="1" t="str">
        <f>"PRESLEY WILLIAM A"</f>
        <v>PRESLEY WILLIAM A</v>
      </c>
      <c r="C10015" s="1" t="str">
        <f>"OYSTER BAY WAY WESTCHESTER SEC4 PT2 LOT 134"</f>
        <v>OYSTER BAY WAY WESTCHESTER SEC4 PT2 LOT 134</v>
      </c>
      <c r="D10015" s="1">
        <v>178.67</v>
      </c>
    </row>
    <row r="10016" spans="1:4" x14ac:dyDescent="0.3">
      <c r="A10016" s="1" t="str">
        <f>"57023981700"</f>
        <v>57023981700</v>
      </c>
      <c r="B10016" s="1" t="str">
        <f>"PRESSLER TERESA J"</f>
        <v>PRESSLER TERESA J</v>
      </c>
      <c r="C10016" s="1" t="str">
        <f>"THEVINTREE DRIVE GALLOWAY RIDGE SEC 1 PART 2 LOT 15"</f>
        <v>THEVINTREE DRIVE GALLOWAY RIDGE SEC 1 PART 2 LOT 15</v>
      </c>
      <c r="D10016" s="1">
        <v>3396.35</v>
      </c>
    </row>
    <row r="10017" spans="1:4" x14ac:dyDescent="0.3">
      <c r="A10017" s="1" t="str">
        <f>"05000614800"</f>
        <v>05000614800</v>
      </c>
      <c r="B10017" s="1" t="str">
        <f>"PRESTEL JEFFREY M"</f>
        <v>PRESTEL JEFFREY M</v>
      </c>
      <c r="C10017" s="1" t="str">
        <f>"KERSEY COURT WOODS OF THE SCIOTO LOT 17"</f>
        <v>KERSEY COURT WOODS OF THE SCIOTO LOT 17</v>
      </c>
      <c r="D10017" s="1">
        <v>16303.58</v>
      </c>
    </row>
    <row r="10018" spans="1:4" x14ac:dyDescent="0.3">
      <c r="A10018" s="1" t="str">
        <f>"01006145700"</f>
        <v>01006145700</v>
      </c>
      <c r="B10018" s="1" t="str">
        <f>"PRESTIGE WORLDWIDE CONTRACTORS LLC"</f>
        <v>PRESTIGE WORLDWIDE CONTRACTORS LLC</v>
      </c>
      <c r="C10018" s="1" t="str">
        <f>"HARMON AVE ENTRY 422 166.34' ON HARMON AVE"</f>
        <v>HARMON AVE ENTRY 422 166.34' ON HARMON AVE</v>
      </c>
      <c r="D10018" s="1">
        <v>8666.25</v>
      </c>
    </row>
    <row r="10019" spans="1:4" x14ac:dyDescent="0.3">
      <c r="A10019" s="1" t="str">
        <f>"01011272200"</f>
        <v>01011272200</v>
      </c>
      <c r="B10019" s="1" t="str">
        <f>"PRESTO HOLDINGS LLC"</f>
        <v>PRESTO HOLDINGS LLC</v>
      </c>
      <c r="C10019" s="1" t="str">
        <f>"S CHAMPION AVE EARHART LOT 5"</f>
        <v>S CHAMPION AVE EARHART LOT 5</v>
      </c>
      <c r="D10019" s="1">
        <v>1059.23</v>
      </c>
    </row>
    <row r="10020" spans="1:4" x14ac:dyDescent="0.3">
      <c r="A10020" s="1" t="str">
        <f>"53016405400"</f>
        <v>53016405400</v>
      </c>
      <c r="B10020" s="1" t="str">
        <f>"PRESTON BARBARA J"</f>
        <v>PRESTON BARBARA J</v>
      </c>
      <c r="C10020" s="1" t="str">
        <f>"RIO GRANDE AVE THREE RIVERS LOT 149"</f>
        <v>RIO GRANDE AVE THREE RIVERS LOT 149</v>
      </c>
      <c r="D10020" s="1">
        <v>1153.79</v>
      </c>
    </row>
    <row r="10021" spans="1:4" x14ac:dyDescent="0.3">
      <c r="A10021" s="1" t="str">
        <f>"01011321300"</f>
        <v>01011321300</v>
      </c>
      <c r="B10021" s="1" t="str">
        <f>"PREVALENT PROPERTIES LLC"</f>
        <v>PREVALENT PROPERTIES LLC</v>
      </c>
      <c r="C10021" s="1" t="str">
        <f>"2382 6TH ST OBETZ LOT 40"</f>
        <v>2382 6TH ST OBETZ LOT 40</v>
      </c>
      <c r="D10021" s="1">
        <v>1523.49</v>
      </c>
    </row>
    <row r="10022" spans="1:4" x14ac:dyDescent="0.3">
      <c r="A10022" s="1" t="str">
        <f>"01002232700"</f>
        <v>01002232700</v>
      </c>
      <c r="B10022" s="1" t="str">
        <f>"PREVALENT PROPERTIES LLC"</f>
        <v>PREVALENT PROPERTIES LLC</v>
      </c>
      <c r="C10022" s="1" t="str">
        <f>"MARGARET AVE WILLSHIRE PLC LOT 14"</f>
        <v>MARGARET AVE WILLSHIRE PLC LOT 14</v>
      </c>
      <c r="D10022" s="1">
        <v>1011.66</v>
      </c>
    </row>
    <row r="10023" spans="1:4" x14ac:dyDescent="0.3">
      <c r="A10023" s="1" t="str">
        <f>"18000166500"</f>
        <v>18000166500</v>
      </c>
      <c r="B10023" s="1" t="str">
        <f>"PREVALENT PROPERTIES LLC"</f>
        <v>PREVALENT PROPERTIES LLC</v>
      </c>
      <c r="C10023" s="1" t="str">
        <f>"3093 MARWICK RD MARWICK ESTATES NO 5 LOT 87"</f>
        <v>3093 MARWICK RD MARWICK ESTATES NO 5 LOT 87</v>
      </c>
      <c r="D10023" s="1">
        <v>5475.39</v>
      </c>
    </row>
    <row r="10024" spans="1:4" x14ac:dyDescent="0.3">
      <c r="A10024" s="1" t="str">
        <f>"01002788500"</f>
        <v>01002788500</v>
      </c>
      <c r="B10024" s="1" t="str">
        <f>"PREVITS ROBERT"</f>
        <v>PREVITS ROBERT</v>
      </c>
      <c r="C10024" s="1" t="str">
        <f>"574 STEWART AVE DAVIES LOT 60"</f>
        <v>574 STEWART AVE DAVIES LOT 60</v>
      </c>
      <c r="D10024" s="1">
        <v>3204.1</v>
      </c>
    </row>
    <row r="10025" spans="1:4" x14ac:dyDescent="0.3">
      <c r="A10025" s="1" t="str">
        <f>"17100078500"</f>
        <v>17100078500</v>
      </c>
      <c r="B10025" s="1" t="str">
        <f>"PRIBE TIMOTHY L, PRIBE MONICA T"</f>
        <v>PRIBE TIMOTHY L, PRIBE MONICA T</v>
      </c>
      <c r="C10025" s="1" t="str">
        <f>"MORRISON FARMS DRIVE MORRISON FARMS SECTION 2 LOT 53"</f>
        <v>MORRISON FARMS DRIVE MORRISON FARMS SECTION 2 LOT 53</v>
      </c>
      <c r="D10025" s="1">
        <v>3950.65</v>
      </c>
    </row>
    <row r="10026" spans="1:4" x14ac:dyDescent="0.3">
      <c r="A10026" s="1" t="str">
        <f>"01008393900"</f>
        <v>01008393900</v>
      </c>
      <c r="B10026" s="1" t="str">
        <f>"PRICE CHARLES ERIC, VAN DER ZWAN-PRICE KRISTI"</f>
        <v>PRICE CHARLES ERIC, VAN DER ZWAN-PRICE KRISTI</v>
      </c>
      <c r="C10026" s="1" t="str">
        <f>"JEFFREY PLACE BEECHWOLD LOT 59"</f>
        <v>JEFFREY PLACE BEECHWOLD LOT 59</v>
      </c>
      <c r="D10026" s="1">
        <v>395.61</v>
      </c>
    </row>
    <row r="10027" spans="1:4" x14ac:dyDescent="0.3">
      <c r="A10027" s="1" t="str">
        <f>"01008400900"</f>
        <v>01008400900</v>
      </c>
      <c r="B10027" s="1" t="str">
        <f>"PRICE ELIZABETH"</f>
        <v>PRICE ELIZABETH</v>
      </c>
      <c r="C10027" s="1" t="str">
        <f>"89 RIVERVIEW PARK DR BEECHWOLD SUB 166"</f>
        <v>89 RIVERVIEW PARK DR BEECHWOLD SUB 166</v>
      </c>
      <c r="D10027" s="1">
        <v>394.63</v>
      </c>
    </row>
    <row r="10028" spans="1:4" x14ac:dyDescent="0.3">
      <c r="A10028" s="1" t="str">
        <f>"56021436500"</f>
        <v>56021436500</v>
      </c>
      <c r="B10028" s="1" t="str">
        <f>"PRICE GLORIA J"</f>
        <v>PRICE GLORIA J</v>
      </c>
      <c r="C10028" s="1" t="str">
        <f>"5352 BRESSLER DR WESTWIND SECTION 2 LOT 81 EX IRR SW PT"</f>
        <v>5352 BRESSLER DR WESTWIND SECTION 2 LOT 81 EX IRR SW PT</v>
      </c>
      <c r="D10028" s="1">
        <v>242.58</v>
      </c>
    </row>
    <row r="10029" spans="1:4" x14ac:dyDescent="0.3">
      <c r="A10029" s="1" t="str">
        <f>"01008375800"</f>
        <v>01008375800</v>
      </c>
      <c r="B10029" s="1" t="str">
        <f>"PRICE JOHN JACOB"</f>
        <v>PRICE JOHN JACOB</v>
      </c>
      <c r="C10029" s="1" t="str">
        <f>"MCGUFFEY AVE SUNNYSIDE LOT 649"</f>
        <v>MCGUFFEY AVE SUNNYSIDE LOT 649</v>
      </c>
      <c r="D10029" s="1">
        <v>1100</v>
      </c>
    </row>
    <row r="10030" spans="1:4" x14ac:dyDescent="0.3">
      <c r="A10030" s="1" t="str">
        <f>"01026610300"</f>
        <v>01026610300</v>
      </c>
      <c r="B10030" s="1" t="str">
        <f>"PRICE KYLE L, LINDSEY PENNY D, PRICE TERRY V"</f>
        <v>PRICE KYLE L, LINDSEY PENNY D, PRICE TERRY V</v>
      </c>
      <c r="C10030" s="1" t="str">
        <f>"3726 PARSONS AVE GARDEN FARMS 150'X 135'WS LOTS 1-2"</f>
        <v>3726 PARSONS AVE GARDEN FARMS 150'X 135'WS LOTS 1-2</v>
      </c>
      <c r="D10030" s="1">
        <v>1556.82</v>
      </c>
    </row>
    <row r="10031" spans="1:4" x14ac:dyDescent="0.3">
      <c r="A10031" s="1" t="str">
        <f>"10000166800"</f>
        <v>10000166800</v>
      </c>
      <c r="B10031" s="1" t="str">
        <f>"PRICE MARY K"</f>
        <v>PRICE MARY K</v>
      </c>
      <c r="C10031" s="1" t="str">
        <f>"553 SELBY BLVD COLONIAL HILLS DALES LOT 2 BLK N"</f>
        <v>553 SELBY BLVD COLONIAL HILLS DALES LOT 2 BLK N</v>
      </c>
      <c r="D10031" s="1">
        <v>351.94</v>
      </c>
    </row>
    <row r="10032" spans="1:4" x14ac:dyDescent="0.3">
      <c r="A10032" s="1" t="str">
        <f>"60018457800"</f>
        <v>60018457800</v>
      </c>
      <c r="B10032" s="1" t="str">
        <f>"PRICE MICHAEL T"</f>
        <v>PRICE MICHAEL T</v>
      </c>
      <c r="C10032" s="1" t="str">
        <f>"BIG PINE DR STRAWBERRY PATCH LOT 37"</f>
        <v>BIG PINE DR STRAWBERRY PATCH LOT 37</v>
      </c>
      <c r="D10032" s="1">
        <v>2429.23</v>
      </c>
    </row>
    <row r="10033" spans="1:4" x14ac:dyDescent="0.3">
      <c r="A10033" s="1" t="str">
        <f>"24100060400"</f>
        <v>24100060400</v>
      </c>
      <c r="B10033" s="1" t="str">
        <f>"PRICE MILTON H, PRICE AYRIS R"</f>
        <v>PRICE MILTON H, PRICE AYRIS R</v>
      </c>
      <c r="C10033" s="1" t="str">
        <f>"FEDER RD YOUNG ESTATES LOT 2"</f>
        <v>FEDER RD YOUNG ESTATES LOT 2</v>
      </c>
      <c r="D10033" s="1">
        <v>309.94</v>
      </c>
    </row>
    <row r="10034" spans="1:4" x14ac:dyDescent="0.3">
      <c r="A10034" s="1" t="str">
        <f>"01010744000"</f>
        <v>01010744000</v>
      </c>
      <c r="B10034" s="1" t="str">
        <f>"PRICE PAUL E III"</f>
        <v>PRICE PAUL E III</v>
      </c>
      <c r="C10034" s="1" t="str">
        <f>"TRENTWOOD RD KENNY HGTS LOT 15 BLK 314"</f>
        <v>TRENTWOOD RD KENNY HGTS LOT 15 BLK 314</v>
      </c>
      <c r="D10034" s="1">
        <v>4556.71</v>
      </c>
    </row>
    <row r="10035" spans="1:4" x14ac:dyDescent="0.3">
      <c r="A10035" s="1" t="str">
        <f>"01007486500"</f>
        <v>01007486500</v>
      </c>
      <c r="B10035" s="1" t="str">
        <f>"PRICE RONALD G JR, PRICE JAMIE A"</f>
        <v>PRICE RONALD G JR, PRICE JAMIE A</v>
      </c>
      <c r="C10035" s="1" t="str">
        <f>"HAMILTON AVE GRASMERE GARDENS LOT 99"</f>
        <v>HAMILTON AVE GRASMERE GARDENS LOT 99</v>
      </c>
      <c r="D10035" s="1">
        <v>146.04</v>
      </c>
    </row>
    <row r="10036" spans="1:4" x14ac:dyDescent="0.3">
      <c r="A10036" s="1" t="str">
        <f>"01008250400"</f>
        <v>01008250400</v>
      </c>
      <c r="B10036" s="1" t="str">
        <f>"PRICE WILLIAM S, PRICE ARTIEJEAN"</f>
        <v>PRICE WILLIAM S, PRICE ARTIEJEAN</v>
      </c>
      <c r="C10036" s="1" t="str">
        <f>"2851 E 11TH AVE EAST COLUMBUS HTS LOT 46"</f>
        <v>2851 E 11TH AVE EAST COLUMBUS HTS LOT 46</v>
      </c>
      <c r="D10036" s="1">
        <v>546.22</v>
      </c>
    </row>
    <row r="10037" spans="1:4" x14ac:dyDescent="0.3">
      <c r="A10037" s="1" t="str">
        <f>"18400132400"</f>
        <v>18400132400</v>
      </c>
      <c r="B10037" s="1" t="str">
        <f>"PRICHARD CARL A"</f>
        <v>PRICHARD CARL A</v>
      </c>
      <c r="C10037" s="1" t="str">
        <f>"PARK ST R21 T11 S25 .290 ACRES"</f>
        <v>PARK ST R21 T11 S25 .290 ACRES</v>
      </c>
      <c r="D10037" s="1">
        <v>2859</v>
      </c>
    </row>
    <row r="10038" spans="1:4" x14ac:dyDescent="0.3">
      <c r="A10038" s="1" t="str">
        <f>"11000368800"</f>
        <v>11000368800</v>
      </c>
      <c r="B10038" s="1" t="str">
        <f>"PRICHARD MARSHALL L, PRICHARD DEBRA L"</f>
        <v>PRICHARD MARSHALL L, PRICHARD DEBRA L</v>
      </c>
      <c r="C10038" s="1" t="str">
        <f>"PARIS BLVD H C HUBER PLAT 48 SEC 6 1751 "</f>
        <v xml:space="preserve">PARIS BLVD H C HUBER PLAT 48 SEC 6 1751 </v>
      </c>
      <c r="D10038" s="1">
        <v>7597.13</v>
      </c>
    </row>
    <row r="10039" spans="1:4" x14ac:dyDescent="0.3">
      <c r="A10039" s="1" t="str">
        <f>"07000618600"</f>
        <v>07000618600</v>
      </c>
      <c r="B10039" s="1" t="str">
        <f>"PRIDE MARC ANDREW TR"</f>
        <v>PRIDE MARC ANDREW TR</v>
      </c>
      <c r="C10039" s="1" t="str">
        <f>"SWANSEA RD RIVER RIDGE 43 BLK 10"</f>
        <v>SWANSEA RD RIVER RIDGE 43 BLK 10</v>
      </c>
      <c r="D10039" s="1">
        <v>6653.22</v>
      </c>
    </row>
    <row r="10040" spans="1:4" x14ac:dyDescent="0.3">
      <c r="A10040" s="1" t="str">
        <f>"01003800400"</f>
        <v>01003800400</v>
      </c>
      <c r="B10040" s="1" t="str">
        <f>"PRIDE OF WEST NO  5"</f>
        <v>PRIDE OF WEST NO  5</v>
      </c>
      <c r="C10040" s="1" t="str">
        <f>"772-7J MT VERNON AVE 84 FT W L 7I FT E L S LOT 2 SHORTS"</f>
        <v>772-7J MT VERNON AVE 84 FT W L 7I FT E L S LOT 2 SHORTS</v>
      </c>
      <c r="D10040" s="1">
        <v>1105.54</v>
      </c>
    </row>
    <row r="10041" spans="1:4" x14ac:dyDescent="0.3">
      <c r="A10041" s="1" t="str">
        <f>"01000334200"</f>
        <v>01000334200</v>
      </c>
      <c r="B10041" s="1" t="str">
        <f>"PRIDE OF WEST NO  5"</f>
        <v>PRIDE OF WEST NO  5</v>
      </c>
      <c r="C10041" s="1" t="str">
        <f>"MT VERNON AVE SHORTS LOT 2"</f>
        <v>MT VERNON AVE SHORTS LOT 2</v>
      </c>
      <c r="D10041" s="1">
        <v>264.14999999999998</v>
      </c>
    </row>
    <row r="10042" spans="1:4" x14ac:dyDescent="0.3">
      <c r="A10042" s="1" t="str">
        <f>"01008077700"</f>
        <v>01008077700</v>
      </c>
      <c r="B10042" s="1" t="str">
        <f>"PRILLERMAN BYRD A IV"</f>
        <v>PRILLERMAN BYRD A IV</v>
      </c>
      <c r="C10042" s="1" t="str">
        <f>"1070 LILLEY AVENUE DRIVING PARK LOT 278"</f>
        <v>1070 LILLEY AVENUE DRIVING PARK LOT 278</v>
      </c>
      <c r="D10042" s="1">
        <v>1655.14</v>
      </c>
    </row>
    <row r="10043" spans="1:4" x14ac:dyDescent="0.3">
      <c r="A10043" s="1" t="str">
        <f>"24000223500"</f>
        <v>24000223500</v>
      </c>
      <c r="B10043" s="1" t="str">
        <f>"PRIME LUXURY LLC"</f>
        <v>PRIME LUXURY LLC</v>
      </c>
      <c r="C10043" s="1" t="str">
        <f>"W BROAD ST ENTRY 5106 3.920 ACRES"</f>
        <v>W BROAD ST ENTRY 5106 3.920 ACRES</v>
      </c>
      <c r="D10043" s="1">
        <v>5413.25</v>
      </c>
    </row>
    <row r="10044" spans="1:4" x14ac:dyDescent="0.3">
      <c r="A10044" s="1" t="str">
        <f>"57023071500"</f>
        <v>57023071500</v>
      </c>
      <c r="B10044" s="1" t="str">
        <f>"PRIME LUXURY LLC"</f>
        <v>PRIME LUXURY LLC</v>
      </c>
      <c r="C10044" s="1" t="str">
        <f>"SPIVEY LANE WESTCHESTER SEC6 PT1 LOT 320"</f>
        <v>SPIVEY LANE WESTCHESTER SEC6 PT1 LOT 320</v>
      </c>
      <c r="D10044" s="1">
        <v>3518.8</v>
      </c>
    </row>
    <row r="10045" spans="1:4" x14ac:dyDescent="0.3">
      <c r="A10045" s="1" t="str">
        <f>"24000081400"</f>
        <v>24000081400</v>
      </c>
      <c r="B10045" s="1" t="str">
        <f>"PRIME LUXURY LLC"</f>
        <v>PRIME LUXURY LLC</v>
      </c>
      <c r="C10045" s="1" t="str">
        <f>"INAH AVE CRELLINS WOODLAWN LOTS 19 &amp; 20 &amp; PT VAC AL"</f>
        <v>INAH AVE CRELLINS WOODLAWN LOTS 19 &amp; 20 &amp; PT VAC AL</v>
      </c>
      <c r="D10045" s="1">
        <v>1516.02</v>
      </c>
    </row>
    <row r="10046" spans="1:4" x14ac:dyDescent="0.3">
      <c r="A10046" s="1" t="str">
        <f>"01001596400"</f>
        <v>01001596400</v>
      </c>
      <c r="B10046" s="1" t="str">
        <f>"PRINCESS PROEPRTIES INC"</f>
        <v>PRINCESS PROEPRTIES INC</v>
      </c>
      <c r="C10046" s="1" t="str">
        <f>"INTEGRITY DR S COLS COMMERCE CENTER 2.347 ACRES"</f>
        <v>INTEGRITY DR S COLS COMMERCE CENTER 2.347 ACRES</v>
      </c>
      <c r="D10046" s="1">
        <v>107.75</v>
      </c>
    </row>
    <row r="10047" spans="1:4" x14ac:dyDescent="0.3">
      <c r="A10047" s="1" t="str">
        <f>"01001258300"</f>
        <v>01001258300</v>
      </c>
      <c r="B10047" s="1" t="str">
        <f>"PRINCESS PROPERTIES INC"</f>
        <v>PRINCESS PROPERTIES INC</v>
      </c>
      <c r="C10047" s="1" t="str">
        <f>"2020 INTEGRITY DR S COLS COMMERCE CENTER PT LOT 6=5.098 ACRES"</f>
        <v>2020 INTEGRITY DR S COLS COMMERCE CENTER PT LOT 6=5.098 ACRES</v>
      </c>
      <c r="D10047" s="1">
        <v>1122.7</v>
      </c>
    </row>
    <row r="10048" spans="1:4" x14ac:dyDescent="0.3">
      <c r="A10048" s="1" t="str">
        <f>"01014557200"</f>
        <v>01014557200</v>
      </c>
      <c r="B10048" s="1" t="str">
        <f>"PRINCIPAL PROPERTY SOLUTIONS LLC"</f>
        <v>PRINCIPAL PROPERTY SOLUTIONS LLC</v>
      </c>
      <c r="C10048" s="1" t="str">
        <f>"TOWNE WOOD LOT 86 "</f>
        <v xml:space="preserve">TOWNE WOOD LOT 86 </v>
      </c>
      <c r="D10048" s="1">
        <v>1200.75</v>
      </c>
    </row>
    <row r="10049" spans="1:4" x14ac:dyDescent="0.3">
      <c r="A10049" s="1" t="str">
        <f>"01016721300"</f>
        <v>01016721300</v>
      </c>
      <c r="B10049" s="1" t="str">
        <f>"PRINDLE FREDERICK G, PRINDLE BARBARA"</f>
        <v>PRINDLE FREDERICK G, PRINDLE BARBARA</v>
      </c>
      <c r="C10049" s="1" t="str">
        <f>"MEREDITH DR AMVET HOMESTD SUB 1 LOT 49 BLK E"</f>
        <v>MEREDITH DR AMVET HOMESTD SUB 1 LOT 49 BLK E</v>
      </c>
      <c r="D10049" s="1">
        <v>855.21</v>
      </c>
    </row>
    <row r="10050" spans="1:4" x14ac:dyDescent="0.3">
      <c r="A10050" s="1" t="str">
        <f>"01014862000"</f>
        <v>01014862000</v>
      </c>
      <c r="B10050" s="1" t="str">
        <f>"PRINGLE JENNIFER M"</f>
        <v>PRINGLE JENNIFER M</v>
      </c>
      <c r="C10050" s="1" t="str">
        <f>"BAR HARBOR PLACE BRITTANY HILLS LOT 90"</f>
        <v>BAR HARBOR PLACE BRITTANY HILLS LOT 90</v>
      </c>
      <c r="D10050" s="1">
        <v>2502.59</v>
      </c>
    </row>
    <row r="10051" spans="1:4" x14ac:dyDescent="0.3">
      <c r="A10051" s="1" t="str">
        <f>"04000316600"</f>
        <v>04000316600</v>
      </c>
      <c r="B10051" s="1" t="str">
        <f>"PRITCHARD MIALEE M"</f>
        <v>PRITCHARD MIALEE M</v>
      </c>
      <c r="C10051" s="1" t="str">
        <f>"2946 BARBEE AVENUE RICHARD AV RE-SUB PT BARFIELD HTS 1 24"</f>
        <v>2946 BARBEE AVENUE RICHARD AV RE-SUB PT BARFIELD HTS 1 24</v>
      </c>
      <c r="D10051" s="1">
        <v>2290.61</v>
      </c>
    </row>
    <row r="10052" spans="1:4" x14ac:dyDescent="0.3">
      <c r="A10052" s="1" t="str">
        <f>"01006475400"</f>
        <v>01006475400</v>
      </c>
      <c r="B10052" s="1" t="str">
        <f>"PRITCHARD VICKI"</f>
        <v>PRITCHARD VICKI</v>
      </c>
      <c r="C10052" s="1" t="str">
        <f>"W MOUND ST ACRES .1185 ENTRY 3356-971"</f>
        <v>W MOUND ST ACRES .1185 ENTRY 3356-971</v>
      </c>
      <c r="D10052" s="1">
        <v>1082.6300000000001</v>
      </c>
    </row>
    <row r="10053" spans="1:4" x14ac:dyDescent="0.3">
      <c r="A10053" s="1" t="str">
        <f>"01018848700"</f>
        <v>01018848700</v>
      </c>
      <c r="B10053" s="1" t="str">
        <f>"PRO VANTAGE ENTERPRISES LLC"</f>
        <v>PRO VANTAGE ENTERPRISES LLC</v>
      </c>
      <c r="C10053" s="1" t="str">
        <f>"MERRIMAR CIR N HEARTHSTONE CONDO UNIT 1126-L BLDG 4"</f>
        <v>MERRIMAR CIR N HEARTHSTONE CONDO UNIT 1126-L BLDG 4</v>
      </c>
      <c r="D10053" s="1">
        <v>1024.3</v>
      </c>
    </row>
    <row r="10054" spans="1:4" x14ac:dyDescent="0.3">
      <c r="A10054" s="1" t="str">
        <f>"06000463200"</f>
        <v>06000463200</v>
      </c>
      <c r="B10054" s="1" t="str">
        <f>"PROCTOR JAMES M, PROCTOR VIRGINIA"</f>
        <v>PROCTOR JAMES M, PROCTOR VIRGINIA</v>
      </c>
      <c r="C10054" s="1" t="str">
        <f>"BIRCHWOOD DR BLACKLICK HEIGHTS 3 LOT 83"</f>
        <v>BIRCHWOOD DR BLACKLICK HEIGHTS 3 LOT 83</v>
      </c>
      <c r="D10054" s="1">
        <v>213.94</v>
      </c>
    </row>
    <row r="10055" spans="1:4" x14ac:dyDescent="0.3">
      <c r="A10055" s="1" t="str">
        <f>"01007115700"</f>
        <v>01007115700</v>
      </c>
      <c r="B10055" s="1" t="str">
        <f>"PROFIT AVENUE PROPERTY INVESTMENTS LLC"</f>
        <v>PROFIT AVENUE PROPERTY INVESTMENTS LLC</v>
      </c>
      <c r="C10055" s="1" t="str">
        <f>"BLAKE AVE 18FT ES LOT 93&amp;27 FT WS 94 NORLEA PK"</f>
        <v>BLAKE AVE 18FT ES LOT 93&amp;27 FT WS 94 NORLEA PK</v>
      </c>
      <c r="D10055" s="1">
        <v>2009.13</v>
      </c>
    </row>
    <row r="10056" spans="1:4" x14ac:dyDescent="0.3">
      <c r="A10056" s="1" t="str">
        <f>"11000574500"</f>
        <v>11000574500</v>
      </c>
      <c r="B10056" s="1" t="str">
        <f>"PROITSIS IOANNIS"</f>
        <v>PROITSIS IOANNIS</v>
      </c>
      <c r="C10056" s="1" t="str">
        <f>"LAWN PL SUNBURY WOODS EAST LOT 15"</f>
        <v>LAWN PL SUNBURY WOODS EAST LOT 15</v>
      </c>
      <c r="D10056" s="1">
        <v>4542.18</v>
      </c>
    </row>
    <row r="10057" spans="1:4" x14ac:dyDescent="0.3">
      <c r="A10057" s="1" t="str">
        <f>"01027553800"</f>
        <v>01027553800</v>
      </c>
      <c r="B10057" s="1" t="str">
        <f>"PROKHNEVSKIY KRISTINA, PROKHNEVSKIY DMITRIY"</f>
        <v>PROKHNEVSKIY KRISTINA, PROKHNEVSKIY DMITRIY</v>
      </c>
      <c r="C10057" s="1" t="str">
        <f>"4040 TRADE ROYAL CROSSING TOWN SQUARE VILLAGES AT   PRESERVE CROSS S-1 LOT 9 "</f>
        <v xml:space="preserve">4040 TRADE ROYAL CROSSING TOWN SQUARE VILLAGES AT   PRESERVE CROSS S-1 LOT 9 </v>
      </c>
      <c r="D10057" s="1">
        <v>2703.32</v>
      </c>
    </row>
    <row r="10058" spans="1:4" x14ac:dyDescent="0.3">
      <c r="A10058" s="1" t="str">
        <f>"57017418700"</f>
        <v>57017418700</v>
      </c>
      <c r="B10058" s="1" t="str">
        <f>"PROKOPYUK ALEKSANDR A"</f>
        <v>PROKOPYUK ALEKSANDR A</v>
      </c>
      <c r="C10058" s="1" t="str">
        <f>"REANA DR LAUREL GREENE S4 PH1 LOT 389"</f>
        <v>REANA DR LAUREL GREENE S4 PH1 LOT 389</v>
      </c>
      <c r="D10058" s="1">
        <v>157.19999999999999</v>
      </c>
    </row>
    <row r="10059" spans="1:4" x14ac:dyDescent="0.3">
      <c r="A10059" s="1" t="str">
        <f>"57015204500"</f>
        <v>57015204500</v>
      </c>
      <c r="B10059" s="1" t="str">
        <f>"PROKOPYUK ALEKSANDR A"</f>
        <v>PROKOPYUK ALEKSANDR A</v>
      </c>
      <c r="C10059" s="1" t="str">
        <f>"WINDING CREEK DR RIVER BEND SEC 2 LOT 152"</f>
        <v>WINDING CREEK DR RIVER BEND SEC 2 LOT 152</v>
      </c>
      <c r="D10059" s="1">
        <v>119.46</v>
      </c>
    </row>
    <row r="10060" spans="1:4" x14ac:dyDescent="0.3">
      <c r="A10060" s="1" t="str">
        <f>"23000301000"</f>
        <v>23000301000</v>
      </c>
      <c r="B10060" s="1" t="str">
        <f>"PROKOPYUK ALEKSANDR, PROKOPYUK SVETLANA"</f>
        <v>PROKOPYUK ALEKSANDR, PROKOPYUK SVETLANA</v>
      </c>
      <c r="C10060" s="1" t="str">
        <f>"KROPP ROAD ENTRY 13310 14.724 ACRES"</f>
        <v>KROPP ROAD ENTRY 13310 14.724 ACRES</v>
      </c>
      <c r="D10060" s="1">
        <v>400.14</v>
      </c>
    </row>
    <row r="10061" spans="1:4" x14ac:dyDescent="0.3">
      <c r="A10061" s="1" t="str">
        <f>"16100072900"</f>
        <v>16100072900</v>
      </c>
      <c r="B10061" s="1" t="str">
        <f>"PROKOPYUK VALERIY"</f>
        <v>PROKOPYUK VALERIY</v>
      </c>
      <c r="C10061" s="1" t="str">
        <f>"2852 MAPLE ST URBANCREST 16-17 BLK 7"</f>
        <v>2852 MAPLE ST URBANCREST 16-17 BLK 7</v>
      </c>
      <c r="D10061" s="1">
        <v>143.24</v>
      </c>
    </row>
    <row r="10062" spans="1:4" x14ac:dyDescent="0.3">
      <c r="A10062" s="1" t="str">
        <f>"08000118800"</f>
        <v>08000118800</v>
      </c>
      <c r="B10062" s="1" t="str">
        <f>"PROLINE HIDDEN FENCE CO"</f>
        <v>PROLINE HIDDEN FENCE CO</v>
      </c>
      <c r="C10062" s="1" t="str">
        <f>"269 S STATE ST            .326 ACRE                 LOT 14 URP               "</f>
        <v xml:space="preserve">269 S STATE ST            .326 ACRE                 LOT 14 URP               </v>
      </c>
      <c r="D10062" s="1">
        <v>3536.12</v>
      </c>
    </row>
    <row r="10063" spans="1:4" x14ac:dyDescent="0.3">
      <c r="A10063" s="1" t="str">
        <f>"09000380200"</f>
        <v>09000380200</v>
      </c>
      <c r="B10063" s="1" t="str">
        <f>"PROPERTIES J LIMITED"</f>
        <v>PROPERTIES J LIMITED</v>
      </c>
      <c r="C10063" s="1" t="str">
        <f>"4244 E MAIN ST E MAIN ST GLENCOE 6 "</f>
        <v xml:space="preserve">4244 E MAIN ST E MAIN ST GLENCOE 6 </v>
      </c>
      <c r="D10063" s="1">
        <v>5569.78</v>
      </c>
    </row>
    <row r="10064" spans="1:4" x14ac:dyDescent="0.3">
      <c r="A10064" s="1" t="str">
        <f>"01000811600"</f>
        <v>01000811600</v>
      </c>
      <c r="B10064" s="1" t="str">
        <f>"PROPERTY GURUS LLC"</f>
        <v>PROPERTY GURUS LLC</v>
      </c>
      <c r="C10064" s="1" t="str">
        <f>"404-406 HAMILTON AVE GARRISON PARK PLACE LOT 169"</f>
        <v>404-406 HAMILTON AVE GARRISON PARK PLACE LOT 169</v>
      </c>
      <c r="D10064" s="1">
        <v>2089.42</v>
      </c>
    </row>
    <row r="10065" spans="1:4" x14ac:dyDescent="0.3">
      <c r="A10065" s="1" t="str">
        <f>"06000127600"</f>
        <v>06000127600</v>
      </c>
      <c r="B10065" s="1" t="str">
        <f>"PROPERTY GURUS LLC"</f>
        <v>PROPERTY GURUS LLC</v>
      </c>
      <c r="C10065" s="1" t="str">
        <f>"BRICE ROAD .290 ACRE R21 T12S14 1/2S21"</f>
        <v>BRICE ROAD .290 ACRE R21 T12S14 1/2S21</v>
      </c>
      <c r="D10065" s="1">
        <v>2826.88</v>
      </c>
    </row>
    <row r="10066" spans="1:4" x14ac:dyDescent="0.3">
      <c r="A10066" s="1" t="str">
        <f>"01002523800"</f>
        <v>01002523800</v>
      </c>
      <c r="B10066" s="1" t="str">
        <f>"PROPERTY GURUS LLC"</f>
        <v>PROPERTY GURUS LLC</v>
      </c>
      <c r="C10066" s="1" t="str">
        <f>"876-876 1/2 MT VERNON AVE JONES ADDITION LOT 73"</f>
        <v>876-876 1/2 MT VERNON AVE JONES ADDITION LOT 73</v>
      </c>
      <c r="D10066" s="1">
        <v>909.74</v>
      </c>
    </row>
    <row r="10067" spans="1:4" x14ac:dyDescent="0.3">
      <c r="A10067" s="1" t="str">
        <f>"10000407700"</f>
        <v>10000407700</v>
      </c>
      <c r="B10067" s="1" t="str">
        <f>"PROPERTY ONE LLC"</f>
        <v>PROPERTY ONE LLC</v>
      </c>
      <c r="C10067" s="1" t="str">
        <f>"OLENTANGY RIVER RD .501 ACRE OLENTANGY RIV RD"</f>
        <v>OLENTANGY RIVER RD .501 ACRE OLENTANGY RIV RD</v>
      </c>
      <c r="D10067" s="1">
        <v>1639.3</v>
      </c>
    </row>
    <row r="10068" spans="1:4" x14ac:dyDescent="0.3">
      <c r="A10068" s="1" t="str">
        <f>"08000896100"</f>
        <v>08000896100</v>
      </c>
      <c r="B10068" s="1" t="str">
        <f>"PROPERTY ONE LLC"</f>
        <v>PROPERTY ONE LLC</v>
      </c>
      <c r="C10068" s="1" t="str">
        <f>"259 EASTWIND CT WESTERVILLE CONDO TOWNHMS V UNIT D"</f>
        <v>259 EASTWIND CT WESTERVILLE CONDO TOWNHMS V UNIT D</v>
      </c>
      <c r="D10068" s="1">
        <v>2867.22</v>
      </c>
    </row>
    <row r="10069" spans="1:4" x14ac:dyDescent="0.3">
      <c r="A10069" s="1" t="str">
        <f>"08000894400"</f>
        <v>08000894400</v>
      </c>
      <c r="B10069" s="1" t="str">
        <f>"PROPERTY ONE LLC"</f>
        <v>PROPERTY ONE LLC</v>
      </c>
      <c r="C10069" s="1" t="str">
        <f>"253 CROSS WIND DR WESTERVILLE CONDO TOWNHMS II UNIT A"</f>
        <v>253 CROSS WIND DR WESTERVILLE CONDO TOWNHMS II UNIT A</v>
      </c>
      <c r="D10069" s="1">
        <v>2874.42</v>
      </c>
    </row>
    <row r="10070" spans="1:4" x14ac:dyDescent="0.3">
      <c r="A10070" s="1" t="str">
        <f>"07000860700"</f>
        <v>07000860700</v>
      </c>
      <c r="B10070" s="1" t="str">
        <f>"PROPHATER WILLIAM H, RUSH MANDERLEY A"</f>
        <v>PROPHATER WILLIAM H, RUSH MANDERLEY A</v>
      </c>
      <c r="C10070" s="1" t="str">
        <f>"1609 RIDGEVIEW RD BRANDON HTS EX 2 13 "</f>
        <v xml:space="preserve">1609 RIDGEVIEW RD BRANDON HTS EX 2 13 </v>
      </c>
      <c r="D10070" s="1">
        <v>456.28</v>
      </c>
    </row>
    <row r="10071" spans="1:4" x14ac:dyDescent="0.3">
      <c r="A10071" s="1" t="str">
        <f>"06000383700"</f>
        <v>06000383700</v>
      </c>
      <c r="B10071" s="1" t="str">
        <f>"PROSPERITY CARE SERVICES LLC"</f>
        <v>PROSPERITY CARE SERVICES LLC</v>
      </c>
      <c r="C10071" s="1" t="str">
        <f>"E LIVINGSTON AVE R21 T12 S13 1/2 S20 1.377 ACRES"</f>
        <v>E LIVINGSTON AVE R21 T12 S13 1/2 S20 1.377 ACRES</v>
      </c>
      <c r="D10071" s="1">
        <v>11257.55</v>
      </c>
    </row>
    <row r="10072" spans="1:4" x14ac:dyDescent="0.3">
      <c r="A10072" s="1" t="str">
        <f>"56022400400"</f>
        <v>56022400400</v>
      </c>
      <c r="B10072" s="1" t="str">
        <f>"PROSPERITY ESTATE INVESTMENTS LLC"</f>
        <v>PROSPERITY ESTATE INVESTMENTS LLC</v>
      </c>
      <c r="C10072" s="1" t="str">
        <f>"ROME-HILLIARD ROAD ENTRY 7029-6542 0.683 ACRE"</f>
        <v>ROME-HILLIARD ROAD ENTRY 7029-6542 0.683 ACRE</v>
      </c>
      <c r="D10072" s="1">
        <v>7376.18</v>
      </c>
    </row>
    <row r="10073" spans="1:4" x14ac:dyDescent="0.3">
      <c r="A10073" s="1" t="str">
        <f>"01004741400"</f>
        <v>01004741400</v>
      </c>
      <c r="B10073" s="1" t="str">
        <f>"PROW BENJAMIN"</f>
        <v>PROW BENJAMIN</v>
      </c>
      <c r="C10073" s="1" t="str">
        <f>"320-22 STANFORD PL STANFORD PL LOT 7"</f>
        <v>320-22 STANFORD PL STANFORD PL LOT 7</v>
      </c>
      <c r="D10073" s="1">
        <v>1644.18</v>
      </c>
    </row>
    <row r="10074" spans="1:4" x14ac:dyDescent="0.3">
      <c r="A10074" s="1" t="str">
        <f>"01008325200"</f>
        <v>01008325200</v>
      </c>
      <c r="B10074" s="1" t="str">
        <f>"PRUDENT ESTATES LLC"</f>
        <v>PRUDENT ESTATES LLC</v>
      </c>
      <c r="C10074" s="1" t="str">
        <f>"MOON RD R18 T1 1/2 SEC T 1 0.30 ACRE"</f>
        <v>MOON RD R18 T1 1/2 SEC T 1 0.30 ACRE</v>
      </c>
      <c r="D10074" s="1">
        <v>9701.8799999999992</v>
      </c>
    </row>
    <row r="10075" spans="1:4" x14ac:dyDescent="0.3">
      <c r="A10075" s="1" t="str">
        <f>"01019840500"</f>
        <v>01019840500</v>
      </c>
      <c r="B10075" s="1" t="str">
        <f>"PRUNTY MICHAEL SCOTT, PRUNTY PATRICIA ANN"</f>
        <v>PRUNTY MICHAEL SCOTT, PRUNTY PATRICIA ANN</v>
      </c>
      <c r="C10075" s="1" t="str">
        <f>"NORTHLAND SEN VIL CONDO 2ND AMD BLDG C UNIT 109"</f>
        <v>NORTHLAND SEN VIL CONDO 2ND AMD BLDG C UNIT 109</v>
      </c>
      <c r="D10075" s="1">
        <v>54.73</v>
      </c>
    </row>
    <row r="10076" spans="1:4" x14ac:dyDescent="0.3">
      <c r="A10076" s="1" t="str">
        <f>"01016492100"</f>
        <v>01016492100</v>
      </c>
      <c r="B10076" s="1" t="str">
        <f>"PS CUBE LLC"</f>
        <v>PS CUBE LLC</v>
      </c>
      <c r="C10076" s="1" t="str">
        <f>"KIMBERLY VILLAS CONDOMINIUM PHASE VI BLDG 46 UNIT A"</f>
        <v>KIMBERLY VILLAS CONDOMINIUM PHASE VI BLDG 46 UNIT A</v>
      </c>
      <c r="D10076" s="1">
        <v>1396.02</v>
      </c>
    </row>
    <row r="10077" spans="1:4" x14ac:dyDescent="0.3">
      <c r="A10077" s="1" t="str">
        <f>"57018422100"</f>
        <v>57018422100</v>
      </c>
      <c r="B10077" s="1" t="str">
        <f>"PS HOLDINGS LLC"</f>
        <v>PS HOLDINGS LLC</v>
      </c>
      <c r="C10077" s="1" t="str">
        <f>"HARRISBURG PK ENTRY 422 3.840 ACRES"</f>
        <v>HARRISBURG PK ENTRY 422 3.840 ACRES</v>
      </c>
      <c r="D10077" s="1">
        <v>15069.81</v>
      </c>
    </row>
    <row r="10078" spans="1:4" x14ac:dyDescent="0.3">
      <c r="A10078" s="1" t="str">
        <f>"01011440500"</f>
        <v>01011440500</v>
      </c>
      <c r="B10078" s="1" t="str">
        <f>"PSRG HOLDINGS LLC"</f>
        <v>PSRG HOLDINGS LLC</v>
      </c>
      <c r="C10078" s="1" t="str">
        <f>"LINWOOD AVE MARION PARK LOT 13"</f>
        <v>LINWOOD AVE MARION PARK LOT 13</v>
      </c>
      <c r="D10078" s="1">
        <v>334.72</v>
      </c>
    </row>
    <row r="10079" spans="1:4" x14ac:dyDescent="0.3">
      <c r="A10079" s="1" t="str">
        <f>"01007326700"</f>
        <v>01007326700</v>
      </c>
      <c r="B10079" s="1" t="str">
        <f>"PSRG HOLDINGS LLC"</f>
        <v>PSRG HOLDINGS LLC</v>
      </c>
      <c r="C10079" s="1" t="str">
        <f>"20TH AVE 5FT WS 187 &amp; ALL 188 RICHMOND LOT 187-88"</f>
        <v>20TH AVE 5FT WS 187 &amp; ALL 188 RICHMOND LOT 187-88</v>
      </c>
      <c r="D10079" s="1">
        <v>56.31</v>
      </c>
    </row>
    <row r="10080" spans="1:4" x14ac:dyDescent="0.3">
      <c r="A10080" s="1" t="str">
        <f>"01006853500"</f>
        <v>01006853500</v>
      </c>
      <c r="B10080" s="1" t="str">
        <f>"PUCKETT DANNY T, PUCKETT LISA I"</f>
        <v>PUCKETT DANNY T, PUCKETT LISA I</v>
      </c>
      <c r="C10080" s="1" t="str">
        <f>"HARRIS AVE WILSHIRE HTS LOT 8 BLK 10"</f>
        <v>HARRIS AVE WILSHIRE HTS LOT 8 BLK 10</v>
      </c>
      <c r="D10080" s="1">
        <v>1202.8499999999999</v>
      </c>
    </row>
    <row r="10081" spans="1:4" x14ac:dyDescent="0.3">
      <c r="A10081" s="1" t="str">
        <f>"04001286500"</f>
        <v>04001286500</v>
      </c>
      <c r="B10081" s="1" t="str">
        <f>"PUCKETT SIERRA M, UTRUP RYAN"</f>
        <v>PUCKETT SIERRA M, UTRUP RYAN</v>
      </c>
      <c r="C10081" s="1" t="str">
        <f>"DELCASTLE LOOP PINNACLE CLUB SECTION 1 PHASE 1 LOT 51"</f>
        <v>DELCASTLE LOOP PINNACLE CLUB SECTION 1 PHASE 1 LOT 51</v>
      </c>
      <c r="D10081" s="1">
        <v>3727.11</v>
      </c>
    </row>
    <row r="10082" spans="1:4" x14ac:dyDescent="0.3">
      <c r="A10082" s="1" t="str">
        <f>"01024079800"</f>
        <v>01024079800</v>
      </c>
      <c r="B10082" s="1" t="str">
        <f>"PUDAMI VENTURES LLC"</f>
        <v>PUDAMI VENTURES LLC</v>
      </c>
      <c r="C10082" s="1" t="str">
        <f>"GRGSVLLE SQ SHOPPING CNTR GEORGESVILLE SQUARE SUB PT LOTS 1,3 (4.324 ACRES)"</f>
        <v>GRGSVLLE SQ SHOPPING CNTR GEORGESVILLE SQUARE SUB PT LOTS 1,3 (4.324 ACRES)</v>
      </c>
      <c r="D10082" s="1">
        <v>1631.04</v>
      </c>
    </row>
    <row r="10083" spans="1:4" x14ac:dyDescent="0.3">
      <c r="A10083" s="1" t="str">
        <f>"01007968300"</f>
        <v>01007968300</v>
      </c>
      <c r="B10083" s="1" t="str">
        <f>"PUERILE HOMES LLC"</f>
        <v>PUERILE HOMES LLC</v>
      </c>
      <c r="C10083" s="1" t="str">
        <f>"LORETTA AVE HAHNS LOT 17"</f>
        <v>LORETTA AVE HAHNS LOT 17</v>
      </c>
      <c r="D10083" s="1">
        <v>996.67</v>
      </c>
    </row>
    <row r="10084" spans="1:4" x14ac:dyDescent="0.3">
      <c r="A10084" s="1" t="str">
        <f>"01000875800"</f>
        <v>01000875800</v>
      </c>
      <c r="B10084" s="1" t="str">
        <f>"PUERILE HOMES LLC"</f>
        <v>PUERILE HOMES LLC</v>
      </c>
      <c r="C10084" s="1" t="str">
        <f>"2219 DARTMOUTH AVE HAYDENS PARK PLACE LOT 58"</f>
        <v>2219 DARTMOUTH AVE HAYDENS PARK PLACE LOT 58</v>
      </c>
      <c r="D10084" s="1">
        <v>1146.8499999999999</v>
      </c>
    </row>
    <row r="10085" spans="1:4" x14ac:dyDescent="0.3">
      <c r="A10085" s="1" t="str">
        <f>"57024685700"</f>
        <v>57024685700</v>
      </c>
      <c r="B10085" s="1" t="str">
        <f>"PULIDO PUDENTE REYES, REYES PULIDO ZOLIA"</f>
        <v>PULIDO PUDENTE REYES, REYES PULIDO ZOLIA</v>
      </c>
      <c r="C10085" s="1" t="str">
        <f>"ONSLOW DRIVE CLEARVIEW MEADOWS SECTION 4 LOT 38"</f>
        <v>ONSLOW DRIVE CLEARVIEW MEADOWS SECTION 4 LOT 38</v>
      </c>
      <c r="D10085" s="1">
        <v>4310.96</v>
      </c>
    </row>
    <row r="10086" spans="1:4" x14ac:dyDescent="0.3">
      <c r="A10086" s="1" t="str">
        <f>"27300958300"</f>
        <v>27300958300</v>
      </c>
      <c r="B10086" s="1" t="str">
        <f>"PULSFORT ANGELA M, PULSFORT ROBERT L"</f>
        <v>PULSFORT ANGELA M, PULSFORT ROBERT L</v>
      </c>
      <c r="C10086" s="1" t="str">
        <f>"HEATHER GLENN VILLAGE CONDO PH 1 BLDG 2 UNIT 5996"</f>
        <v>HEATHER GLENN VILLAGE CONDO PH 1 BLDG 2 UNIT 5996</v>
      </c>
      <c r="D10086" s="1">
        <v>275.83</v>
      </c>
    </row>
    <row r="10087" spans="1:4" x14ac:dyDescent="0.3">
      <c r="A10087" s="1" t="str">
        <f>"61012110800"</f>
        <v>61012110800</v>
      </c>
      <c r="B10087" s="1" t="str">
        <f>"PUMPADOODLE PROPERTIES LLC, BLUE ZEN LLC"</f>
        <v>PUMPADOODLE PROPERTIES LLC, BLUE ZEN LLC</v>
      </c>
      <c r="C10087" s="1" t="str">
        <f>"6685 DOUBLETREE AVE BUSCH CORPORATE CTR 2.265 ACRES LOT B"</f>
        <v>6685 DOUBLETREE AVE BUSCH CORPORATE CTR 2.265 ACRES LOT B</v>
      </c>
      <c r="D10087" s="1">
        <v>27110.799999999999</v>
      </c>
    </row>
    <row r="10088" spans="1:4" x14ac:dyDescent="0.3">
      <c r="A10088" s="1" t="str">
        <f>"05000148900"</f>
        <v>05000148900</v>
      </c>
      <c r="B10088" s="1" t="str">
        <f>"PUMPELLY PATRICIA L, DEMUTH JEAN"</f>
        <v>PUMPELLY PATRICIA L, DEMUTH JEAN</v>
      </c>
      <c r="C10088" s="1" t="str">
        <f>"4878 MIDLANE DR HILLIARD HTS 3 LOT 160"</f>
        <v>4878 MIDLANE DR HILLIARD HTS 3 LOT 160</v>
      </c>
      <c r="D10088" s="1">
        <v>1330.8</v>
      </c>
    </row>
    <row r="10089" spans="1:4" x14ac:dyDescent="0.3">
      <c r="A10089" s="1" t="str">
        <f>"01008061000"</f>
        <v>01008061000</v>
      </c>
      <c r="B10089" s="1" t="str">
        <f>"PURPLE MUNKY PROPERTY COMPANY LLC"</f>
        <v>PURPLE MUNKY PROPERTY COMPANY LLC</v>
      </c>
      <c r="C10089" s="1" t="str">
        <f>"1456-62 FOREST ST DRIVING PARK LOT 111-112"</f>
        <v>1456-62 FOREST ST DRIVING PARK LOT 111-112</v>
      </c>
      <c r="D10089" s="1">
        <v>4248.0600000000004</v>
      </c>
    </row>
    <row r="10090" spans="1:4" x14ac:dyDescent="0.3">
      <c r="A10090" s="1" t="str">
        <f>"01011354000"</f>
        <v>01011354000</v>
      </c>
      <c r="B10090" s="1" t="str">
        <f>"PURPLE MUNKY PROPERTY COMPANY LLC"</f>
        <v>PURPLE MUNKY PROPERTY COMPANY LLC</v>
      </c>
      <c r="C10090" s="1" t="str">
        <f>"WATKINS RD R22 T4 SEC 1 ACRES .90 LOT 14 URP 0"</f>
        <v>WATKINS RD R22 T4 SEC 1 ACRES .90 LOT 14 URP 0</v>
      </c>
      <c r="D10090" s="1">
        <v>3008.9</v>
      </c>
    </row>
    <row r="10091" spans="1:4" x14ac:dyDescent="0.3">
      <c r="A10091" s="1" t="str">
        <f>"60016502000"</f>
        <v>60016502000</v>
      </c>
      <c r="B10091" s="1" t="str">
        <f>"PURPLE MUNKY PROPERTY COMPANY LLC"</f>
        <v>PURPLE MUNKY PROPERTY COMPANY LLC</v>
      </c>
      <c r="C10091" s="1" t="str">
        <f>"KILBOURNE AVE KILBOURNE WOODS SECTION 1 LOT 31"</f>
        <v>KILBOURNE AVE KILBOURNE WOODS SECTION 1 LOT 31</v>
      </c>
      <c r="D10091" s="1">
        <v>1630.93</v>
      </c>
    </row>
    <row r="10092" spans="1:4" x14ac:dyDescent="0.3">
      <c r="A10092" s="1" t="str">
        <f>"01015047300"</f>
        <v>01015047300</v>
      </c>
      <c r="B10092" s="1" t="str">
        <f>"PURPLE TOOTH ENTERPRISES"</f>
        <v>PURPLE TOOTH ENTERPRISES</v>
      </c>
      <c r="C10092" s="1" t="str">
        <f>"SINCLAIR RD               FREEWAY SUBDIVISION       LOT 5                    "</f>
        <v xml:space="preserve">SINCLAIR RD               FREEWAY SUBDIVISION       LOT 5                    </v>
      </c>
      <c r="D10092" s="1">
        <v>1105.52</v>
      </c>
    </row>
    <row r="10093" spans="1:4" x14ac:dyDescent="0.3">
      <c r="A10093" s="1" t="str">
        <f>"04001410900"</f>
        <v>04001410900</v>
      </c>
      <c r="B10093" s="1" t="str">
        <f>"PUSHI GREGORI"</f>
        <v>PUSHI GREGORI</v>
      </c>
      <c r="C10093" s="1" t="str">
        <f>"THE CONDOMINIUM AT HERITAGE GLEN UNIT G13 (GARAGE)"</f>
        <v>THE CONDOMINIUM AT HERITAGE GLEN UNIT G13 (GARAGE)</v>
      </c>
      <c r="D10093" s="1">
        <v>216.43</v>
      </c>
    </row>
    <row r="10094" spans="1:4" x14ac:dyDescent="0.3">
      <c r="A10094" s="1" t="str">
        <f>"01011213000"</f>
        <v>01011213000</v>
      </c>
      <c r="B10094" s="1" t="str">
        <f>"PUSTER JAKOB"</f>
        <v>PUSTER JAKOB</v>
      </c>
      <c r="C10094" s="1" t="str">
        <f>"BASSWOOD RD .408 ACRE LOT 13-14"</f>
        <v>BASSWOOD RD .408 ACRE LOT 13-14</v>
      </c>
      <c r="D10094" s="1">
        <v>270.16000000000003</v>
      </c>
    </row>
    <row r="10095" spans="1:4" x14ac:dyDescent="0.3">
      <c r="A10095" s="1" t="str">
        <f>"27300623400"</f>
        <v>27300623400</v>
      </c>
      <c r="B10095" s="1" t="str">
        <f>"PUTNAM CHARLES L, PUTNAM KAREN K"</f>
        <v>PUTNAM CHARLES L, PUTNAM KAREN K</v>
      </c>
      <c r="C10095" s="1" t="str">
        <f>"0000 FINBARR CT DUBLINSHIRE SEC 3 LOT 251"</f>
        <v>0000 FINBARR CT DUBLINSHIRE SEC 3 LOT 251</v>
      </c>
      <c r="D10095" s="1">
        <v>771.53</v>
      </c>
    </row>
    <row r="10096" spans="1:4" x14ac:dyDescent="0.3">
      <c r="A10096" s="1" t="str">
        <f>"01029702100"</f>
        <v>01029702100</v>
      </c>
      <c r="B10096" s="1" t="str">
        <f>"PUTTA PENUGONDAIAH, KAMBHAM SUJANI"</f>
        <v>PUTTA PENUGONDAIAH, KAMBHAM SUJANI</v>
      </c>
      <c r="C10096" s="1" t="str">
        <f>"BRAXTON ON BETHEL INVESTMENT CONDOMINIUM 1468 BRIGHTON PARK RD UNIT 302 BLDG 3"</f>
        <v>BRAXTON ON BETHEL INVESTMENT CONDOMINIUM 1468 BRIGHTON PARK RD UNIT 302 BLDG 3</v>
      </c>
      <c r="D10096" s="1">
        <v>1265.44</v>
      </c>
    </row>
    <row r="10097" spans="1:4" x14ac:dyDescent="0.3">
      <c r="A10097" s="1" t="str">
        <f>"01029702300"</f>
        <v>01029702300</v>
      </c>
      <c r="B10097" s="1" t="str">
        <f>"PUTTA PENUGONDAIAH, KAMBHAM SUJANI"</f>
        <v>PUTTA PENUGONDAIAH, KAMBHAM SUJANI</v>
      </c>
      <c r="C10097" s="1" t="str">
        <f>"BRAXTON ON BETHEL INVESTMENT CONDOMINIUM 1468 BRIGHTON PARK RD UNIT 203 BLDG 3"</f>
        <v>BRAXTON ON BETHEL INVESTMENT CONDOMINIUM 1468 BRIGHTON PARK RD UNIT 203 BLDG 3</v>
      </c>
      <c r="D10097" s="1">
        <v>946.86</v>
      </c>
    </row>
    <row r="10098" spans="1:4" x14ac:dyDescent="0.3">
      <c r="A10098" s="1" t="str">
        <f>"02000345700"</f>
        <v>02000345700</v>
      </c>
      <c r="B10098" s="1" t="str">
        <f>"PVL INC"</f>
        <v>PVL INC</v>
      </c>
      <c r="C10098" s="1" t="str">
        <f>"2344 E MAIN ST            50 FT ON MAIN ST          R.22 T.5 S.13-20         "</f>
        <v xml:space="preserve">2344 E MAIN ST            50 FT ON MAIN ST          R.22 T.5 S.13-20         </v>
      </c>
      <c r="D10098" s="1">
        <v>2448.87</v>
      </c>
    </row>
    <row r="10099" spans="1:4" x14ac:dyDescent="0.3">
      <c r="A10099" s="1" t="str">
        <f>"01016118900"</f>
        <v>01016118900</v>
      </c>
      <c r="B10099" s="1" t="str">
        <f>"PWMW REAL ESTATE LLC"</f>
        <v>PWMW REAL ESTATE LLC</v>
      </c>
      <c r="C10099" s="1" t="str">
        <f>"WOODBROOK LANE WOODBROOK VILLAGE CONDO UNIT 223"</f>
        <v>WOODBROOK LANE WOODBROOK VILLAGE CONDO UNIT 223</v>
      </c>
      <c r="D10099" s="1">
        <v>694.78</v>
      </c>
    </row>
    <row r="10100" spans="1:4" x14ac:dyDescent="0.3">
      <c r="A10100" s="1" t="str">
        <f>"01005734900"</f>
        <v>01005734900</v>
      </c>
      <c r="B10100" s="1" t="str">
        <f>"PWP REAL ESTATES HOLDINGS LLC"</f>
        <v>PWP REAL ESTATES HOLDINGS LLC</v>
      </c>
      <c r="C10100" s="1" t="str">
        <f>"2337-9 N HIGH ST MT AUBURN LOT 61"</f>
        <v>2337-9 N HIGH ST MT AUBURN LOT 61</v>
      </c>
      <c r="D10100" s="1">
        <v>245.04</v>
      </c>
    </row>
    <row r="10101" spans="1:4" x14ac:dyDescent="0.3">
      <c r="A10101" s="1" t="str">
        <f>"01028466900"</f>
        <v>01028466900</v>
      </c>
      <c r="B10101" s="1" t="str">
        <f>"PYLES TAMARA R"</f>
        <v>PYLES TAMARA R</v>
      </c>
      <c r="C10101" s="1" t="str">
        <f>"VILLAGE AT BEXLEY CONDOMINIUM 4TH AMD UNIT 2362"</f>
        <v>VILLAGE AT BEXLEY CONDOMINIUM 4TH AMD UNIT 2362</v>
      </c>
      <c r="D10101" s="1">
        <v>4500.8</v>
      </c>
    </row>
    <row r="10102" spans="1:4" x14ac:dyDescent="0.3">
      <c r="A10102" s="1" t="str">
        <f>"01007535200"</f>
        <v>01007535200</v>
      </c>
      <c r="B10102" s="1" t="str">
        <f>"QABIE QASIM"</f>
        <v>QABIE QASIM</v>
      </c>
      <c r="C10102" s="1" t="str">
        <f>"E HUDSON ST HOMESTEAD HTS LOT 14"</f>
        <v>E HUDSON ST HOMESTEAD HTS LOT 14</v>
      </c>
      <c r="D10102" s="1">
        <v>976.88</v>
      </c>
    </row>
    <row r="10103" spans="1:4" x14ac:dyDescent="0.3">
      <c r="A10103" s="1" t="str">
        <f>"05300093800"</f>
        <v>05300093800</v>
      </c>
      <c r="B10103" s="1" t="str">
        <f>"QADOOM MAHMOUD MOHAMMAD, ALI FADYAH M, QADOOM RAMIZZ MAHMOUD"</f>
        <v>QADOOM MAHMOUD MOHAMMAD, ALI FADYAH M, QADOOM RAMIZZ MAHMOUD</v>
      </c>
      <c r="C10103" s="1" t="str">
        <f>"TARLTON MEADOWS WEST SECTION 2 PHASE 2A LOT 165"</f>
        <v>TARLTON MEADOWS WEST SECTION 2 PHASE 2A LOT 165</v>
      </c>
      <c r="D10103" s="1">
        <v>7779.18</v>
      </c>
    </row>
    <row r="10104" spans="1:4" x14ac:dyDescent="0.3">
      <c r="A10104" s="1" t="str">
        <f>"01001669000"</f>
        <v>01001669000</v>
      </c>
      <c r="B10104" s="1" t="str">
        <f>"QIAN MING TIAN INC"</f>
        <v>QIAN MING TIAN INC</v>
      </c>
      <c r="C10104" s="1" t="str">
        <f>"289 WOODLAND AVE RYLANDS WOODLD PLC L10-11 &amp; WOODLD PLC L12 &amp; SS L11"</f>
        <v>289 WOODLAND AVE RYLANDS WOODLD PLC L10-11 &amp; WOODLD PLC L12 &amp; SS L11</v>
      </c>
      <c r="D10104" s="1">
        <v>22291.26</v>
      </c>
    </row>
    <row r="10105" spans="1:4" x14ac:dyDescent="0.3">
      <c r="A10105" s="1" t="str">
        <f>"01012899600"</f>
        <v>01012899600</v>
      </c>
      <c r="B10105" s="1" t="str">
        <f>"QLOA LLC"</f>
        <v>QLOA LLC</v>
      </c>
      <c r="C10105" s="1" t="str">
        <f>"LISCOMB RD MILLBROOK LOT 134"</f>
        <v>LISCOMB RD MILLBROOK LOT 134</v>
      </c>
      <c r="D10105" s="1">
        <v>3083.96</v>
      </c>
    </row>
    <row r="10106" spans="1:4" x14ac:dyDescent="0.3">
      <c r="A10106" s="1" t="str">
        <f>"61018023700"</f>
        <v>61018023700</v>
      </c>
      <c r="B10106" s="1" t="str">
        <f>"QUAINOO EMMANUEL, ALLOTEY ADORKOR"</f>
        <v>QUAINOO EMMANUEL, ALLOTEY ADORKOR</v>
      </c>
      <c r="C10106" s="1" t="str">
        <f>"ACCESS DR NORTHBRIDGE SEC 4 LOT 36 EX IRR 10'ES"</f>
        <v>ACCESS DR NORTHBRIDGE SEC 4 LOT 36 EX IRR 10'ES</v>
      </c>
      <c r="D10106" s="1">
        <v>15209.94</v>
      </c>
    </row>
    <row r="10107" spans="1:4" x14ac:dyDescent="0.3">
      <c r="A10107" s="1" t="str">
        <f>"09000239200"</f>
        <v>09000239200</v>
      </c>
      <c r="B10107" s="1" t="str">
        <f>"QUALITY HOME INVESTMENT LLC"</f>
        <v>QUALITY HOME INVESTMENT LLC</v>
      </c>
      <c r="C10107" s="1" t="str">
        <f>"670-72 HAMILTON RD HAMILTON TERRACE L42 .192 AC IN HI-WAY"</f>
        <v>670-72 HAMILTON RD HAMILTON TERRACE L42 .192 AC IN HI-WAY</v>
      </c>
      <c r="D10107" s="1">
        <v>1727.3</v>
      </c>
    </row>
    <row r="10108" spans="1:4" x14ac:dyDescent="0.3">
      <c r="A10108" s="1" t="str">
        <f>"01023626100"</f>
        <v>01023626100</v>
      </c>
      <c r="B10108" s="1" t="str">
        <f>"QUARTER HORSE INVESTMENTS LLC"</f>
        <v>QUARTER HORSE INVESTMENTS LLC</v>
      </c>
      <c r="C10108" s="1" t="str">
        <f>"WORTH-GRANVILLE RD R18 T2 1/4T4 2.561 ACRES"</f>
        <v>WORTH-GRANVILLE RD R18 T2 1/4T4 2.561 ACRES</v>
      </c>
      <c r="D10108" s="1">
        <v>29547.56</v>
      </c>
    </row>
    <row r="10109" spans="1:4" x14ac:dyDescent="0.3">
      <c r="A10109" s="1" t="str">
        <f>"01003497600"</f>
        <v>01003497600</v>
      </c>
      <c r="B10109" s="1" t="str">
        <f>"QUASAR LIFE GROUP LLC"</f>
        <v>QUASAR LIFE GROUP LLC</v>
      </c>
      <c r="C10109" s="1" t="str">
        <f>"GEO WILLIAMS LOT 159 "</f>
        <v xml:space="preserve">GEO WILLIAMS LOT 159 </v>
      </c>
      <c r="D10109" s="1">
        <v>2687.09</v>
      </c>
    </row>
    <row r="10110" spans="1:4" x14ac:dyDescent="0.3">
      <c r="A10110" s="1" t="str">
        <f>"01019527100"</f>
        <v>01019527100</v>
      </c>
      <c r="B10110" s="1" t="str">
        <f>"QUATTRO VENTI LTD"</f>
        <v>QUATTRO VENTI LTD</v>
      </c>
      <c r="C10110" s="1" t="str">
        <f>"E BROAD ST PARK TOWERS CONDO UNIT 1503"</f>
        <v>E BROAD ST PARK TOWERS CONDO UNIT 1503</v>
      </c>
      <c r="D10110" s="1">
        <v>162.53</v>
      </c>
    </row>
    <row r="10111" spans="1:4" x14ac:dyDescent="0.3">
      <c r="A10111" s="1" t="str">
        <f>"01007965900"</f>
        <v>01007965900</v>
      </c>
      <c r="B10111" s="1" t="str">
        <f>"QUEENEY JOSEPH A"</f>
        <v>QUEENEY JOSEPH A</v>
      </c>
      <c r="C10111" s="1" t="str">
        <f>"1555 WALSH AVE SIEBERTS LOT 4-5"</f>
        <v>1555 WALSH AVE SIEBERTS LOT 4-5</v>
      </c>
      <c r="D10111" s="1">
        <v>2122.3200000000002</v>
      </c>
    </row>
    <row r="10112" spans="1:4" x14ac:dyDescent="0.3">
      <c r="A10112" s="1" t="str">
        <f>"01003751900"</f>
        <v>01003751900</v>
      </c>
      <c r="B10112" s="1" t="str">
        <f>"QUEENS ESTATE LIMITED"</f>
        <v>QUEENS ESTATE LIMITED</v>
      </c>
      <c r="C10112" s="1" t="str">
        <f>"1025-29  WHITTIER ST DANEYS AMD NE LOTS 7-8"</f>
        <v>1025-29  WHITTIER ST DANEYS AMD NE LOTS 7-8</v>
      </c>
      <c r="D10112" s="1">
        <v>2745.33</v>
      </c>
    </row>
    <row r="10113" spans="1:4" x14ac:dyDescent="0.3">
      <c r="A10113" s="1" t="str">
        <f>"56022524500"</f>
        <v>56022524500</v>
      </c>
      <c r="B10113" s="1" t="str">
        <f>"QUELER ANDREW, QUELER HEATHER M"</f>
        <v>QUELER ANDREW, QUELER HEATHER M</v>
      </c>
      <c r="C10113" s="1" t="str">
        <f>"THE VILLAGE AT THORNAPPLE SECTION 2 LOT 60"</f>
        <v>THE VILLAGE AT THORNAPPLE SECTION 2 LOT 60</v>
      </c>
      <c r="D10113" s="1">
        <v>6124.93</v>
      </c>
    </row>
    <row r="10114" spans="1:4" x14ac:dyDescent="0.3">
      <c r="A10114" s="1" t="str">
        <f>"27300037500"</f>
        <v>27300037500</v>
      </c>
      <c r="B10114" s="1" t="str">
        <f>"QUERACHA LLC"</f>
        <v>QUERACHA LLC</v>
      </c>
      <c r="C10114" s="1" t="str">
        <f>"4789 RINGS RD ENTRY 2419 3.295 ACRES"</f>
        <v>4789 RINGS RD ENTRY 2419 3.295 ACRES</v>
      </c>
      <c r="D10114" s="1">
        <v>47279.98</v>
      </c>
    </row>
    <row r="10115" spans="1:4" x14ac:dyDescent="0.3">
      <c r="A10115" s="1" t="str">
        <f>"01012887900"</f>
        <v>01012887900</v>
      </c>
      <c r="B10115" s="1" t="str">
        <f>"QUEZADA ANGELICA"</f>
        <v>QUEZADA ANGELICA</v>
      </c>
      <c r="C10115" s="1" t="str">
        <f>"HOLBURN AVE MILLBROOK LOT 16-17"</f>
        <v>HOLBURN AVE MILLBROOK LOT 16-17</v>
      </c>
      <c r="D10115" s="1">
        <v>189.68</v>
      </c>
    </row>
    <row r="10116" spans="1:4" x14ac:dyDescent="0.3">
      <c r="A10116" s="1" t="str">
        <f>"08000420100"</f>
        <v>08000420100</v>
      </c>
      <c r="B10116" s="1" t="str">
        <f>"QUICK ERMAN E, QUICK ANNA J"</f>
        <v>QUICK ERMAN E, QUICK ANNA J</v>
      </c>
      <c r="C10116" s="1" t="str">
        <f>"HUBER VILLAGE BLVD HERBERT C HUBER PLAT NO 49 SEC 4 LOT 2237"</f>
        <v>HUBER VILLAGE BLVD HERBERT C HUBER PLAT NO 49 SEC 4 LOT 2237</v>
      </c>
      <c r="D10116" s="1">
        <v>209.29</v>
      </c>
    </row>
    <row r="10117" spans="1:4" x14ac:dyDescent="0.3">
      <c r="A10117" s="1" t="str">
        <f>"11000591000"</f>
        <v>11000591000</v>
      </c>
      <c r="B10117" s="1" t="str">
        <f>"QUICK JEFFERY D, QUICK JERRIE L"</f>
        <v>QUICK JEFFERY D, QUICK JERRIE L</v>
      </c>
      <c r="C10117" s="1" t="str">
        <f>"SMOTHERS ROAD R17 T2 1/4T1 6.164 ACRES"</f>
        <v>SMOTHERS ROAD R17 T2 1/4T1 6.164 ACRES</v>
      </c>
      <c r="D10117" s="1">
        <v>970.13</v>
      </c>
    </row>
    <row r="10118" spans="1:4" x14ac:dyDescent="0.3">
      <c r="A10118" s="1" t="str">
        <f>"01005988700"</f>
        <v>01005988700</v>
      </c>
      <c r="B10118" s="1" t="str">
        <f>"QUICK SALE COLUMBUS LLC"</f>
        <v>QUICK SALE COLUMBUS LLC</v>
      </c>
      <c r="C10118" s="1" t="str">
        <f>"1830 MILFORD AVE ELM DALE LOT 30"</f>
        <v>1830 MILFORD AVE ELM DALE LOT 30</v>
      </c>
      <c r="D10118" s="1">
        <v>917.86</v>
      </c>
    </row>
    <row r="10119" spans="1:4" x14ac:dyDescent="0.3">
      <c r="A10119" s="1" t="str">
        <f>"05000598500"</f>
        <v>05000598500</v>
      </c>
      <c r="B10119" s="1" t="str">
        <f>"QUICKTAP LLC"</f>
        <v>QUICKTAP LLC</v>
      </c>
      <c r="C10119" s="1" t="str">
        <f>"REYNOLDS DRIVE HILLIARD TECH PARK PT LOT 3=1.375 ACRES"</f>
        <v>REYNOLDS DRIVE HILLIARD TECH PARK PT LOT 3=1.375 ACRES</v>
      </c>
      <c r="D10119" s="1">
        <v>21000</v>
      </c>
    </row>
    <row r="10120" spans="1:4" x14ac:dyDescent="0.3">
      <c r="A10120" s="1" t="str">
        <f>"02000075900"</f>
        <v>02000075900</v>
      </c>
      <c r="B10120" s="1" t="str">
        <f>"QUINLAN MARK D, SCHMIDT CATHERINE A"</f>
        <v>QUINLAN MARK D, SCHMIDT CATHERINE A</v>
      </c>
      <c r="C10120" s="1" t="str">
        <f>"2454 BRENTWOOD RD BEXLEY PARK LOT 84 &amp; EAST 1/2 LOT 85"</f>
        <v>2454 BRENTWOOD RD BEXLEY PARK LOT 84 &amp; EAST 1/2 LOT 85</v>
      </c>
      <c r="D10120" s="1">
        <v>1171.31</v>
      </c>
    </row>
    <row r="10121" spans="1:4" x14ac:dyDescent="0.3">
      <c r="A10121" s="1" t="str">
        <f>"01009596100"</f>
        <v>01009596100</v>
      </c>
      <c r="B10121" s="1" t="str">
        <f>"QUINN KENYETIETTA"</f>
        <v>QUINN KENYETIETTA</v>
      </c>
      <c r="C10121" s="1" t="str">
        <f>"WELDON AVE WELDON PARK LOT 26"</f>
        <v>WELDON AVE WELDON PARK LOT 26</v>
      </c>
      <c r="D10121" s="1">
        <v>534.12</v>
      </c>
    </row>
    <row r="10122" spans="1:4" x14ac:dyDescent="0.3">
      <c r="A10122" s="1" t="str">
        <f>"05000869200"</f>
        <v>05000869200</v>
      </c>
      <c r="B10122" s="1" t="str">
        <f>"QUINN SHERYL A, SHARAMITARO DAVID J"</f>
        <v>QUINN SHERYL A, SHARAMITARO DAVID J</v>
      </c>
      <c r="C10122" s="1" t="str">
        <f>"PLANK DRIVE HOFFMAN FARMS SECTION 2 PHASE 1 LOT 113"</f>
        <v>PLANK DRIVE HOFFMAN FARMS SECTION 2 PHASE 1 LOT 113</v>
      </c>
      <c r="D10122" s="1">
        <v>5535.51</v>
      </c>
    </row>
    <row r="10123" spans="1:4" x14ac:dyDescent="0.3">
      <c r="A10123" s="1" t="str">
        <f>"01018340400"</f>
        <v>01018340400</v>
      </c>
      <c r="B10123" s="1" t="str">
        <f>"QUINTANA ZORAIDA, SOTO UBALDO I"</f>
        <v>QUINTANA ZORAIDA, SOTO UBALDO I</v>
      </c>
      <c r="C10123" s="1" t="str">
        <f>"BRAFFERTON VIL CONDO UNIT 5266 "</f>
        <v xml:space="preserve">BRAFFERTON VIL CONDO UNIT 5266 </v>
      </c>
      <c r="D10123" s="1">
        <v>2557.75</v>
      </c>
    </row>
    <row r="10124" spans="1:4" x14ac:dyDescent="0.3">
      <c r="A10124" s="1" t="str">
        <f>"19000050600"</f>
        <v>19000050600</v>
      </c>
      <c r="B10124" s="1" t="str">
        <f>"QUINTANILLA ADAN SERVIN"</f>
        <v>QUINTANILLA ADAN SERVIN</v>
      </c>
      <c r="C10124" s="1" t="str">
        <f>"2670 DRAKE RD 0.924 ACRE LOT 1"</f>
        <v>2670 DRAKE RD 0.924 ACRE LOT 1</v>
      </c>
      <c r="D10124" s="1">
        <v>665.71</v>
      </c>
    </row>
    <row r="10125" spans="1:4" x14ac:dyDescent="0.3">
      <c r="A10125" s="1" t="str">
        <f>"57021832400"</f>
        <v>57021832400</v>
      </c>
      <c r="B10125" s="1" t="str">
        <f>"QUINTERO VELAZQUEZ SONIA"</f>
        <v>QUINTERO VELAZQUEZ SONIA</v>
      </c>
      <c r="C10125" s="1" t="str">
        <f>"PINNACLE DRIVE HEATHERBROOK SEC 1 LOT 68"</f>
        <v>PINNACLE DRIVE HEATHERBROOK SEC 1 LOT 68</v>
      </c>
      <c r="D10125" s="1">
        <v>3540.7</v>
      </c>
    </row>
    <row r="10126" spans="1:4" x14ac:dyDescent="0.3">
      <c r="A10126" s="1" t="str">
        <f>"01001381800"</f>
        <v>01001381800</v>
      </c>
      <c r="B10126" s="1" t="str">
        <f>"QUIROZ JAVIER"</f>
        <v>QUIROZ JAVIER</v>
      </c>
      <c r="C10126" s="1" t="str">
        <f>"276 S OGDEN AVE WICKLOW LOT 76"</f>
        <v>276 S OGDEN AVE WICKLOW LOT 76</v>
      </c>
      <c r="D10126" s="1">
        <v>267.58999999999997</v>
      </c>
    </row>
    <row r="10127" spans="1:4" x14ac:dyDescent="0.3">
      <c r="A10127" s="1" t="str">
        <f>"01000027900"</f>
        <v>01000027900</v>
      </c>
      <c r="B10127" s="1" t="str">
        <f>"QUIROZ JAVIER"</f>
        <v>QUIROZ JAVIER</v>
      </c>
      <c r="C10127" s="1" t="str">
        <f>"272 S OGDEN AVE WICKLOW LOT 75"</f>
        <v>272 S OGDEN AVE WICKLOW LOT 75</v>
      </c>
      <c r="D10127" s="1">
        <v>1700.6</v>
      </c>
    </row>
    <row r="10128" spans="1:4" x14ac:dyDescent="0.3">
      <c r="A10128" s="1" t="str">
        <f>"01001766300"</f>
        <v>01001766300</v>
      </c>
      <c r="B10128" s="1" t="str">
        <f>"R &amp; R FAMILY PROPERTIES LLC"</f>
        <v>R &amp; R FAMILY PROPERTIES LLC</v>
      </c>
      <c r="C10128" s="1" t="str">
        <f>"1802-4 S 5TH ST LINTONS &amp; MCLARREN'S PARCELS PT OF LOT 46"</f>
        <v>1802-4 S 5TH ST LINTONS &amp; MCLARREN'S PARCELS PT OF LOT 46</v>
      </c>
      <c r="D10128" s="1">
        <v>1515.99</v>
      </c>
    </row>
    <row r="10129" spans="1:4" x14ac:dyDescent="0.3">
      <c r="A10129" s="1" t="str">
        <f>"01001822100"</f>
        <v>01001822100</v>
      </c>
      <c r="B10129" s="1" t="str">
        <f>"R &amp; R FAMILY PROPERTIES LLC"</f>
        <v>R &amp; R FAMILY PROPERTIES LLC</v>
      </c>
      <c r="C10129" s="1" t="str">
        <f>"1851-1853 SIXTH ST LINTON &amp; MCLARREN'S PARCELS PT OF LOT 69"</f>
        <v>1851-1853 SIXTH ST LINTON &amp; MCLARREN'S PARCELS PT OF LOT 69</v>
      </c>
      <c r="D10129" s="1">
        <v>1510.69</v>
      </c>
    </row>
    <row r="10130" spans="1:4" x14ac:dyDescent="0.3">
      <c r="A10130" s="1" t="str">
        <f>"01005002200"</f>
        <v>01005002200</v>
      </c>
      <c r="B10130" s="1" t="str">
        <f>"R &amp; R FAMILY PROPERTIES LLC"</f>
        <v>R &amp; R FAMILY PROPERTIES LLC</v>
      </c>
      <c r="C10130" s="1" t="str">
        <f>"1855 1857 S 6TH ST LINTON &amp; MCLARREN'S PARCELS PT OF LOT 68"</f>
        <v>1855 1857 S 6TH ST LINTON &amp; MCLARREN'S PARCELS PT OF LOT 68</v>
      </c>
      <c r="D10130" s="1">
        <v>1435.34</v>
      </c>
    </row>
    <row r="10131" spans="1:4" x14ac:dyDescent="0.3">
      <c r="A10131" s="1" t="str">
        <f>"01005611600"</f>
        <v>01005611600</v>
      </c>
      <c r="B10131" s="1" t="str">
        <f>"R &amp; R FAMILY PROPERTIES LLC"</f>
        <v>R &amp; R FAMILY PROPERTIES LLC</v>
      </c>
      <c r="C10131" s="1" t="str">
        <f>"1806-08 S FIFTH ST LINTON &amp; MCLARREN'S PARCELS PT OF LOT 47"</f>
        <v>1806-08 S FIFTH ST LINTON &amp; MCLARREN'S PARCELS PT OF LOT 47</v>
      </c>
      <c r="D10131" s="1">
        <v>1482.36</v>
      </c>
    </row>
    <row r="10132" spans="1:4" x14ac:dyDescent="0.3">
      <c r="A10132" s="1" t="str">
        <f>"01002198800"</f>
        <v>01002198800</v>
      </c>
      <c r="B10132" s="1" t="str">
        <f>"R &amp; R GRANDEUR PROPERTIES LLC"</f>
        <v>R &amp; R GRANDEUR PROPERTIES LLC</v>
      </c>
      <c r="C10132" s="1" t="str">
        <f>"1031 LINWOOD AVE STUDER AMD LOT 230"</f>
        <v>1031 LINWOOD AVE STUDER AMD LOT 230</v>
      </c>
      <c r="D10132" s="1">
        <v>3903.21</v>
      </c>
    </row>
    <row r="10133" spans="1:4" x14ac:dyDescent="0.3">
      <c r="A10133" s="1" t="str">
        <f>"01029119600"</f>
        <v>01029119600</v>
      </c>
      <c r="B10133" s="1" t="str">
        <f>"R D J PROPERTY &amp; DEVELOPMENT LTD"</f>
        <v>R D J PROPERTY &amp; DEVELOPMENT LTD</v>
      </c>
      <c r="C10133" s="1" t="str">
        <f>"S HIGH ST R22 T4 S16 0.473 ACRE"</f>
        <v>S HIGH ST R22 T4 S16 0.473 ACRE</v>
      </c>
      <c r="D10133" s="1">
        <v>6892.39</v>
      </c>
    </row>
    <row r="10134" spans="1:4" x14ac:dyDescent="0.3">
      <c r="A10134" s="1" t="str">
        <f>"01012760100"</f>
        <v>01012760100</v>
      </c>
      <c r="B10134" s="1" t="str">
        <f>"R N M INVESTMENTS LLC"</f>
        <v>R N M INVESTMENTS LLC</v>
      </c>
      <c r="C10134" s="1" t="str">
        <f>"IVYHURST DR PINE HILLS LOT 242"</f>
        <v>IVYHURST DR PINE HILLS LOT 242</v>
      </c>
      <c r="D10134" s="1">
        <v>1136.71</v>
      </c>
    </row>
    <row r="10135" spans="1:4" x14ac:dyDescent="0.3">
      <c r="A10135" s="1" t="str">
        <f>"01011265800"</f>
        <v>01011265800</v>
      </c>
      <c r="B10135" s="1" t="str">
        <f>"R&amp;R FAMILY PROPERTIES LLC"</f>
        <v>R&amp;R FAMILY PROPERTIES LLC</v>
      </c>
      <c r="C10135" s="1" t="str">
        <f>"135 GROVEPORT PIKE STAMBAUGH LOT 14-5-6"</f>
        <v>135 GROVEPORT PIKE STAMBAUGH LOT 14-5-6</v>
      </c>
      <c r="D10135" s="1">
        <v>1909.99</v>
      </c>
    </row>
    <row r="10136" spans="1:4" x14ac:dyDescent="0.3">
      <c r="A10136" s="1" t="str">
        <f>"01001560200"</f>
        <v>01001560200</v>
      </c>
      <c r="B10136" s="1" t="str">
        <f>"R&amp;R FAMILY PROPERTIES LLC"</f>
        <v>R&amp;R FAMILY PROPERTIES LLC</v>
      </c>
      <c r="C10136" s="1" t="str">
        <f>"1846 S 6TH STRENS LINTON &amp; MCLARREN'S PARCELS PT OF LOT 88"</f>
        <v>1846 S 6TH STRENS LINTON &amp; MCLARREN'S PARCELS PT OF LOT 88</v>
      </c>
      <c r="D10136" s="1">
        <v>388.6</v>
      </c>
    </row>
    <row r="10137" spans="1:4" x14ac:dyDescent="0.3">
      <c r="A10137" s="1" t="str">
        <f>"01009377200"</f>
        <v>01009377200</v>
      </c>
      <c r="B10137" s="1" t="str">
        <f>"R&amp;R GRANDEUR PROPERTIES LLC"</f>
        <v>R&amp;R GRANDEUR PROPERTIES LLC</v>
      </c>
      <c r="C10137" s="1" t="str">
        <f>"EISENHOWER RD OAKLAND PK 2 AMD LOT 20"</f>
        <v>EISENHOWER RD OAKLAND PK 2 AMD LOT 20</v>
      </c>
      <c r="D10137" s="1">
        <v>1337.66</v>
      </c>
    </row>
    <row r="10138" spans="1:4" x14ac:dyDescent="0.3">
      <c r="A10138" s="1" t="str">
        <f>"01003800100"</f>
        <v>01003800100</v>
      </c>
      <c r="B10138" s="1" t="str">
        <f>"R&amp;R GRANDEUR PROPERTIES LLC"</f>
        <v>R&amp;R GRANDEUR PROPERTIES LLC</v>
      </c>
      <c r="C10138" s="1" t="str">
        <f>"28 S WHEATLAND 40FT S PT ONGS LOT 28"</f>
        <v>28 S WHEATLAND 40FT S PT ONGS LOT 28</v>
      </c>
      <c r="D10138" s="1">
        <v>3340.38</v>
      </c>
    </row>
    <row r="10139" spans="1:4" x14ac:dyDescent="0.3">
      <c r="A10139" s="1" t="str">
        <f>"01006576400"</f>
        <v>01006576400</v>
      </c>
      <c r="B10139" s="1" t="str">
        <f>"R&amp;R GRANDEUR PROPERTIES LLC"</f>
        <v>R&amp;R GRANDEUR PROPERTIES LLC</v>
      </c>
      <c r="C10139" s="1" t="str">
        <f>"CATHERINE ST FOREST HILL LOT 97"</f>
        <v>CATHERINE ST FOREST HILL LOT 97</v>
      </c>
      <c r="D10139" s="1">
        <v>247.42</v>
      </c>
    </row>
    <row r="10140" spans="1:4" x14ac:dyDescent="0.3">
      <c r="A10140" s="1" t="str">
        <f>"25415132000"</f>
        <v>25415132000</v>
      </c>
      <c r="B10140" s="1" t="str">
        <f>"R&amp;R GRANDEUR PROPERTIES LLC"</f>
        <v>R&amp;R GRANDEUR PROPERTIES LLC</v>
      </c>
      <c r="C10140" s="1" t="str">
        <f>"270 WESTVIEW AVE W 1/2 HOMEDALE LOT 48"</f>
        <v>270 WESTVIEW AVE W 1/2 HOMEDALE LOT 48</v>
      </c>
      <c r="D10140" s="1">
        <v>2880.72</v>
      </c>
    </row>
    <row r="10141" spans="1:4" x14ac:dyDescent="0.3">
      <c r="A10141" s="1" t="str">
        <f>"14300018400"</f>
        <v>14300018400</v>
      </c>
      <c r="B10141" s="1" t="str">
        <f>"R3 REALTY LLC"</f>
        <v>R3 REALTY LLC</v>
      </c>
      <c r="C10141" s="1" t="str">
        <f>"1615 ARLINGTON AVE ARLINGTON PLACE  LOT 19"</f>
        <v>1615 ARLINGTON AVE ARLINGTON PLACE  LOT 19</v>
      </c>
      <c r="D10141" s="1">
        <v>8650.49</v>
      </c>
    </row>
    <row r="10142" spans="1:4" x14ac:dyDescent="0.3">
      <c r="A10142" s="1" t="str">
        <f>"05001050800"</f>
        <v>05001050800</v>
      </c>
      <c r="B10142" s="1" t="str">
        <f>"RABATI DAWOOD K, RABATI MAHABAD KHALID"</f>
        <v>RABATI DAWOOD K, RABATI MAHABAD KHALID</v>
      </c>
      <c r="C10142" s="1" t="str">
        <f>"VILLAS AT RAYS CROSSING CONDOMINIUM (4TH AMD) UNIT 4946"</f>
        <v>VILLAS AT RAYS CROSSING CONDOMINIUM (4TH AMD) UNIT 4946</v>
      </c>
      <c r="D10142" s="1">
        <v>513.54999999999995</v>
      </c>
    </row>
    <row r="10143" spans="1:4" x14ac:dyDescent="0.3">
      <c r="A10143" s="1" t="str">
        <f>"01025157300"</f>
        <v>01025157300</v>
      </c>
      <c r="B10143" s="1" t="str">
        <f>"RABE ROBERT R TTEE, RABE PEGGY L TTEE"</f>
        <v>RABE ROBERT R TTEE, RABE PEGGY L TTEE</v>
      </c>
      <c r="C10143" s="1" t="str">
        <f>"MCNAUGHTEN GROVE LANE RESUB OF MCNAUGHTEN GROVE LOT 51B"</f>
        <v>MCNAUGHTEN GROVE LANE RESUB OF MCNAUGHTEN GROVE LOT 51B</v>
      </c>
      <c r="D10143" s="1">
        <v>2974.39</v>
      </c>
    </row>
    <row r="10144" spans="1:4" x14ac:dyDescent="0.3">
      <c r="A10144" s="1" t="str">
        <f>"01007276700"</f>
        <v>01007276700</v>
      </c>
      <c r="B10144" s="1" t="str">
        <f>"RABEE AMJAD H"</f>
        <v>RABEE AMJAD H</v>
      </c>
      <c r="C10144" s="1" t="str">
        <f>"PONTIAC ST ALMADA LOT 288"</f>
        <v>PONTIAC ST ALMADA LOT 288</v>
      </c>
      <c r="D10144" s="1">
        <v>2028.39</v>
      </c>
    </row>
    <row r="10145" spans="1:4" x14ac:dyDescent="0.3">
      <c r="A10145" s="1" t="str">
        <f>"57026759200"</f>
        <v>57026759200</v>
      </c>
      <c r="B10145" s="1" t="str">
        <f>"RABEE SUZAN"</f>
        <v>RABEE SUZAN</v>
      </c>
      <c r="C10145" s="1" t="str">
        <f>"TRICKLE CREEK LANE GEORGESVILLE GREEN SECTION 2 LOT 50"</f>
        <v>TRICKLE CREEK LANE GEORGESVILLE GREEN SECTION 2 LOT 50</v>
      </c>
      <c r="D10145" s="1">
        <v>2106.2399999999998</v>
      </c>
    </row>
    <row r="10146" spans="1:4" x14ac:dyDescent="0.3">
      <c r="A10146" s="1" t="str">
        <f>"01007571000"</f>
        <v>01007571000</v>
      </c>
      <c r="B10146" s="1" t="str">
        <f>"RABI INC"</f>
        <v>RABI INC</v>
      </c>
      <c r="C10146" s="1" t="str">
        <f>"WEBER RD SUNNYSIDE LOT 81"</f>
        <v>WEBER RD SUNNYSIDE LOT 81</v>
      </c>
      <c r="D10146" s="1">
        <v>249.91</v>
      </c>
    </row>
    <row r="10147" spans="1:4" x14ac:dyDescent="0.3">
      <c r="A10147" s="1" t="str">
        <f>"01007378000"</f>
        <v>01007378000</v>
      </c>
      <c r="B10147" s="1" t="str">
        <f>"RABI INC"</f>
        <v>RABI INC</v>
      </c>
      <c r="C10147" s="1" t="str">
        <f>"ALMADA LOT 117 "</f>
        <v xml:space="preserve">ALMADA LOT 117 </v>
      </c>
      <c r="D10147" s="1">
        <v>1398.1</v>
      </c>
    </row>
    <row r="10148" spans="1:4" x14ac:dyDescent="0.3">
      <c r="A10148" s="1" t="str">
        <f>"08000832800"</f>
        <v>08000832800</v>
      </c>
      <c r="B10148" s="1" t="str">
        <f>"RABOURN ALLAN"</f>
        <v>RABOURN ALLAN</v>
      </c>
      <c r="C10148" s="1" t="str">
        <f>"2 KING ARTHUR BLVD UNIT 2 BLDG 1 CAMELOT CONDOMINIUM"</f>
        <v>2 KING ARTHUR BLVD UNIT 2 BLDG 1 CAMELOT CONDOMINIUM</v>
      </c>
      <c r="D10148" s="1">
        <v>2871.79</v>
      </c>
    </row>
    <row r="10149" spans="1:4" x14ac:dyDescent="0.3">
      <c r="A10149" s="1" t="str">
        <f>"19000052900"</f>
        <v>19000052900</v>
      </c>
      <c r="B10149" s="1" t="str">
        <f>"RACE RICHARD E"</f>
        <v>RACE RICHARD E</v>
      </c>
      <c r="C10149" s="1" t="str">
        <f>"DRAKE RD 0.927 ACRE LOT 24"</f>
        <v>DRAKE RD 0.927 ACRE LOT 24</v>
      </c>
      <c r="D10149" s="1">
        <v>2942.6</v>
      </c>
    </row>
    <row r="10150" spans="1:4" x14ac:dyDescent="0.3">
      <c r="A10150" s="1" t="str">
        <f>"57015198000"</f>
        <v>57015198000</v>
      </c>
      <c r="B10150" s="1" t="str">
        <f>"RACHAL KARINA, MCMEEKIN MARCIA"</f>
        <v>RACHAL KARINA, MCMEEKIN MARCIA</v>
      </c>
      <c r="C10150" s="1" t="str">
        <f>" HARDESTY HTS CONDO Z UNIT Z-1"</f>
        <v xml:space="preserve"> HARDESTY HTS CONDO Z UNIT Z-1</v>
      </c>
      <c r="D10150" s="1">
        <v>70.7</v>
      </c>
    </row>
    <row r="10151" spans="1:4" x14ac:dyDescent="0.3">
      <c r="A10151" s="1" t="str">
        <f>"01008310600"</f>
        <v>01008310600</v>
      </c>
      <c r="B10151" s="1" t="str">
        <f>"RADCLIFF EDWIN P SR"</f>
        <v>RADCLIFF EDWIN P SR</v>
      </c>
      <c r="C10151" s="1" t="str">
        <f>"OAKLAND PARK AVE OAKLAND PARK TERRACE LOT 135"</f>
        <v>OAKLAND PARK AVE OAKLAND PARK TERRACE LOT 135</v>
      </c>
      <c r="D10151" s="1">
        <v>1702.02</v>
      </c>
    </row>
    <row r="10152" spans="1:4" x14ac:dyDescent="0.3">
      <c r="A10152" s="1" t="str">
        <f>"01004144700"</f>
        <v>01004144700</v>
      </c>
      <c r="B10152" s="1" t="str">
        <f>"RADCLIFF NASHIBA NICOL"</f>
        <v>RADCLIFF NASHIBA NICOL</v>
      </c>
      <c r="C10152" s="1" t="str">
        <f>"268 JOHNSON ST JOHNSON SUB8"</f>
        <v>268 JOHNSON ST JOHNSON SUB8</v>
      </c>
      <c r="D10152" s="1">
        <v>2060.08</v>
      </c>
    </row>
    <row r="10153" spans="1:4" x14ac:dyDescent="0.3">
      <c r="A10153" s="1" t="str">
        <f>"01006737400"</f>
        <v>01006737400</v>
      </c>
      <c r="B10153" s="1" t="str">
        <f>"RADCLIFF RUBY G"</f>
        <v>RADCLIFF RUBY G</v>
      </c>
      <c r="C10153" s="1" t="str">
        <f>"NORTHVIEW AVE NORTH BEXLEY VIEW 2 LOT 27"</f>
        <v>NORTHVIEW AVE NORTH BEXLEY VIEW 2 LOT 27</v>
      </c>
      <c r="D10153" s="1">
        <v>492.72</v>
      </c>
    </row>
    <row r="10154" spans="1:4" x14ac:dyDescent="0.3">
      <c r="A10154" s="1" t="str">
        <f>"53022820000"</f>
        <v>53022820000</v>
      </c>
      <c r="B10154" s="1" t="str">
        <f>"RADDA MAMUSU, RADDA HASSAN"</f>
        <v>RADDA MAMUSU, RADDA HASSAN</v>
      </c>
      <c r="C10154" s="1" t="str">
        <f>"CONDO AT COBBLESTONE CONDOMINIUM PHASE 3 UNIT 6-6372"</f>
        <v>CONDO AT COBBLESTONE CONDOMINIUM PHASE 3 UNIT 6-6372</v>
      </c>
      <c r="D10154" s="1">
        <v>1237.9000000000001</v>
      </c>
    </row>
    <row r="10155" spans="1:4" x14ac:dyDescent="0.3">
      <c r="A10155" s="1" t="str">
        <f>"01027163000"</f>
        <v>01027163000</v>
      </c>
      <c r="B10155" s="1" t="str">
        <f>"RADECKI KEVIN TTEE"</f>
        <v>RADECKI KEVIN TTEE</v>
      </c>
      <c r="C10155" s="1" t="str">
        <f>"WHITNEY WOODS COURT WHITNEY WOODS PRIVATE GATED COMMUNITY LOT 1"</f>
        <v>WHITNEY WOODS COURT WHITNEY WOODS PRIVATE GATED COMMUNITY LOT 1</v>
      </c>
      <c r="D10155" s="1">
        <v>555.58000000000004</v>
      </c>
    </row>
    <row r="10156" spans="1:4" x14ac:dyDescent="0.3">
      <c r="A10156" s="1" t="str">
        <f>"24000406400"</f>
        <v>24000406400</v>
      </c>
      <c r="B10156" s="1" t="str">
        <f>"RADER MARK R, RADER CARLA J"</f>
        <v>RADER MARK R, RADER CARLA J</v>
      </c>
      <c r="C10156" s="1" t="str">
        <f>"KUNZ ROAD DEL-MAR ESTATES LOT 13"</f>
        <v>KUNZ ROAD DEL-MAR ESTATES LOT 13</v>
      </c>
      <c r="D10156" s="1">
        <v>1810.46</v>
      </c>
    </row>
    <row r="10157" spans="1:4" x14ac:dyDescent="0.3">
      <c r="A10157" s="1" t="str">
        <f>"61020974300"</f>
        <v>61020974300</v>
      </c>
      <c r="B10157" s="1" t="str">
        <f>"RADHAKRISHNAN ARUN, PUDHIYATTIL PRAMOD"</f>
        <v>RADHAKRISHNAN ARUN, PUDHIYATTIL PRAMOD</v>
      </c>
      <c r="C10157" s="1" t="str">
        <f>"WORTHINGTON PARK CONDO 5TH AMD UNIT 17D"</f>
        <v>WORTHINGTON PARK CONDO 5TH AMD UNIT 17D</v>
      </c>
      <c r="D10157" s="1">
        <v>3812.22</v>
      </c>
    </row>
    <row r="10158" spans="1:4" x14ac:dyDescent="0.3">
      <c r="A10158" s="1" t="str">
        <f>"01028744100"</f>
        <v>01028744100</v>
      </c>
      <c r="B10158" s="1" t="str">
        <f>"RADIVICH RADOMIR TTEE, RADIVICH GERALDINE M TTEE"</f>
        <v>RADIVICH RADOMIR TTEE, RADIVICH GERALDINE M TTEE</v>
      </c>
      <c r="C10158" s="1" t="str">
        <f>"BROADWAY CONDOMINIUM 4TH AMD UNIT 10-4209"</f>
        <v>BROADWAY CONDOMINIUM 4TH AMD UNIT 10-4209</v>
      </c>
      <c r="D10158" s="1">
        <v>1825.08</v>
      </c>
    </row>
    <row r="10159" spans="1:4" x14ac:dyDescent="0.3">
      <c r="A10159" s="1" t="str">
        <f>"01012165200"</f>
        <v>01012165200</v>
      </c>
      <c r="B10159" s="1" t="str">
        <f>"RAFAH HOSPITALITY LLC"</f>
        <v>RAFAH HOSPITALITY LLC</v>
      </c>
      <c r="C10159" s="1" t="str">
        <f>"1213 E GRANVILLE RD R18 T2 1/4T4 4.275 ACRES"</f>
        <v>1213 E GRANVILLE RD R18 T2 1/4T4 4.275 ACRES</v>
      </c>
      <c r="D10159" s="1">
        <v>86963.26</v>
      </c>
    </row>
    <row r="10160" spans="1:4" x14ac:dyDescent="0.3">
      <c r="A10160" s="1" t="str">
        <f>"01006365900"</f>
        <v>01006365900</v>
      </c>
      <c r="B10160" s="1" t="str">
        <f>"RAGHEB YASSER"</f>
        <v>RAGHEB YASSER</v>
      </c>
      <c r="C10160" s="1" t="str">
        <f>"2675 SULLIVANT AVE SULLIVANT SCHOENE RES I"</f>
        <v>2675 SULLIVANT AVE SULLIVANT SCHOENE RES I</v>
      </c>
      <c r="D10160" s="1">
        <v>2356.73</v>
      </c>
    </row>
    <row r="10161" spans="1:4" x14ac:dyDescent="0.3">
      <c r="A10161" s="1" t="str">
        <f>"01013347300"</f>
        <v>01013347300</v>
      </c>
      <c r="B10161" s="1" t="str">
        <f>"RAGLAND ANITA N"</f>
        <v>RAGLAND ANITA N</v>
      </c>
      <c r="C10161" s="1" t="str">
        <f>"SOUTHFIELD 3RD LOT 372 "</f>
        <v xml:space="preserve">SOUTHFIELD 3RD LOT 372 </v>
      </c>
      <c r="D10161" s="1">
        <v>99.67</v>
      </c>
    </row>
    <row r="10162" spans="1:4" x14ac:dyDescent="0.3">
      <c r="A10162" s="1" t="str">
        <f>"01014317300"</f>
        <v>01014317300</v>
      </c>
      <c r="B10162" s="1" t="str">
        <f>"RAGLAND TIMOTHY G, RAGLAND SANDRA K"</f>
        <v>RAGLAND TIMOTHY G, RAGLAND SANDRA K</v>
      </c>
      <c r="C10162" s="1" t="str">
        <f>"FLORIAN DR BRUNSWICK ESTATES 3 L 54"</f>
        <v>FLORIAN DR BRUNSWICK ESTATES 3 L 54</v>
      </c>
      <c r="D10162" s="1">
        <v>213.75</v>
      </c>
    </row>
    <row r="10163" spans="1:4" x14ac:dyDescent="0.3">
      <c r="A10163" s="1" t="str">
        <f>"01025153000"</f>
        <v>01025153000</v>
      </c>
      <c r="B10163" s="1" t="str">
        <f>"RAHIM NASEEM I"</f>
        <v>RAHIM NASEEM I</v>
      </c>
      <c r="C10163" s="1" t="str">
        <f>"GENDER PARK CONDOMINIUM 9TH AMD UNIT 46E"</f>
        <v>GENDER PARK CONDOMINIUM 9TH AMD UNIT 46E</v>
      </c>
      <c r="D10163" s="1">
        <v>204.81</v>
      </c>
    </row>
    <row r="10164" spans="1:4" x14ac:dyDescent="0.3">
      <c r="A10164" s="1" t="str">
        <f>"20000342000"</f>
        <v>20000342000</v>
      </c>
      <c r="B10164" s="1" t="str">
        <f>"RAHR THOMAS E, RAHR MARNA D"</f>
        <v>RAHR THOMAS E, RAHR MARNA D</v>
      </c>
      <c r="C10164" s="1" t="str">
        <f>"TIMBERBROOK LANE RESUB OF PT OF TIMBERBROOK EXT L195"</f>
        <v>TIMBERBROOK LANE RESUB OF PT OF TIMBERBROOK EXT L195</v>
      </c>
      <c r="D10164" s="1">
        <v>3544.48</v>
      </c>
    </row>
    <row r="10165" spans="1:4" x14ac:dyDescent="0.3">
      <c r="A10165" s="1" t="str">
        <f>"13001185800"</f>
        <v>13001185800</v>
      </c>
      <c r="B10165" s="1" t="str">
        <f>"RAIL PRODUCTS INTERNATIONAL INC"</f>
        <v>RAIL PRODUCTS INTERNATIONAL INC</v>
      </c>
      <c r="C10165" s="1" t="str">
        <f>"794 CHAMBERS ROAD R18 T1 1/4T3 1.648 ACRES"</f>
        <v>794 CHAMBERS ROAD R18 T1 1/4T3 1.648 ACRES</v>
      </c>
      <c r="D10165" s="1">
        <v>1336.86</v>
      </c>
    </row>
    <row r="10166" spans="1:4" x14ac:dyDescent="0.3">
      <c r="A10166" s="1" t="str">
        <f>"13000541900"</f>
        <v>13000541900</v>
      </c>
      <c r="B10166" s="1" t="str">
        <f>"RAIL PRODUCTS INTERNATIONAL INC"</f>
        <v>RAIL PRODUCTS INTERNATIONAL INC</v>
      </c>
      <c r="C10166" s="1" t="str">
        <f>"794 CHAMBERS RD R18 T1 1/4T3 8.149 ACRES"</f>
        <v>794 CHAMBERS RD R18 T1 1/4T3 8.149 ACRES</v>
      </c>
      <c r="D10166" s="1">
        <v>6890.07</v>
      </c>
    </row>
    <row r="10167" spans="1:4" x14ac:dyDescent="0.3">
      <c r="A10167" s="1" t="str">
        <f>"01006201600"</f>
        <v>01006201600</v>
      </c>
      <c r="B10167" s="1" t="str">
        <f>"RAIL PRODUCTS INTERNATIONAL INC"</f>
        <v>RAIL PRODUCTS INTERNATIONAL INC</v>
      </c>
      <c r="C10167" s="1" t="str">
        <f>"832 KING AVE &amp;16FT        AL VAC SCRIMGERS          KING AVE LOT 4-9INCL     "</f>
        <v xml:space="preserve">832 KING AVE &amp;16FT        AL VAC SCRIMGERS          KING AVE LOT 4-9INCL     </v>
      </c>
      <c r="D10167" s="1">
        <v>1592.8</v>
      </c>
    </row>
    <row r="10168" spans="1:4" x14ac:dyDescent="0.3">
      <c r="A10168" s="1" t="str">
        <f>"01017872600"</f>
        <v>01017872600</v>
      </c>
      <c r="B10168" s="1" t="str">
        <f>"RAINBOW PROPERTIES LLC"</f>
        <v>RAINBOW PROPERTIES LLC</v>
      </c>
      <c r="C10168" s="1" t="str">
        <f>"YORKDALE CONDOMINIUM UNIT 5063 "</f>
        <v xml:space="preserve">YORKDALE CONDOMINIUM UNIT 5063 </v>
      </c>
      <c r="D10168" s="1">
        <v>2724.3</v>
      </c>
    </row>
    <row r="10169" spans="1:4" x14ac:dyDescent="0.3">
      <c r="A10169" s="1" t="str">
        <f>"27301177400"</f>
        <v>27301177400</v>
      </c>
      <c r="B10169" s="1" t="str">
        <f>"RAINES BROOKE E"</f>
        <v>RAINES BROOKE E</v>
      </c>
      <c r="C10169" s="1" t="str">
        <f>"GORDEN FARMS CONDOMINIUM UNIT 071 (GARAGE)"</f>
        <v>GORDEN FARMS CONDOMINIUM UNIT 071 (GARAGE)</v>
      </c>
      <c r="D10169" s="1">
        <v>438.5</v>
      </c>
    </row>
    <row r="10170" spans="1:4" x14ac:dyDescent="0.3">
      <c r="A10170" s="1" t="str">
        <f>"09000047400"</f>
        <v>09000047400</v>
      </c>
      <c r="B10170" s="1" t="str">
        <f>"RAINEY JASON T"</f>
        <v>RAINEY JASON T</v>
      </c>
      <c r="C10170" s="1" t="str">
        <f>"632 BEECHWOOD 62.5FT SS LOT 27 BLOWER LOT 27"</f>
        <v>632 BEECHWOOD 62.5FT SS LOT 27 BLOWER LOT 27</v>
      </c>
      <c r="D10170" s="1">
        <v>892.65</v>
      </c>
    </row>
    <row r="10171" spans="1:4" x14ac:dyDescent="0.3">
      <c r="A10171" s="1" t="str">
        <f>"01011390100"</f>
        <v>01011390100</v>
      </c>
      <c r="B10171" s="1" t="str">
        <f>"RAISED IN LOVE LLC"</f>
        <v>RAISED IN LOVE LLC</v>
      </c>
      <c r="C10171" s="1" t="str">
        <f>"1629 LOCKBOURNE AVE MAX BORST LOT 39-40"</f>
        <v>1629 LOCKBOURNE AVE MAX BORST LOT 39-40</v>
      </c>
      <c r="D10171" s="1">
        <v>762.11</v>
      </c>
    </row>
    <row r="10172" spans="1:4" x14ac:dyDescent="0.3">
      <c r="A10172" s="1" t="str">
        <f>"01017123600"</f>
        <v>01017123600</v>
      </c>
      <c r="B10172" s="1" t="str">
        <f>"RAJA YDALMA M ABREU"</f>
        <v>RAJA YDALMA M ABREU</v>
      </c>
      <c r="C10172" s="1" t="str">
        <f>"CHATEAU MORSE CONDO LOT 4338 "</f>
        <v xml:space="preserve">CHATEAU MORSE CONDO LOT 4338 </v>
      </c>
      <c r="D10172" s="1">
        <v>910.97</v>
      </c>
    </row>
    <row r="10173" spans="1:4" x14ac:dyDescent="0.3">
      <c r="A10173" s="1" t="str">
        <f>"07000894600"</f>
        <v>07000894600</v>
      </c>
      <c r="B10173" s="1" t="str">
        <f>"RAJCZYK ADAM JOSHUA"</f>
        <v>RAJCZYK ADAM JOSHUA</v>
      </c>
      <c r="C10173" s="1" t="str">
        <f>"3131 NORTH STAR RD WAKEFIELD FOREST 21 BLK 310"</f>
        <v>3131 NORTH STAR RD WAKEFIELD FOREST 21 BLK 310</v>
      </c>
      <c r="D10173" s="1">
        <v>1886.29</v>
      </c>
    </row>
    <row r="10174" spans="1:4" x14ac:dyDescent="0.3">
      <c r="A10174" s="1" t="str">
        <f>"01029133700"</f>
        <v>01029133700</v>
      </c>
      <c r="B10174" s="1" t="str">
        <f>"RAJCZYK DANIEL J"</f>
        <v>RAJCZYK DANIEL J</v>
      </c>
      <c r="C10174" s="1" t="str">
        <f>"PRESERVE CROSSING         CONDOMINIUM 18TH AMD      BLDG 64 UNIT 64-6185     "</f>
        <v xml:space="preserve">PRESERVE CROSSING         CONDOMINIUM 18TH AMD      BLDG 64 UNIT 64-6185     </v>
      </c>
      <c r="D10174" s="1">
        <v>2355.2800000000002</v>
      </c>
    </row>
    <row r="10175" spans="1:4" x14ac:dyDescent="0.3">
      <c r="A10175" s="1" t="str">
        <f>"01005419400"</f>
        <v>01005419400</v>
      </c>
      <c r="B10175" s="1" t="str">
        <f>"RAJENDRAN PRABHU KUMAR TTEE"</f>
        <v>RAJENDRAN PRABHU KUMAR TTEE</v>
      </c>
      <c r="C10175" s="1" t="str">
        <f>"1253 E 17TH AVE LOUIS HTS ADD 34' X 135' WS LT 117"</f>
        <v>1253 E 17TH AVE LOUIS HTS ADD 34' X 135' WS LT 117</v>
      </c>
      <c r="D10175" s="1">
        <v>987.04</v>
      </c>
    </row>
    <row r="10176" spans="1:4" x14ac:dyDescent="0.3">
      <c r="A10176" s="1" t="str">
        <f>"17528846200"</f>
        <v>17528846200</v>
      </c>
      <c r="B10176" s="1" t="str">
        <f>"RAJNI PROPERTIES LLC"</f>
        <v>RAJNI PROPERTIES LLC</v>
      </c>
      <c r="C10176" s="1" t="str">
        <f>"WAGGONER TRACE            SECTION 2 PART 3          LOT 190                  "</f>
        <v xml:space="preserve">WAGGONER TRACE            SECTION 2 PART 3          LOT 190                  </v>
      </c>
      <c r="D10176" s="1">
        <v>8439.75</v>
      </c>
    </row>
    <row r="10177" spans="1:4" x14ac:dyDescent="0.3">
      <c r="A10177" s="1" t="str">
        <f>"24100084100"</f>
        <v>24100084100</v>
      </c>
      <c r="B10177" s="1" t="str">
        <f>"RAJU RAVI, RAJU HAMSA"</f>
        <v>RAJU RAVI, RAJU HAMSA</v>
      </c>
      <c r="C10177" s="1" t="str">
        <f>"PRAIRIE RD WESTPOINT SEC 1 PH 2 LOT 137"</f>
        <v>PRAIRIE RD WESTPOINT SEC 1 PH 2 LOT 137</v>
      </c>
      <c r="D10177" s="1">
        <v>7201.92</v>
      </c>
    </row>
    <row r="10178" spans="1:4" x14ac:dyDescent="0.3">
      <c r="A10178" s="1" t="str">
        <f>"06000615100"</f>
        <v>06000615100</v>
      </c>
      <c r="B10178" s="1" t="str">
        <f>"RAKI ILHAM"</f>
        <v>RAKI ILHAM</v>
      </c>
      <c r="C10178" s="1" t="str">
        <f>"BARCELONA SQUARE CON UNIT 1995 BLDG 1 "</f>
        <v xml:space="preserve">BARCELONA SQUARE CON UNIT 1995 BLDG 1 </v>
      </c>
      <c r="D10178" s="1">
        <v>912.96</v>
      </c>
    </row>
    <row r="10179" spans="1:4" x14ac:dyDescent="0.3">
      <c r="A10179" s="1" t="str">
        <f>"61016791200"</f>
        <v>61016791200</v>
      </c>
      <c r="B10179" s="1" t="str">
        <f>"RAKI ILHAM, BRIBECH MOHAMED"</f>
        <v>RAKI ILHAM, BRIBECH MOHAMED</v>
      </c>
      <c r="C10179" s="1" t="str">
        <f>"SMOKEY ROW MANOR QUEENSBRIDGE DR LOT 10"</f>
        <v>SMOKEY ROW MANOR QUEENSBRIDGE DR LOT 10</v>
      </c>
      <c r="D10179" s="1">
        <v>2902.61</v>
      </c>
    </row>
    <row r="10180" spans="1:4" x14ac:dyDescent="0.3">
      <c r="A10180" s="1" t="str">
        <f>"27300009900"</f>
        <v>27300009900</v>
      </c>
      <c r="B10180" s="1" t="str">
        <f>"RALCO PROPERTIES LLC"</f>
        <v>RALCO PROPERTIES LLC</v>
      </c>
      <c r="C10180" s="1" t="str">
        <f>"HIGH ST LOT 129 "</f>
        <v xml:space="preserve">HIGH ST LOT 129 </v>
      </c>
      <c r="D10180" s="1">
        <v>2097.02</v>
      </c>
    </row>
    <row r="10181" spans="1:4" x14ac:dyDescent="0.3">
      <c r="A10181" s="1" t="str">
        <f>"01015240700"</f>
        <v>01015240700</v>
      </c>
      <c r="B10181" s="1" t="str">
        <f>"RALEY JOHN BRUCE"</f>
        <v>RALEY JOHN BRUCE</v>
      </c>
      <c r="C10181" s="1" t="str">
        <f>"GRAYFAIRS LANE HYDE PARK PLAT 2 LOT 239"</f>
        <v>GRAYFAIRS LANE HYDE PARK PLAT 2 LOT 239</v>
      </c>
      <c r="D10181" s="1">
        <v>3333.84</v>
      </c>
    </row>
    <row r="10182" spans="1:4" x14ac:dyDescent="0.3">
      <c r="A10182" s="1" t="str">
        <f>"10000619500"</f>
        <v>10000619500</v>
      </c>
      <c r="B10182" s="1" t="str">
        <f>"RAMACHANDRAN ANAND, RAMACHANDRAN SANDHYA"</f>
        <v>RAMACHANDRAN ANAND, RAMACHANDRAN SANDHYA</v>
      </c>
      <c r="C10182" s="1" t="str">
        <f>"6464 BELLBROOK PL BELLBROOK LOT 9"</f>
        <v>6464 BELLBROOK PL BELLBROOK LOT 9</v>
      </c>
      <c r="D10182" s="1">
        <v>1781.42</v>
      </c>
    </row>
    <row r="10183" spans="1:4" x14ac:dyDescent="0.3">
      <c r="A10183" s="1" t="str">
        <f>"27301217100"</f>
        <v>27301217100</v>
      </c>
      <c r="B10183" s="1" t="str">
        <f>"RAMAN ANUSUYA"</f>
        <v>RAMAN ANUSUYA</v>
      </c>
      <c r="C10183" s="1" t="str">
        <f>"GREYSTONE MEWS CONDOMINIUM 2ND AMD UNIT 32"</f>
        <v>GREYSTONE MEWS CONDOMINIUM 2ND AMD UNIT 32</v>
      </c>
      <c r="D10183" s="1">
        <v>6868.3</v>
      </c>
    </row>
    <row r="10184" spans="1:4" x14ac:dyDescent="0.3">
      <c r="A10184" s="1" t="str">
        <f>"01006503500"</f>
        <v>01006503500</v>
      </c>
      <c r="B10184" s="1" t="str">
        <f>"RAMBLING HOUSE HUDSON LLC"</f>
        <v>RAMBLING HOUSE HUDSON LLC</v>
      </c>
      <c r="C10184" s="1" t="str">
        <f>"DEMING AVE GEO WILLIAMS LOT 322-23"</f>
        <v>DEMING AVE GEO WILLIAMS LOT 322-23</v>
      </c>
      <c r="D10184" s="1">
        <v>193.41</v>
      </c>
    </row>
    <row r="10185" spans="1:4" x14ac:dyDescent="0.3">
      <c r="A10185" s="1" t="str">
        <f>"01001078000"</f>
        <v>01001078000</v>
      </c>
      <c r="B10185" s="1" t="str">
        <f>"RAMBLING HOUSE HUDSON LLC"</f>
        <v>RAMBLING HOUSE HUDSON LLC</v>
      </c>
      <c r="C10185" s="1" t="str">
        <f>"2560 DEMING AVE GEO WILLIAMS LOT 324"</f>
        <v>2560 DEMING AVE GEO WILLIAMS LOT 324</v>
      </c>
      <c r="D10185" s="1">
        <v>5466.33</v>
      </c>
    </row>
    <row r="10186" spans="1:4" x14ac:dyDescent="0.3">
      <c r="A10186" s="1" t="str">
        <f>"01003876400"</f>
        <v>01003876400</v>
      </c>
      <c r="B10186" s="1" t="str">
        <f>"RAMBO DIANE P, RAMBO KENT M"</f>
        <v>RAMBO DIANE P, RAMBO KENT M</v>
      </c>
      <c r="C10186" s="1" t="str">
        <f>"306 WILSON AVE WILSON &amp; SHARP LOT 11"</f>
        <v>306 WILSON AVE WILSON &amp; SHARP LOT 11</v>
      </c>
      <c r="D10186" s="1">
        <v>1622.95</v>
      </c>
    </row>
    <row r="10187" spans="1:4" x14ac:dyDescent="0.3">
      <c r="A10187" s="1" t="str">
        <f>"01008120200"</f>
        <v>01008120200</v>
      </c>
      <c r="B10187" s="1" t="str">
        <f>"RAMEY MARCIE"</f>
        <v>RAMEY MARCIE</v>
      </c>
      <c r="C10187" s="1" t="str">
        <f>"KENLAWN ST KENMORE LOT 40"</f>
        <v>KENLAWN ST KENMORE LOT 40</v>
      </c>
      <c r="D10187" s="1">
        <v>3327.12</v>
      </c>
    </row>
    <row r="10188" spans="1:4" x14ac:dyDescent="0.3">
      <c r="A10188" s="1" t="str">
        <f>"01013385200"</f>
        <v>01013385200</v>
      </c>
      <c r="B10188" s="1" t="str">
        <f>"RAMEY MARCIE"</f>
        <v>RAMEY MARCIE</v>
      </c>
      <c r="C10188" s="1" t="str">
        <f>"5993 CHESTERTON SQ E D%VONSHIRE 1 LOT 73"</f>
        <v>5993 CHESTERTON SQ E D%VONSHIRE 1 LOT 73</v>
      </c>
      <c r="D10188" s="1">
        <v>3483.04</v>
      </c>
    </row>
    <row r="10189" spans="1:4" x14ac:dyDescent="0.3">
      <c r="A10189" s="1" t="str">
        <f>"60014617400"</f>
        <v>60014617400</v>
      </c>
      <c r="B10189" s="1" t="str">
        <f>"RAMEY MARCIE"</f>
        <v>RAMEY MARCIE</v>
      </c>
      <c r="C10189" s="1" t="str">
        <f>"2381 TAYMOUTH RD SCOTLAND LOT 82 "</f>
        <v xml:space="preserve">2381 TAYMOUTH RD SCOTLAND LOT 82 </v>
      </c>
      <c r="D10189" s="1">
        <v>3821.92</v>
      </c>
    </row>
    <row r="10190" spans="1:4" x14ac:dyDescent="0.3">
      <c r="A10190" s="1" t="str">
        <f>"01014698800"</f>
        <v>01014698800</v>
      </c>
      <c r="B10190" s="1" t="str">
        <f>"RAMEY MARCIE LYNN"</f>
        <v>RAMEY MARCIE LYNN</v>
      </c>
      <c r="C10190" s="1" t="str">
        <f>"FOREST PK EAST SEC 3 LOT 379 "</f>
        <v xml:space="preserve">FOREST PK EAST SEC 3 LOT 379 </v>
      </c>
      <c r="D10190" s="1">
        <v>4481.08</v>
      </c>
    </row>
    <row r="10191" spans="1:4" x14ac:dyDescent="0.3">
      <c r="A10191" s="1" t="str">
        <f>"13000686800"</f>
        <v>13000686800</v>
      </c>
      <c r="B10191" s="1" t="str">
        <f>"RAMIREZ ALFONSO A"</f>
        <v>RAMIREZ ALFONSO A</v>
      </c>
      <c r="C10191" s="1" t="str">
        <f>"3699 WALFORD AVE ELMORE LOT 533 &amp; N 1/2 LOT 532"</f>
        <v>3699 WALFORD AVE ELMORE LOT 533 &amp; N 1/2 LOT 532</v>
      </c>
      <c r="D10191" s="1">
        <v>1376.56</v>
      </c>
    </row>
    <row r="10192" spans="1:4" x14ac:dyDescent="0.3">
      <c r="A10192" s="1" t="str">
        <f>"01010430600"</f>
        <v>01010430600</v>
      </c>
      <c r="B10192" s="1" t="str">
        <f>"RAMIREZ CABRERA EDWIN Y"</f>
        <v>RAMIREZ CABRERA EDWIN Y</v>
      </c>
      <c r="C10192" s="1" t="str">
        <f>"1608 HANFORD ST SOUTHMOOR LOTS 62-65"</f>
        <v>1608 HANFORD ST SOUTHMOOR LOTS 62-65</v>
      </c>
      <c r="D10192" s="1">
        <v>2135.6</v>
      </c>
    </row>
    <row r="10193" spans="1:4" x14ac:dyDescent="0.3">
      <c r="A10193" s="1" t="str">
        <f>"01007419900"</f>
        <v>01007419900</v>
      </c>
      <c r="B10193" s="1" t="str">
        <f>"RAMIREZ DAVID, REYES ELVIA"</f>
        <v>RAMIREZ DAVID, REYES ELVIA</v>
      </c>
      <c r="C10193" s="1" t="str">
        <f>"ATWOOD TERRACE ALMADA LOT 40"</f>
        <v>ATWOOD TERRACE ALMADA LOT 40</v>
      </c>
      <c r="D10193" s="1">
        <v>2586.3000000000002</v>
      </c>
    </row>
    <row r="10194" spans="1:4" x14ac:dyDescent="0.3">
      <c r="A10194" s="1" t="str">
        <f>"01000656700"</f>
        <v>01000656700</v>
      </c>
      <c r="B10194" s="1" t="str">
        <f>"RAMIREZ DIANA CASTILLO"</f>
        <v>RAMIREZ DIANA CASTILLO</v>
      </c>
      <c r="C10194" s="1" t="str">
        <f>"2948 MEDINA AVE SOUTH 1/2 LINDEN GARDENS L54"</f>
        <v>2948 MEDINA AVE SOUTH 1/2 LINDEN GARDENS L54</v>
      </c>
      <c r="D10194" s="1">
        <v>3397.74</v>
      </c>
    </row>
    <row r="10195" spans="1:4" x14ac:dyDescent="0.3">
      <c r="A10195" s="1" t="str">
        <f>"60015022300"</f>
        <v>60015022300</v>
      </c>
      <c r="B10195" s="1" t="str">
        <f>"RAMIREZ FERNANDO"</f>
        <v>RAMIREZ FERNANDO</v>
      </c>
      <c r="C10195" s="1" t="str">
        <f>"FAIRGROVE ROAD PARKRIDGE VILLAGE SEC 2 LOT 311"</f>
        <v>FAIRGROVE ROAD PARKRIDGE VILLAGE SEC 2 LOT 311</v>
      </c>
      <c r="D10195" s="1">
        <v>4118.75</v>
      </c>
    </row>
    <row r="10196" spans="1:4" x14ac:dyDescent="0.3">
      <c r="A10196" s="1" t="str">
        <f>"01010718300"</f>
        <v>01010718300</v>
      </c>
      <c r="B10196" s="1" t="str">
        <f>"RAMIREZ GERONIMO JR"</f>
        <v>RAMIREZ GERONIMO JR</v>
      </c>
      <c r="C10196" s="1" t="str">
        <f>"KENLAWN ST KENMORE KNOLLS 2 LOT 110"</f>
        <v>KENLAWN ST KENMORE KNOLLS 2 LOT 110</v>
      </c>
      <c r="D10196" s="1">
        <v>2910.26</v>
      </c>
    </row>
    <row r="10197" spans="1:4" x14ac:dyDescent="0.3">
      <c r="A10197" s="1" t="str">
        <f>"01009675600"</f>
        <v>01009675600</v>
      </c>
      <c r="B10197" s="1" t="str">
        <f>"RAMIREZ GERONIMO, RAMIREZ MARIA T"</f>
        <v>RAMIREZ GERONIMO, RAMIREZ MARIA T</v>
      </c>
      <c r="C10197" s="1" t="str">
        <f>"ONTARIO ST WM H DAVIS LOT 198"</f>
        <v>ONTARIO ST WM H DAVIS LOT 198</v>
      </c>
      <c r="D10197" s="1">
        <v>116.4</v>
      </c>
    </row>
    <row r="10198" spans="1:4" x14ac:dyDescent="0.3">
      <c r="A10198" s="1" t="str">
        <f>"61021430000"</f>
        <v>61021430000</v>
      </c>
      <c r="B10198" s="1" t="str">
        <f>"RAMIREZ LUNDA RENA TTEE"</f>
        <v>RAMIREZ LUNDA RENA TTEE</v>
      </c>
      <c r="C10198" s="1" t="str">
        <f>"WORTHINGTON GLEN CONDOMINIUM 6TH AMD BLDG 33 UNIT 33D"</f>
        <v>WORTHINGTON GLEN CONDOMINIUM 6TH AMD BLDG 33 UNIT 33D</v>
      </c>
      <c r="D10198" s="1">
        <v>176.53</v>
      </c>
    </row>
    <row r="10199" spans="1:4" x14ac:dyDescent="0.3">
      <c r="A10199" s="1" t="str">
        <f>"01011147800"</f>
        <v>01011147800</v>
      </c>
      <c r="B10199" s="1" t="str">
        <f>"RAMIREZ MARTINEZ GEOVANNY"</f>
        <v>RAMIREZ MARTINEZ GEOVANNY</v>
      </c>
      <c r="C10199" s="1" t="str">
        <f>"181 MARILLA AVE HOME ACRES LOT 21"</f>
        <v>181 MARILLA AVE HOME ACRES LOT 21</v>
      </c>
      <c r="D10199" s="1">
        <v>1560.89</v>
      </c>
    </row>
    <row r="10200" spans="1:4" x14ac:dyDescent="0.3">
      <c r="A10200" s="1" t="str">
        <f>"01005577700"</f>
        <v>01005577700</v>
      </c>
      <c r="B10200" s="1" t="str">
        <f>"RAMIREZ SANTANA AVILA"</f>
        <v>RAMIREZ SANTANA AVILA</v>
      </c>
      <c r="C10200" s="1" t="str">
        <f>"1131 FAIRWOOD AVE LENNOX ADDITION LOT 56"</f>
        <v>1131 FAIRWOOD AVE LENNOX ADDITION LOT 56</v>
      </c>
      <c r="D10200" s="1">
        <v>526.63</v>
      </c>
    </row>
    <row r="10201" spans="1:4" x14ac:dyDescent="0.3">
      <c r="A10201" s="1" t="str">
        <f>"19000269600"</f>
        <v>19000269600</v>
      </c>
      <c r="B10201" s="1" t="str">
        <f>"RAMIREZ SCRAPING &amp; HAULING LLC"</f>
        <v>RAMIREZ SCRAPING &amp; HAULING LLC</v>
      </c>
      <c r="C10201" s="1" t="str">
        <f>"PERDUE AVE BUR-LEA ADD LOT 172"</f>
        <v>PERDUE AVE BUR-LEA ADD LOT 172</v>
      </c>
      <c r="D10201" s="1">
        <v>1879.63</v>
      </c>
    </row>
    <row r="10202" spans="1:4" x14ac:dyDescent="0.3">
      <c r="A10202" s="1" t="str">
        <f>"01006090400"</f>
        <v>01006090400</v>
      </c>
      <c r="B10202" s="1" t="str">
        <f>"RAMOS CARLOS A VASQUEZ"</f>
        <v>RAMOS CARLOS A VASQUEZ</v>
      </c>
      <c r="C10202" s="1" t="str">
        <f>"1566 CORDELL ST INNIS CREST LOT 299"</f>
        <v>1566 CORDELL ST INNIS CREST LOT 299</v>
      </c>
      <c r="D10202" s="1">
        <v>65.17</v>
      </c>
    </row>
    <row r="10203" spans="1:4" x14ac:dyDescent="0.3">
      <c r="A10203" s="1" t="str">
        <f>"01011403900"</f>
        <v>01011403900</v>
      </c>
      <c r="B10203" s="1" t="str">
        <f>"RAMOS EDGAR M"</f>
        <v>RAMOS EDGAR M</v>
      </c>
      <c r="C10203" s="1" t="str">
        <f>"MOLER RD .394 ACRE R22 T5 S26 1/2S39 LOT 2"</f>
        <v>MOLER RD .394 ACRE R22 T5 S26 1/2S39 LOT 2</v>
      </c>
      <c r="D10203" s="1">
        <v>998.69</v>
      </c>
    </row>
    <row r="10204" spans="1:4" x14ac:dyDescent="0.3">
      <c r="A10204" s="1" t="str">
        <f>"01009319700"</f>
        <v>01009319700</v>
      </c>
      <c r="B10204" s="1" t="str">
        <f>"RAMOS ERIKA N"</f>
        <v>RAMOS ERIKA N</v>
      </c>
      <c r="C10204" s="1" t="str">
        <f>"ASHLEY DR REAR BEAUMONT SUB 0.150 ACRE RES B"</f>
        <v>ASHLEY DR REAR BEAUMONT SUB 0.150 ACRE RES B</v>
      </c>
      <c r="D10204" s="1">
        <v>33.450000000000003</v>
      </c>
    </row>
    <row r="10205" spans="1:4" x14ac:dyDescent="0.3">
      <c r="A10205" s="1" t="str">
        <f>"01010692200"</f>
        <v>01010692200</v>
      </c>
      <c r="B10205" s="1" t="str">
        <f>"RAMOS MORAN ROMELIA I"</f>
        <v>RAMOS MORAN ROMELIA I</v>
      </c>
      <c r="C10205" s="1" t="str">
        <f>"ASTOR AVE BARNETT HTS. AMD. LOT 16"</f>
        <v>ASTOR AVE BARNETT HTS. AMD. LOT 16</v>
      </c>
      <c r="D10205" s="1">
        <v>112.82</v>
      </c>
    </row>
    <row r="10206" spans="1:4" x14ac:dyDescent="0.3">
      <c r="A10206" s="1" t="str">
        <f>"01005783600"</f>
        <v>01005783600</v>
      </c>
      <c r="B10206" s="1" t="str">
        <f>"RAMOS TANYA REYES, RAMOS MANUEL REYES"</f>
        <v>RAMOS TANYA REYES, RAMOS MANUEL REYES</v>
      </c>
      <c r="C10206" s="1" t="str">
        <f>"LEXINGTON AVE MCGUFFEY SCHOOL LOT 46"</f>
        <v>LEXINGTON AVE MCGUFFEY SCHOOL LOT 46</v>
      </c>
      <c r="D10206" s="1">
        <v>624.86</v>
      </c>
    </row>
    <row r="10207" spans="1:4" x14ac:dyDescent="0.3">
      <c r="A10207" s="1" t="str">
        <f>"61026396300"</f>
        <v>61026396300</v>
      </c>
      <c r="B10207" s="1" t="str">
        <f>"RAMPERSAD AUSTIN JR, RAMPERSAD HANAN"</f>
        <v>RAMPERSAD AUSTIN JR, RAMPERSAD HANAN</v>
      </c>
      <c r="C10207" s="1" t="str">
        <f>"BLACKSMITH DRIVE LAZELLE WOODS SECTION 1 LOT 38"</f>
        <v>BLACKSMITH DRIVE LAZELLE WOODS SECTION 1 LOT 38</v>
      </c>
      <c r="D10207" s="1">
        <v>11190.59</v>
      </c>
    </row>
    <row r="10208" spans="1:4" x14ac:dyDescent="0.3">
      <c r="A10208" s="1" t="str">
        <f>"02500752200"</f>
        <v>02500752200</v>
      </c>
      <c r="B10208" s="1" t="str">
        <f>"RAMSDELL LISABETH L TTEE"</f>
        <v>RAMSDELL LISABETH L TTEE</v>
      </c>
      <c r="C10208" s="1" t="str">
        <f>"411 SANDBURR DRIVE HIGH MEADOWS OF GAHANNA SEC 1 LOT 19"</f>
        <v>411 SANDBURR DRIVE HIGH MEADOWS OF GAHANNA SEC 1 LOT 19</v>
      </c>
      <c r="D10208" s="1">
        <v>348.72</v>
      </c>
    </row>
    <row r="10209" spans="1:4" x14ac:dyDescent="0.3">
      <c r="A10209" s="1" t="str">
        <f>"02500618100"</f>
        <v>02500618100</v>
      </c>
      <c r="B10209" s="1" t="str">
        <f>"RAMSDELL LISBETH L TTEE"</f>
        <v>RAMSDELL LISBETH L TTEE</v>
      </c>
      <c r="C10209" s="1" t="str">
        <f>"658 HINES ROAD PIPERS GLEN SE LOT 23 &amp; 10FT"</f>
        <v>658 HINES ROAD PIPERS GLEN SE LOT 23 &amp; 10FT</v>
      </c>
      <c r="D10209" s="1">
        <v>254.74</v>
      </c>
    </row>
    <row r="10210" spans="1:4" x14ac:dyDescent="0.3">
      <c r="A10210" s="1" t="str">
        <f>"14300005400"</f>
        <v>14300005400</v>
      </c>
      <c r="B10210" s="1" t="str">
        <f>"RAMSER SUSAN E, BOWMAN CHRIS"</f>
        <v>RAMSER SUSAN E, BOWMAN CHRIS</v>
      </c>
      <c r="C10210" s="1" t="str">
        <f>"1411 CAMBRIDGE BLVD CAMBRIDGE PLACE LOT 3"</f>
        <v>1411 CAMBRIDGE BLVD CAMBRIDGE PLACE LOT 3</v>
      </c>
      <c r="D10210" s="1">
        <v>832.51</v>
      </c>
    </row>
    <row r="10211" spans="1:4" x14ac:dyDescent="0.3">
      <c r="A10211" s="1" t="str">
        <f>"06000290700"</f>
        <v>06000290700</v>
      </c>
      <c r="B10211" s="1" t="str">
        <f>"RAMSEY CHARLES H"</f>
        <v>RAMSEY CHARLES H</v>
      </c>
      <c r="C10211" s="1" t="str">
        <f>"HAFT DR H C HUBER PL 36 SEC 4 481"</f>
        <v>HAFT DR H C HUBER PL 36 SEC 4 481</v>
      </c>
      <c r="D10211" s="1">
        <v>872.21</v>
      </c>
    </row>
    <row r="10212" spans="1:4" x14ac:dyDescent="0.3">
      <c r="A10212" s="1" t="str">
        <f>"01016118500"</f>
        <v>01016118500</v>
      </c>
      <c r="B10212" s="1" t="str">
        <f>"RAMSEY MORGAN"</f>
        <v>RAMSEY MORGAN</v>
      </c>
      <c r="C10212" s="1" t="str">
        <f>"1287 WOODBROOK LANE WOODBROOK VILLAGE CONDO UNIT 219"</f>
        <v>1287 WOODBROOK LANE WOODBROOK VILLAGE CONDO UNIT 219</v>
      </c>
      <c r="D10212" s="1">
        <v>161.55000000000001</v>
      </c>
    </row>
    <row r="10213" spans="1:4" x14ac:dyDescent="0.3">
      <c r="A10213" s="1" t="str">
        <f>"01010936300"</f>
        <v>01010936300</v>
      </c>
      <c r="B10213" s="1" t="str">
        <f>"RANA MUBASHAR IQBAL"</f>
        <v>RANA MUBASHAR IQBAL</v>
      </c>
      <c r="C10213" s="1" t="str">
        <f>"LIVINGSTON AVE 3857 ACRES .443 R21T12S 20 1-4S 34"</f>
        <v>LIVINGSTON AVE 3857 ACRES .443 R21T12S 20 1-4S 34</v>
      </c>
      <c r="D10213" s="1">
        <v>1428.95</v>
      </c>
    </row>
    <row r="10214" spans="1:4" x14ac:dyDescent="0.3">
      <c r="A10214" s="1" t="str">
        <f>"02500177400"</f>
        <v>02500177400</v>
      </c>
      <c r="B10214" s="1" t="str">
        <f>"RANDALL RONALD R"</f>
        <v>RANDALL RONALD R</v>
      </c>
      <c r="C10214" s="1" t="str">
        <f>"349 MUSKINGUM CT COLLEGE PARK 146"</f>
        <v>349 MUSKINGUM CT COLLEGE PARK 146</v>
      </c>
      <c r="D10214" s="1">
        <v>3022.54</v>
      </c>
    </row>
    <row r="10215" spans="1:4" x14ac:dyDescent="0.3">
      <c r="A10215" s="1" t="str">
        <f>"13000192700"</f>
        <v>13000192700</v>
      </c>
      <c r="B10215" s="1" t="str">
        <f>"RANDOLPH ANTOINE L"</f>
        <v>RANDOLPH ANTOINE L</v>
      </c>
      <c r="C10215" s="1" t="str">
        <f>"CASE RD N LINDEN 1 294 "</f>
        <v xml:space="preserve">CASE RD N LINDEN 1 294 </v>
      </c>
      <c r="D10215" s="1">
        <v>150.61000000000001</v>
      </c>
    </row>
    <row r="10216" spans="1:4" x14ac:dyDescent="0.3">
      <c r="A10216" s="1" t="str">
        <f>"01016569300"</f>
        <v>01016569300</v>
      </c>
      <c r="B10216" s="1" t="str">
        <f>"RANFT JOHN"</f>
        <v>RANFT JOHN</v>
      </c>
      <c r="C10216" s="1" t="str">
        <f>"PLANTATION LAKES CONDOMINIUM BLDG 52 UNIT A"</f>
        <v>PLANTATION LAKES CONDOMINIUM BLDG 52 UNIT A</v>
      </c>
      <c r="D10216" s="1">
        <v>1057.6099999999999</v>
      </c>
    </row>
    <row r="10217" spans="1:4" x14ac:dyDescent="0.3">
      <c r="A10217" s="1" t="str">
        <f>"01003364200"</f>
        <v>01003364200</v>
      </c>
      <c r="B10217" s="1" t="str">
        <f>"RANGEL CARMEN MIRELLA IBARRA"</f>
        <v>RANGEL CARMEN MIRELLA IBARRA</v>
      </c>
      <c r="C10217" s="1" t="str">
        <f>"PARKWOOD AVE WATERSONS 1ST LOT 40"</f>
        <v>PARKWOOD AVE WATERSONS 1ST LOT 40</v>
      </c>
      <c r="D10217" s="1">
        <v>213.97</v>
      </c>
    </row>
    <row r="10218" spans="1:4" x14ac:dyDescent="0.3">
      <c r="A10218" s="1" t="str">
        <f>"01003364300"</f>
        <v>01003364300</v>
      </c>
      <c r="B10218" s="1" t="str">
        <f>"RANGEL CARMEN MIRELLA IBARRA"</f>
        <v>RANGEL CARMEN MIRELLA IBARRA</v>
      </c>
      <c r="C10218" s="1" t="str">
        <f>"PARKWOOD AVE WATERSONS 1ST LOT 41"</f>
        <v>PARKWOOD AVE WATERSONS 1ST LOT 41</v>
      </c>
      <c r="D10218" s="1">
        <v>213.97</v>
      </c>
    </row>
    <row r="10219" spans="1:4" x14ac:dyDescent="0.3">
      <c r="A10219" s="1" t="str">
        <f>"01003364400"</f>
        <v>01003364400</v>
      </c>
      <c r="B10219" s="1" t="str">
        <f>"RANGEL CARMEN MIRELLA IBARRA"</f>
        <v>RANGEL CARMEN MIRELLA IBARRA</v>
      </c>
      <c r="C10219" s="1" t="str">
        <f>"PARKWOOD AVE WATERSONS 1ST LOT 42"</f>
        <v>PARKWOOD AVE WATERSONS 1ST LOT 42</v>
      </c>
      <c r="D10219" s="1">
        <v>213.97</v>
      </c>
    </row>
    <row r="10220" spans="1:4" x14ac:dyDescent="0.3">
      <c r="A10220" s="1" t="str">
        <f>"01010926400"</f>
        <v>01010926400</v>
      </c>
      <c r="B10220" s="1" t="str">
        <f>"RANGEL JUVENAL R"</f>
        <v>RANGEL JUVENAL R</v>
      </c>
      <c r="C10220" s="1" t="str">
        <f>"WOODLAND AVE ARLINGTON PK TRACT2 BLK U LOT 5"</f>
        <v>WOODLAND AVE ARLINGTON PK TRACT2 BLK U LOT 5</v>
      </c>
      <c r="D10220" s="1">
        <v>560.86</v>
      </c>
    </row>
    <row r="10221" spans="1:4" x14ac:dyDescent="0.3">
      <c r="A10221" s="1" t="str">
        <f>"01011465400"</f>
        <v>01011465400</v>
      </c>
      <c r="B10221" s="1" t="str">
        <f>"RANGEL MIGUEL RAMOS"</f>
        <v>RANGEL MIGUEL RAMOS</v>
      </c>
      <c r="C10221" s="1" t="str">
        <f>"LAWNDALE AVE ACRES .505 R22 T4 S1"</f>
        <v>LAWNDALE AVE ACRES .505 R22 T4 S1</v>
      </c>
      <c r="D10221" s="1">
        <v>5008.3100000000004</v>
      </c>
    </row>
    <row r="10222" spans="1:4" x14ac:dyDescent="0.3">
      <c r="A10222" s="1" t="str">
        <f>"08001017300"</f>
        <v>08001017300</v>
      </c>
      <c r="B10222" s="1" t="str">
        <f>"RANGI BHAJAN K TR, RANGI RANDHIR S TR"</f>
        <v>RANGI BHAJAN K TR, RANGI RANDHIR S TR</v>
      </c>
      <c r="C10222" s="1" t="str">
        <f>"WATERTON DRIVE RIVER TRACE SEC 4 LOT 145"</f>
        <v>WATERTON DRIVE RIVER TRACE SEC 4 LOT 145</v>
      </c>
      <c r="D10222" s="1">
        <v>5440.73</v>
      </c>
    </row>
    <row r="10223" spans="1:4" x14ac:dyDescent="0.3">
      <c r="A10223" s="1" t="str">
        <f>"61019312900"</f>
        <v>61019312900</v>
      </c>
      <c r="B10223" s="1" t="str">
        <f>"RANGI FAMILY LP"</f>
        <v>RANGI FAMILY LP</v>
      </c>
      <c r="C10223" s="1" t="str">
        <f>"PARK PLACE DR PARK PLACE LOT 48"</f>
        <v>PARK PLACE DR PARK PLACE LOT 48</v>
      </c>
      <c r="D10223" s="1">
        <v>1706.57</v>
      </c>
    </row>
    <row r="10224" spans="1:4" x14ac:dyDescent="0.3">
      <c r="A10224" s="1" t="str">
        <f>"61018486800"</f>
        <v>61018486800</v>
      </c>
      <c r="B10224" s="1" t="str">
        <f>"RANGI LTD LLC"</f>
        <v>RANGI LTD LLC</v>
      </c>
      <c r="C10224" s="1" t="str">
        <f>"SUMMIT ROW BLVD RESB LTS SMOKY RIDGE ESTATES 3 LOT 520"</f>
        <v>SUMMIT ROW BLVD RESB LTS SMOKY RIDGE ESTATES 3 LOT 520</v>
      </c>
      <c r="D10224" s="1">
        <v>2651.96</v>
      </c>
    </row>
    <row r="10225" spans="1:4" x14ac:dyDescent="0.3">
      <c r="A10225" s="1" t="str">
        <f>"61019312000"</f>
        <v>61019312000</v>
      </c>
      <c r="B10225" s="1" t="str">
        <f>"RANGI LTD LLC"</f>
        <v>RANGI LTD LLC</v>
      </c>
      <c r="C10225" s="1" t="str">
        <f>"PARK PLACE DR PARK PLACE LOT 39"</f>
        <v>PARK PLACE DR PARK PLACE LOT 39</v>
      </c>
      <c r="D10225" s="1">
        <v>1686.7</v>
      </c>
    </row>
    <row r="10226" spans="1:4" x14ac:dyDescent="0.3">
      <c r="A10226" s="1" t="str">
        <f>"61019316500"</f>
        <v>61019316500</v>
      </c>
      <c r="B10226" s="1" t="str">
        <f>"RANGI LTD LLC"</f>
        <v>RANGI LTD LLC</v>
      </c>
      <c r="C10226" s="1" t="str">
        <f>"PARK PLACE DR PARK PLACE LOT 84"</f>
        <v>PARK PLACE DR PARK PLACE LOT 84</v>
      </c>
      <c r="D10226" s="1">
        <v>1892.88</v>
      </c>
    </row>
    <row r="10227" spans="1:4" x14ac:dyDescent="0.3">
      <c r="A10227" s="1" t="str">
        <f>"61017936000"</f>
        <v>61017936000</v>
      </c>
      <c r="B10227" s="1" t="str">
        <f>"RANGI LTD LLC"</f>
        <v>RANGI LTD LLC</v>
      </c>
      <c r="C10227" s="1" t="str">
        <f>"SERENITY LANE WORTHINGTON WOODS LOT 61"</f>
        <v>SERENITY LANE WORTHINGTON WOODS LOT 61</v>
      </c>
      <c r="D10227" s="1">
        <v>4125.03</v>
      </c>
    </row>
    <row r="10228" spans="1:4" x14ac:dyDescent="0.3">
      <c r="A10228" s="1" t="str">
        <f>"61017930700"</f>
        <v>61017930700</v>
      </c>
      <c r="B10228" s="1" t="str">
        <f>"RANGI LTD LLC"</f>
        <v>RANGI LTD LLC</v>
      </c>
      <c r="C10228" s="1" t="str">
        <f>"BELLA DR WORTHINGTON WOODS LOT 8"</f>
        <v>BELLA DR WORTHINGTON WOODS LOT 8</v>
      </c>
      <c r="D10228" s="1">
        <v>3128.91</v>
      </c>
    </row>
    <row r="10229" spans="1:4" x14ac:dyDescent="0.3">
      <c r="A10229" s="1" t="str">
        <f>"61017931200"</f>
        <v>61017931200</v>
      </c>
      <c r="B10229" s="1" t="str">
        <f>"RANGI LTD LLC"</f>
        <v>RANGI LTD LLC</v>
      </c>
      <c r="C10229" s="1" t="str">
        <f>"PLACID AVE WORTHINGTON WOODS LOT 13"</f>
        <v>PLACID AVE WORTHINGTON WOODS LOT 13</v>
      </c>
      <c r="D10229" s="1">
        <v>2995.83</v>
      </c>
    </row>
    <row r="10230" spans="1:4" x14ac:dyDescent="0.3">
      <c r="A10230" s="1" t="str">
        <f>"59020812400"</f>
        <v>59020812400</v>
      </c>
      <c r="B10230" s="1" t="str">
        <f>"RANGO RYAN E, RANGO AMANDA B"</f>
        <v>RANGO RYAN E, RANGO AMANDA B</v>
      </c>
      <c r="C10230" s="1" t="str">
        <f>"SPRUCE PINE DRIVE WHISPERING PINES LOT 86"</f>
        <v>SPRUCE PINE DRIVE WHISPERING PINES LOT 86</v>
      </c>
      <c r="D10230" s="1">
        <v>4349.17</v>
      </c>
    </row>
    <row r="10231" spans="1:4" x14ac:dyDescent="0.3">
      <c r="A10231" s="1" t="str">
        <f>"05000461800"</f>
        <v>05000461800</v>
      </c>
      <c r="B10231" s="1" t="str">
        <f>"RANK NANCY J TR"</f>
        <v>RANK NANCY J TR</v>
      </c>
      <c r="C10231" s="1" t="str">
        <f>"4847 HAWKSTONE ROAD HEATHER RIDGE SEC 3 LOT 156"</f>
        <v>4847 HAWKSTONE ROAD HEATHER RIDGE SEC 3 LOT 156</v>
      </c>
      <c r="D10231" s="1">
        <v>318.76</v>
      </c>
    </row>
    <row r="10232" spans="1:4" x14ac:dyDescent="0.3">
      <c r="A10232" s="1" t="str">
        <f>"60017614400"</f>
        <v>60017614400</v>
      </c>
      <c r="B10232" s="1" t="str">
        <f>"RANK THOMAS E"</f>
        <v>RANK THOMAS E</v>
      </c>
      <c r="C10232" s="1" t="str">
        <f>"HAWKS-WAY CT COOPER RIDGE LOT 10"</f>
        <v>HAWKS-WAY CT COOPER RIDGE LOT 10</v>
      </c>
      <c r="D10232" s="1">
        <v>2939.49</v>
      </c>
    </row>
    <row r="10233" spans="1:4" x14ac:dyDescent="0.3">
      <c r="A10233" s="1" t="str">
        <f>"61020746300"</f>
        <v>61020746300</v>
      </c>
      <c r="B10233" s="1" t="str">
        <f>"RANNEY CAROL A"</f>
        <v>RANNEY CAROL A</v>
      </c>
      <c r="C10233" s="1" t="str">
        <f>"VILLAGE AT WORTHINGTON SEC 1 LOT 26"</f>
        <v>VILLAGE AT WORTHINGTON SEC 1 LOT 26</v>
      </c>
      <c r="D10233" s="1">
        <v>7337.53</v>
      </c>
    </row>
    <row r="10234" spans="1:4" x14ac:dyDescent="0.3">
      <c r="A10234" s="1" t="str">
        <f>"01010810700"</f>
        <v>01010810700</v>
      </c>
      <c r="B10234" s="1" t="str">
        <f>"RANSOM ARCHEL L, RANSOM MARY F"</f>
        <v>RANSOM ARCHEL L, RANSOM MARY F</v>
      </c>
      <c r="C10234" s="1" t="str">
        <f>"KELTON AVE DESHLER PARK LOT 54"</f>
        <v>KELTON AVE DESHLER PARK LOT 54</v>
      </c>
      <c r="D10234" s="1">
        <v>1579.95</v>
      </c>
    </row>
    <row r="10235" spans="1:4" x14ac:dyDescent="0.3">
      <c r="A10235" s="1" t="str">
        <f>"01012071700"</f>
        <v>01012071700</v>
      </c>
      <c r="B10235" s="1" t="str">
        <f>"RANSOM ELYOT L, RANSOM TINA D"</f>
        <v>RANSOM ELYOT L, RANSOM TINA D</v>
      </c>
      <c r="C10235" s="1" t="str">
        <f>"OLD FARM RD GREENBRIER FARM LOT 7"</f>
        <v>OLD FARM RD GREENBRIER FARM LOT 7</v>
      </c>
      <c r="D10235" s="1">
        <v>378.09</v>
      </c>
    </row>
    <row r="10236" spans="1:4" x14ac:dyDescent="0.3">
      <c r="A10236" s="1" t="str">
        <f>"01012071800"</f>
        <v>01012071800</v>
      </c>
      <c r="B10236" s="1" t="str">
        <f>"RANSOM ELYOT L, RANSOM TINA D"</f>
        <v>RANSOM ELYOT L, RANSOM TINA D</v>
      </c>
      <c r="C10236" s="1" t="str">
        <f>"OLD FARM RD GREENBRIER FARM PT OF LOT 8"</f>
        <v>OLD FARM RD GREENBRIER FARM PT OF LOT 8</v>
      </c>
      <c r="D10236" s="1">
        <v>56.47</v>
      </c>
    </row>
    <row r="10237" spans="1:4" x14ac:dyDescent="0.3">
      <c r="A10237" s="1" t="str">
        <f>"01001462700"</f>
        <v>01001462700</v>
      </c>
      <c r="B10237" s="1" t="str">
        <f>"RANSOM GARY R"</f>
        <v>RANSOM GARY R</v>
      </c>
      <c r="C10237" s="1" t="str">
        <f>"17TH ST SWAYNE LOT 253"</f>
        <v>17TH ST SWAYNE LOT 253</v>
      </c>
      <c r="D10237" s="1">
        <v>2969.63</v>
      </c>
    </row>
    <row r="10238" spans="1:4" x14ac:dyDescent="0.3">
      <c r="A10238" s="1" t="str">
        <f>"01001700800"</f>
        <v>01001700800</v>
      </c>
      <c r="B10238" s="1" t="str">
        <f>"RANSOM ROBERT M CO-TR, HAIRSTON-RANSOM PHYLLIS J CO-TR"</f>
        <v>RANSOM ROBERT M CO-TR, HAIRSTON-RANSOM PHYLLIS J CO-TR</v>
      </c>
      <c r="C10238" s="1" t="str">
        <f>"1707 FRANKLIN PK S ALL LOT 32&amp;12.5FT WS LOT 33-32"</f>
        <v>1707 FRANKLIN PK S ALL LOT 32&amp;12.5FT WS LOT 33-32</v>
      </c>
      <c r="D10238" s="1">
        <v>2687.47</v>
      </c>
    </row>
    <row r="10239" spans="1:4" x14ac:dyDescent="0.3">
      <c r="A10239" s="1" t="str">
        <f>"01001281400"</f>
        <v>01001281400</v>
      </c>
      <c r="B10239" s="1" t="str">
        <f>"RANSOM ZACHARY L."</f>
        <v>RANSOM ZACHARY L.</v>
      </c>
      <c r="C10239" s="1" t="str">
        <f>"1611 FRANKLINPARK S MAYNARD FAIR AVE LOT 7"</f>
        <v>1611 FRANKLINPARK S MAYNARD FAIR AVE LOT 7</v>
      </c>
      <c r="D10239" s="1">
        <v>240.94</v>
      </c>
    </row>
    <row r="10240" spans="1:4" x14ac:dyDescent="0.3">
      <c r="A10240" s="1" t="str">
        <f>"27301101400"</f>
        <v>27301101400</v>
      </c>
      <c r="B10240" s="1" t="str">
        <f>"RAO POOJA, RAO SAANIL"</f>
        <v>RAO POOJA, RAO SAANIL</v>
      </c>
      <c r="C10240" s="1" t="str">
        <f>"CLOVER PARK WAY BRYSON COVE LOT 67"</f>
        <v>CLOVER PARK WAY BRYSON COVE LOT 67</v>
      </c>
      <c r="D10240" s="1">
        <v>8340.26</v>
      </c>
    </row>
    <row r="10241" spans="1:4" x14ac:dyDescent="0.3">
      <c r="A10241" s="1" t="str">
        <f>"27301292800"</f>
        <v>27301292800</v>
      </c>
      <c r="B10241" s="1" t="str">
        <f>"RAO PRIYA GURUPRAKASH, RANGAVITTAL GURUPRAKASH"</f>
        <v>RAO PRIYA GURUPRAKASH, RANGAVITTAL GURUPRAKASH</v>
      </c>
      <c r="C10241" s="1" t="str">
        <f>"RIVIERA SECTION 4 PART 1 LOT 146"</f>
        <v>RIVIERA SECTION 4 PART 1 LOT 146</v>
      </c>
      <c r="D10241" s="1">
        <v>9531.1</v>
      </c>
    </row>
    <row r="10242" spans="1:4" x14ac:dyDescent="0.3">
      <c r="A10242" s="1" t="str">
        <f>"01028834200"</f>
        <v>01028834200</v>
      </c>
      <c r="B10242" s="1" t="str">
        <f>"RAPARLA SOUJANYA, RAVARARAPU ASHOK KUMAR"</f>
        <v>RAPARLA SOUJANYA, RAVARARAPU ASHOK KUMAR</v>
      </c>
      <c r="C10242" s="1" t="str">
        <f>"TRADITIONS AT ROCKY FORK CONDOMINIUMS 14TH AMD PH XV G-113/G-114  GARAGE"</f>
        <v>TRADITIONS AT ROCKY FORK CONDOMINIUMS 14TH AMD PH XV G-113/G-114  GARAGE</v>
      </c>
      <c r="D10242" s="1">
        <v>297.85000000000002</v>
      </c>
    </row>
    <row r="10243" spans="1:4" x14ac:dyDescent="0.3">
      <c r="A10243" s="1" t="str">
        <f>"01006923000"</f>
        <v>01006923000</v>
      </c>
      <c r="B10243" s="1" t="str">
        <f>"RAPP ANDREA, DAVIS DYLAN"</f>
        <v>RAPP ANDREA, DAVIS DYLAN</v>
      </c>
      <c r="C10243" s="1" t="str">
        <f>"591 BINNS BLVD WILSHIRE HEIGHTS BLK 36 LOT 12"</f>
        <v>591 BINNS BLVD WILSHIRE HEIGHTS BLK 36 LOT 12</v>
      </c>
      <c r="D10243" s="1">
        <v>252.24</v>
      </c>
    </row>
    <row r="10244" spans="1:4" x14ac:dyDescent="0.3">
      <c r="A10244" s="1" t="str">
        <f>"05000091900"</f>
        <v>05000091900</v>
      </c>
      <c r="B10244" s="1" t="str">
        <f>"RAPP JACQUELINE G"</f>
        <v>RAPP JACQUELINE G</v>
      </c>
      <c r="C10244" s="1" t="str">
        <f>"3715 HEYWOOD DRIVE MARY K CONKLIN LOT 46"</f>
        <v>3715 HEYWOOD DRIVE MARY K CONKLIN LOT 46</v>
      </c>
      <c r="D10244" s="1">
        <v>100</v>
      </c>
    </row>
    <row r="10245" spans="1:4" x14ac:dyDescent="0.3">
      <c r="A10245" s="1" t="str">
        <f>"61021058200"</f>
        <v>61021058200</v>
      </c>
      <c r="B10245" s="1" t="str">
        <f>"RAPTOU NICHOLAS P TTEE, RAPTOU NANCY S TTEE"</f>
        <v>RAPTOU NICHOLAS P TTEE, RAPTOU NANCY S TTEE</v>
      </c>
      <c r="C10245" s="1" t="str">
        <f>"NORTHWOODS OFFICE CONDO 5TH AMD UNIT 136A1"</f>
        <v>NORTHWOODS OFFICE CONDO 5TH AMD UNIT 136A1</v>
      </c>
      <c r="D10245" s="1">
        <v>436.03</v>
      </c>
    </row>
    <row r="10246" spans="1:4" x14ac:dyDescent="0.3">
      <c r="A10246" s="1" t="str">
        <f>"04000441700"</f>
        <v>04000441700</v>
      </c>
      <c r="B10246" s="1" t="str">
        <f>"RARICK CARRIE L"</f>
        <v>RARICK CARRIE L</v>
      </c>
      <c r="C10246" s="1" t="str">
        <f>"2634 PARLIN DRIVE HIGHLAND PARK PLAT 2 LOT 203"</f>
        <v>2634 PARLIN DRIVE HIGHLAND PARK PLAT 2 LOT 203</v>
      </c>
      <c r="D10246" s="1">
        <v>181.07</v>
      </c>
    </row>
    <row r="10247" spans="1:4" x14ac:dyDescent="0.3">
      <c r="A10247" s="1" t="str">
        <f>"05000688900"</f>
        <v>05000688900</v>
      </c>
      <c r="B10247" s="1" t="str">
        <f>"RASEKH FARZANEH SABET, LANJANI FARSHAD"</f>
        <v>RASEKH FARZANEH SABET, LANJANI FARSHAD</v>
      </c>
      <c r="C10247" s="1" t="str">
        <f>"DARBY GLEN BLVD DARBY GLEN SECTION 2 LOT 204"</f>
        <v>DARBY GLEN BLVD DARBY GLEN SECTION 2 LOT 204</v>
      </c>
      <c r="D10247" s="1">
        <v>379.79</v>
      </c>
    </row>
    <row r="10248" spans="1:4" x14ac:dyDescent="0.3">
      <c r="A10248" s="1" t="str">
        <f>"17000337900"</f>
        <v>17000337900</v>
      </c>
      <c r="B10248" s="1" t="str">
        <f>"RATCLIFF LOIS J, RATCLIFF GEORGE W"</f>
        <v>RATCLIFF LOIS J, RATCLIFF GEORGE W</v>
      </c>
      <c r="C10248" s="1" t="str">
        <f>"JACKSON HOLE DR JEFFERSON MEADOWS SEC 6 LOT 223"</f>
        <v>JACKSON HOLE DR JEFFERSON MEADOWS SEC 6 LOT 223</v>
      </c>
      <c r="D10248" s="1">
        <v>759.66</v>
      </c>
    </row>
    <row r="10249" spans="1:4" x14ac:dyDescent="0.3">
      <c r="A10249" s="1" t="str">
        <f>"09000441000"</f>
        <v>09000441000</v>
      </c>
      <c r="B10249" s="1" t="str">
        <f>"RATCLIFF WES"</f>
        <v>RATCLIFF WES</v>
      </c>
      <c r="C10249" s="1" t="str">
        <f>"979 PIERCE AVE 174 PT 172 BERNHARDS 2ND"</f>
        <v>979 PIERCE AVE 174 PT 172 BERNHARDS 2ND</v>
      </c>
      <c r="D10249" s="1">
        <v>3239.4</v>
      </c>
    </row>
    <row r="10250" spans="1:4" x14ac:dyDescent="0.3">
      <c r="A10250" s="1" t="str">
        <f>"57016460700"</f>
        <v>57016460700</v>
      </c>
      <c r="B10250" s="1" t="str">
        <f>"RATCLIFF WESLEY"</f>
        <v>RATCLIFF WESLEY</v>
      </c>
      <c r="C10250" s="1" t="str">
        <f>"ELIOTS OAK ROAD CHERRY CREEK SEC 3 LOT 188"</f>
        <v>ELIOTS OAK ROAD CHERRY CREEK SEC 3 LOT 188</v>
      </c>
      <c r="D10250" s="1">
        <v>2790.37</v>
      </c>
    </row>
    <row r="10251" spans="1:4" x14ac:dyDescent="0.3">
      <c r="A10251" s="1" t="str">
        <f>"54525715900"</f>
        <v>54525715900</v>
      </c>
      <c r="B10251" s="1" t="str">
        <f>"RATHANAVEL CHANDRASEKARAN, TEWARI ASHUTOSH"</f>
        <v>RATHANAVEL CHANDRASEKARAN, TEWARI ASHUTOSH</v>
      </c>
      <c r="C10251" s="1" t="str">
        <f>"NEW ALBANY VILLAGE CONDOMINIUM 8TH AMD BLDG 23 UNIT 5858"</f>
        <v>NEW ALBANY VILLAGE CONDOMINIUM 8TH AMD BLDG 23 UNIT 5858</v>
      </c>
      <c r="D10251" s="1">
        <v>2571.71</v>
      </c>
    </row>
    <row r="10252" spans="1:4" x14ac:dyDescent="0.3">
      <c r="A10252" s="1" t="str">
        <f>"27301024500"</f>
        <v>27301024500</v>
      </c>
      <c r="B10252" s="1" t="str">
        <f>"RATHI NAVEEN K, RATHI ARTHI"</f>
        <v>RATHI NAVEEN K, RATHI ARTHI</v>
      </c>
      <c r="C10252" s="1" t="str">
        <f>"7742 QUETZAL DRIVE HAWK'S NEST SECTION 2 PHASE 3 LOT 157"</f>
        <v>7742 QUETZAL DRIVE HAWK'S NEST SECTION 2 PHASE 3 LOT 157</v>
      </c>
      <c r="D10252" s="1">
        <v>8252.4500000000007</v>
      </c>
    </row>
    <row r="10253" spans="1:4" x14ac:dyDescent="0.3">
      <c r="A10253" s="1" t="str">
        <f>"08000195800"</f>
        <v>08000195800</v>
      </c>
      <c r="B10253" s="1" t="str">
        <f>"RATLIFF ELIZABETH A"</f>
        <v>RATLIFF ELIZABETH A</v>
      </c>
      <c r="C10253" s="1" t="str">
        <f>"EAST COLLEGE AVE SPRINGCREST EST 1 LOT 5"</f>
        <v>EAST COLLEGE AVE SPRINGCREST EST 1 LOT 5</v>
      </c>
      <c r="D10253" s="1">
        <v>2728.44</v>
      </c>
    </row>
    <row r="10254" spans="1:4" x14ac:dyDescent="0.3">
      <c r="A10254" s="1" t="str">
        <f>"01007452900"</f>
        <v>01007452900</v>
      </c>
      <c r="B10254" s="1" t="str">
        <f>"RATLIFF ERIC"</f>
        <v>RATLIFF ERIC</v>
      </c>
      <c r="C10254" s="1" t="str">
        <f>"1308 LORETTA AVE HIGHWAY PK LOT 131"</f>
        <v>1308 LORETTA AVE HIGHWAY PK LOT 131</v>
      </c>
      <c r="D10254" s="1">
        <v>1443.51</v>
      </c>
    </row>
    <row r="10255" spans="1:4" x14ac:dyDescent="0.3">
      <c r="A10255" s="1" t="str">
        <f>"01000045200"</f>
        <v>01000045200</v>
      </c>
      <c r="B10255" s="1" t="str">
        <f>"RATTLER MARQUETTA, RATTLER NARADA"</f>
        <v>RATTLER MARQUETTA, RATTLER NARADA</v>
      </c>
      <c r="C10255" s="1" t="str">
        <f>"397 OAKLEY AVE ARLINGTON LOT 19"</f>
        <v>397 OAKLEY AVE ARLINGTON LOT 19</v>
      </c>
      <c r="D10255" s="1">
        <v>981.11</v>
      </c>
    </row>
    <row r="10256" spans="1:4" x14ac:dyDescent="0.3">
      <c r="A10256" s="1" t="str">
        <f>"01009303900"</f>
        <v>01009303900</v>
      </c>
      <c r="B10256" s="1" t="str">
        <f>"RATTLER NARADA D, RATTLER MARQUETTA C"</f>
        <v>RATTLER NARADA D, RATTLER MARQUETTA C</v>
      </c>
      <c r="C10256" s="1" t="str">
        <f>"WAVERLY ST BROADLAND PLACE LOT 113"</f>
        <v>WAVERLY ST BROADLAND PLACE LOT 113</v>
      </c>
      <c r="D10256" s="1">
        <v>4869.6400000000003</v>
      </c>
    </row>
    <row r="10257" spans="1:4" x14ac:dyDescent="0.3">
      <c r="A10257" s="1" t="str">
        <f>"11300068500"</f>
        <v>11300068500</v>
      </c>
      <c r="B10257" s="1" t="str">
        <f>"RATVASKY RICHARD D, RATVASKY PAMELA K"</f>
        <v>RATVASKY RICHARD D, RATVASKY PAMELA K</v>
      </c>
      <c r="C10257" s="1" t="str">
        <f>"2540 MINERVA LAKE RD MINERVA PARK 267 "</f>
        <v xml:space="preserve">2540 MINERVA LAKE RD MINERVA PARK 267 </v>
      </c>
      <c r="D10257" s="1">
        <v>207.85</v>
      </c>
    </row>
    <row r="10258" spans="1:4" x14ac:dyDescent="0.3">
      <c r="A10258" s="1" t="str">
        <f>"27200035700"</f>
        <v>27200035700</v>
      </c>
      <c r="B10258" s="1" t="str">
        <f>"RAVE JAMES A"</f>
        <v>RAVE JAMES A</v>
      </c>
      <c r="C10258" s="1" t="str">
        <f>"SHIER LANE OAK-SHIER ESTATES LOT 1"</f>
        <v>SHIER LANE OAK-SHIER ESTATES LOT 1</v>
      </c>
      <c r="D10258" s="1">
        <v>13763.77</v>
      </c>
    </row>
    <row r="10259" spans="1:4" x14ac:dyDescent="0.3">
      <c r="A10259" s="1" t="str">
        <f>"01025705900"</f>
        <v>01025705900</v>
      </c>
      <c r="B10259" s="1" t="str">
        <f>"RAVEN RUTH H"</f>
        <v>RAVEN RUTH H</v>
      </c>
      <c r="C10259" s="1" t="str">
        <f>"BLENDON CHASE CONDOMINIUM 7TH AMD UNIT 18-6077"</f>
        <v>BLENDON CHASE CONDOMINIUM 7TH AMD UNIT 18-6077</v>
      </c>
      <c r="D10259" s="1">
        <v>178.14</v>
      </c>
    </row>
    <row r="10260" spans="1:4" x14ac:dyDescent="0.3">
      <c r="A10260" s="1" t="str">
        <f>"01013922700"</f>
        <v>01013922700</v>
      </c>
      <c r="B10260" s="1" t="str">
        <f>"RAVER DONNA G TTEE"</f>
        <v>RAVER DONNA G TTEE</v>
      </c>
      <c r="C10260" s="1" t="str">
        <f>"COLTON RD HAYES PARCELS LOT 17"</f>
        <v>COLTON RD HAYES PARCELS LOT 17</v>
      </c>
      <c r="D10260" s="1">
        <v>3467.71</v>
      </c>
    </row>
    <row r="10261" spans="1:4" x14ac:dyDescent="0.3">
      <c r="A10261" s="1" t="str">
        <f>"61020743700"</f>
        <v>61020743700</v>
      </c>
      <c r="B10261" s="1" t="str">
        <f>"RAVINES EDGE LLC, PP LLC"</f>
        <v>RAVINES EDGE LLC, PP LLC</v>
      </c>
      <c r="C10261" s="1" t="str">
        <f>"NORTHWOOD BLVD NORTH WOODS SEC 4 RES D   1.836 ACRES"</f>
        <v>NORTHWOOD BLVD NORTH WOODS SEC 4 RES D   1.836 ACRES</v>
      </c>
      <c r="D10261" s="1">
        <v>5587.45</v>
      </c>
    </row>
    <row r="10262" spans="1:4" x14ac:dyDescent="0.3">
      <c r="A10262" s="1" t="str">
        <f>"18000076600"</f>
        <v>18000076600</v>
      </c>
      <c r="B10262" s="1" t="str">
        <f>"RAWLINS MARK A, RAWLINS ROBERT W"</f>
        <v>RAWLINS MARK A, RAWLINS ROBERT W</v>
      </c>
      <c r="C10262" s="1" t="str">
        <f>"MADELINE DR EDGEWATER PARK PARCELS SOUTH 174"</f>
        <v>MADELINE DR EDGEWATER PARK PARCELS SOUTH 174</v>
      </c>
      <c r="D10262" s="1">
        <v>218.25</v>
      </c>
    </row>
    <row r="10263" spans="1:4" x14ac:dyDescent="0.3">
      <c r="A10263" s="1" t="str">
        <f>"01004505900"</f>
        <v>01004505900</v>
      </c>
      <c r="B10263" s="1" t="str">
        <f>"RAY JAMES M, RAY KAREN S"</f>
        <v>RAY JAMES M, RAY KAREN S</v>
      </c>
      <c r="C10263" s="1" t="str">
        <f>"2552 GLEN ECHO DR INDIANOLA PK VIEW NO 2 LOT 216"</f>
        <v>2552 GLEN ECHO DR INDIANOLA PK VIEW NO 2 LOT 216</v>
      </c>
      <c r="D10263" s="1">
        <v>1827.02</v>
      </c>
    </row>
    <row r="10264" spans="1:4" x14ac:dyDescent="0.3">
      <c r="A10264" s="1" t="str">
        <f>"05000145200"</f>
        <v>05000145200</v>
      </c>
      <c r="B10264" s="1" t="str">
        <f>"RAY JOSEPHINE"</f>
        <v>RAY JOSEPHINE</v>
      </c>
      <c r="C10264" s="1" t="str">
        <f>"3799 OUTER STREET HILLIARD HTS 3 LOT 122"</f>
        <v>3799 OUTER STREET HILLIARD HTS 3 LOT 122</v>
      </c>
      <c r="D10264" s="1">
        <v>242.8</v>
      </c>
    </row>
    <row r="10265" spans="1:4" x14ac:dyDescent="0.3">
      <c r="A10265" s="1" t="str">
        <f>"01013662700"</f>
        <v>01013662700</v>
      </c>
      <c r="B10265" s="1" t="str">
        <f>"RAY PATRICIA"</f>
        <v>RAY PATRICIA</v>
      </c>
      <c r="C10265" s="1" t="str">
        <f>"ARGYLE DR ARGYLE PARK LOT 11"</f>
        <v>ARGYLE DR ARGYLE PARK LOT 11</v>
      </c>
      <c r="D10265" s="1">
        <v>1178.67</v>
      </c>
    </row>
    <row r="10266" spans="1:4" x14ac:dyDescent="0.3">
      <c r="A10266" s="1" t="str">
        <f>"09000012800"</f>
        <v>09000012800</v>
      </c>
      <c r="B10266" s="1" t="str">
        <f>"RAYANS GROCERY MARKET LLC"</f>
        <v>RAYANS GROCERY MARKET LLC</v>
      </c>
      <c r="C10266" s="1" t="str">
        <f>"HAMILTON RD               BERNHARD                  67.9FT SS LOT 14         "</f>
        <v xml:space="preserve">HAMILTON RD               BERNHARD                  67.9FT SS LOT 14         </v>
      </c>
      <c r="D10266" s="1">
        <v>2585.37</v>
      </c>
    </row>
    <row r="10267" spans="1:4" x14ac:dyDescent="0.3">
      <c r="A10267" s="1" t="str">
        <f>"17000224900"</f>
        <v>17000224900</v>
      </c>
      <c r="B10267" s="1" t="str">
        <f>"RAYDEN BARBARA K TR"</f>
        <v>RAYDEN BARBARA K TR</v>
      </c>
      <c r="C10267" s="1" t="str">
        <f>"KESEGS WAY COLTS NECK PHASE VI LOT 64  1.403 ACRES"</f>
        <v>KESEGS WAY COLTS NECK PHASE VI LOT 64  1.403 ACRES</v>
      </c>
      <c r="D10267" s="1">
        <v>22799.360000000001</v>
      </c>
    </row>
    <row r="10268" spans="1:4" x14ac:dyDescent="0.3">
      <c r="A10268" s="1" t="str">
        <f>"01013350600"</f>
        <v>01013350600</v>
      </c>
      <c r="B10268" s="1" t="str">
        <f>"RAYFORD VALERIE J TOD"</f>
        <v>RAYFORD VALERIE J TOD</v>
      </c>
      <c r="C10268" s="1" t="str">
        <f>"SOUTHFIELD DR E SOUTHFIELD 3 LOT 405"</f>
        <v>SOUTHFIELD DR E SOUTHFIELD 3 LOT 405</v>
      </c>
      <c r="D10268" s="1">
        <v>647.1</v>
      </c>
    </row>
    <row r="10269" spans="1:4" x14ac:dyDescent="0.3">
      <c r="A10269" s="1" t="str">
        <f>"01011457000"</f>
        <v>01011457000</v>
      </c>
      <c r="B10269" s="1" t="str">
        <f>"RAYMOND BRENT"</f>
        <v>RAYMOND BRENT</v>
      </c>
      <c r="C10269" s="1" t="str">
        <f>"STAMBAUGH AVE. SOUTH GATE LOT68"</f>
        <v>STAMBAUGH AVE. SOUTH GATE LOT68</v>
      </c>
      <c r="D10269" s="1">
        <v>659.97</v>
      </c>
    </row>
    <row r="10270" spans="1:4" x14ac:dyDescent="0.3">
      <c r="A10270" s="1" t="str">
        <f>"61017183900"</f>
        <v>61017183900</v>
      </c>
      <c r="B10270" s="1" t="str">
        <f>"RAYNES JANET D"</f>
        <v>RAYNES JANET D</v>
      </c>
      <c r="C10270" s="1" t="str">
        <f>"SURREYGATE DR SUMMERWOOD SEC NO 1 LOT 35"</f>
        <v>SURREYGATE DR SUMMERWOOD SEC NO 1 LOT 35</v>
      </c>
      <c r="D10270" s="1">
        <v>182.36</v>
      </c>
    </row>
    <row r="10271" spans="1:4" x14ac:dyDescent="0.3">
      <c r="A10271" s="1" t="str">
        <f>"60030031300"</f>
        <v>60030031300</v>
      </c>
      <c r="B10271" s="1" t="str">
        <f>"RAYTIS JOHN B TTEE"</f>
        <v>RAYTIS JOHN B TTEE</v>
      </c>
      <c r="C10271" s="1" t="str">
        <f>"HIGHPOINTE AT LITTLE TURTLE CONDOMINIUM BLDG 2 UNIT 2202 "</f>
        <v xml:space="preserve">HIGHPOINTE AT LITTLE TURTLE CONDOMINIUM BLDG 2 UNIT 2202 </v>
      </c>
      <c r="D10271" s="1">
        <v>3202.51</v>
      </c>
    </row>
    <row r="10272" spans="1:4" x14ac:dyDescent="0.3">
      <c r="A10272" s="1" t="str">
        <f>"01029055900"</f>
        <v>01029055900</v>
      </c>
      <c r="B10272" s="1" t="str">
        <f>"RAYTIS JOHN B, RAYTIS NATALIE A"</f>
        <v>RAYTIS JOHN B, RAYTIS NATALIE A</v>
      </c>
      <c r="C10272" s="1" t="str">
        <f>"THE DESOTA A CONDOMINIUM 1ST AMD UNIT 201"</f>
        <v>THE DESOTA A CONDOMINIUM 1ST AMD UNIT 201</v>
      </c>
      <c r="D10272" s="1">
        <v>3238.53</v>
      </c>
    </row>
    <row r="10273" spans="1:4" x14ac:dyDescent="0.3">
      <c r="A10273" s="1" t="str">
        <f>"01007602600"</f>
        <v>01007602600</v>
      </c>
      <c r="B10273" s="1" t="str">
        <f>"RAZBU LLC"</f>
        <v>RAZBU LLC</v>
      </c>
      <c r="C10273" s="1" t="str">
        <f>"MCGUFFY RD NORTH GRASSMERE LOT 270"</f>
        <v>MCGUFFY RD NORTH GRASSMERE LOT 270</v>
      </c>
      <c r="D10273" s="1">
        <v>969.11</v>
      </c>
    </row>
    <row r="10274" spans="1:4" x14ac:dyDescent="0.3">
      <c r="A10274" s="1" t="str">
        <f>"01004419700"</f>
        <v>01004419700</v>
      </c>
      <c r="B10274" s="1" t="str">
        <f>"RC OHIO FUND LLC"</f>
        <v>RC OHIO FUND LLC</v>
      </c>
      <c r="C10274" s="1" t="str">
        <f>"506 SEYMOUR AVE BULENS SUB 9"</f>
        <v>506 SEYMOUR AVE BULENS SUB 9</v>
      </c>
      <c r="D10274" s="1">
        <v>1379.04</v>
      </c>
    </row>
    <row r="10275" spans="1:4" x14ac:dyDescent="0.3">
      <c r="A10275" s="1" t="str">
        <f>"01005306800"</f>
        <v>01005306800</v>
      </c>
      <c r="B10275" s="1" t="str">
        <f>"RCR INVESTMENTS LTD"</f>
        <v>RCR INVESTMENTS LTD</v>
      </c>
      <c r="C10275" s="1" t="str">
        <f>"761 S HIGH ST             JAEGER                    LOT 35                   "</f>
        <v xml:space="preserve">761 S HIGH ST             JAEGER                    LOT 35                   </v>
      </c>
      <c r="D10275" s="1">
        <v>10957.65</v>
      </c>
    </row>
    <row r="10276" spans="1:4" x14ac:dyDescent="0.3">
      <c r="A10276" s="1" t="str">
        <f>"01008883100"</f>
        <v>01008883100</v>
      </c>
      <c r="B10276" s="1" t="str">
        <f>"RDB HOMEBUYERS LLC"</f>
        <v>RDB HOMEBUYERS LLC</v>
      </c>
      <c r="C10276" s="1" t="str">
        <f>"RUBY AVE LOT 261EX 2FT NS CALDWELLS MAIN ST LOT 261"</f>
        <v>RUBY AVE LOT 261EX 2FT NS CALDWELLS MAIN ST LOT 261</v>
      </c>
      <c r="D10276" s="1">
        <v>3535.78</v>
      </c>
    </row>
    <row r="10277" spans="1:4" x14ac:dyDescent="0.3">
      <c r="A10277" s="1" t="str">
        <f>"01008883200"</f>
        <v>01008883200</v>
      </c>
      <c r="B10277" s="1" t="str">
        <f>"RDB HOMEBUYERS LLC"</f>
        <v>RDB HOMEBUYERS LLC</v>
      </c>
      <c r="C10277" s="1" t="str">
        <f>"905 BARNETT RD CALDWELLS MAIN ST LOT 286"</f>
        <v>905 BARNETT RD CALDWELLS MAIN ST LOT 286</v>
      </c>
      <c r="D10277" s="1">
        <v>3611.46</v>
      </c>
    </row>
    <row r="10278" spans="1:4" x14ac:dyDescent="0.3">
      <c r="A10278" s="1" t="str">
        <f>"57017424400"</f>
        <v>57017424400</v>
      </c>
      <c r="B10278" s="1" t="str">
        <f>"RDC MANAGEMENT GROUP LLC"</f>
        <v>RDC MANAGEMENT GROUP LLC</v>
      </c>
      <c r="C10278" s="1" t="str">
        <f>"PARKGLEN RD LAUREL GREENE S4 PH1 LOT 446"</f>
        <v>PARKGLEN RD LAUREL GREENE S4 PH1 LOT 446</v>
      </c>
      <c r="D10278" s="1">
        <v>4292.7700000000004</v>
      </c>
    </row>
    <row r="10279" spans="1:4" x14ac:dyDescent="0.3">
      <c r="A10279" s="1" t="str">
        <f>"13000098300"</f>
        <v>13000098300</v>
      </c>
      <c r="B10279" s="1" t="str">
        <f>"RDI CLEVELAND LIMITED"</f>
        <v>RDI CLEVELAND LIMITED</v>
      </c>
      <c r="C10279" s="1" t="str">
        <f>"CLEVELAND AVE KENMORE KNOLLS LOT 177 EX E E"</f>
        <v>CLEVELAND AVE KENMORE KNOLLS LOT 177 EX E E</v>
      </c>
      <c r="D10279" s="1">
        <v>729.66</v>
      </c>
    </row>
    <row r="10280" spans="1:4" x14ac:dyDescent="0.3">
      <c r="A10280" s="1" t="str">
        <f>"13000098200"</f>
        <v>13000098200</v>
      </c>
      <c r="B10280" s="1" t="str">
        <f>"RDI CLEVELAND LIMITED"</f>
        <v>RDI CLEVELAND LIMITED</v>
      </c>
      <c r="C10280" s="1" t="str">
        <f>"3257 CLEVELAND AVE KENMORE KNOLLS LOT 176 EX E E"</f>
        <v>3257 CLEVELAND AVE KENMORE KNOLLS LOT 176 EX E E</v>
      </c>
      <c r="D10280" s="1">
        <v>4772.97</v>
      </c>
    </row>
    <row r="10281" spans="1:4" x14ac:dyDescent="0.3">
      <c r="A10281" s="1" t="str">
        <f>"01012772700"</f>
        <v>01012772700</v>
      </c>
      <c r="B10281" s="1" t="str">
        <f>"REA INVESTMENTS I LLC"</f>
        <v>REA INVESTMENTS I LLC</v>
      </c>
      <c r="C10281" s="1" t="str">
        <f>"STETSON RD PINE HILLS LOT 369"</f>
        <v>STETSON RD PINE HILLS LOT 369</v>
      </c>
      <c r="D10281" s="1">
        <v>44.66</v>
      </c>
    </row>
    <row r="10282" spans="1:4" x14ac:dyDescent="0.3">
      <c r="A10282" s="1" t="str">
        <f>"02500266500"</f>
        <v>02500266500</v>
      </c>
      <c r="B10282" s="1" t="str">
        <f>"REA INVESTMENTS LLC"</f>
        <v>REA INVESTMENTS LLC</v>
      </c>
      <c r="C10282" s="1" t="str">
        <f>"350 REGENTS ROAD ROYAL MANOR 2 836 "</f>
        <v xml:space="preserve">350 REGENTS ROAD ROYAL MANOR 2 836 </v>
      </c>
      <c r="D10282" s="1">
        <v>285.45999999999998</v>
      </c>
    </row>
    <row r="10283" spans="1:4" x14ac:dyDescent="0.3">
      <c r="A10283" s="1" t="str">
        <f>"07001038600"</f>
        <v>07001038600</v>
      </c>
      <c r="B10283" s="1" t="str">
        <f>"REA JEAN M, PORE JEAN R"</f>
        <v>REA JEAN M, PORE JEAN R</v>
      </c>
      <c r="C10283" s="1" t="str">
        <f>"4243 WOODBRIDGE RD SHELBOURNE KIPLING LOT 31"</f>
        <v>4243 WOODBRIDGE RD SHELBOURNE KIPLING LOT 31</v>
      </c>
      <c r="D10283" s="1">
        <v>1631.23</v>
      </c>
    </row>
    <row r="10284" spans="1:4" x14ac:dyDescent="0.3">
      <c r="A10284" s="1" t="str">
        <f>"57020721900"</f>
        <v>57020721900</v>
      </c>
      <c r="B10284" s="1" t="str">
        <f>"REA JERRY L JR, REA WENDY L"</f>
        <v>REA JERRY L JR, REA WENDY L</v>
      </c>
      <c r="C10284" s="1" t="str">
        <f>"RICARDO DRIVE LEHNERT FARM SEC 5 LOT 286"</f>
        <v>RICARDO DRIVE LEHNERT FARM SEC 5 LOT 286</v>
      </c>
      <c r="D10284" s="1">
        <v>2.8</v>
      </c>
    </row>
    <row r="10285" spans="1:4" x14ac:dyDescent="0.3">
      <c r="A10285" s="1" t="str">
        <f>"01004478000"</f>
        <v>01004478000</v>
      </c>
      <c r="B10285" s="1" t="str">
        <f>"REACHING THE NATIONS INTERNATIONAL"</f>
        <v>REACHING THE NATIONS INTERNATIONAL</v>
      </c>
      <c r="C10285" s="1" t="str">
        <f>"1061 PETERS AVE PETERS LOT 38"</f>
        <v>1061 PETERS AVE PETERS LOT 38</v>
      </c>
      <c r="D10285" s="1">
        <v>35.299999999999997</v>
      </c>
    </row>
    <row r="10286" spans="1:4" x14ac:dyDescent="0.3">
      <c r="A10286" s="1" t="str">
        <f>"01000385300"</f>
        <v>01000385300</v>
      </c>
      <c r="B10286" s="1" t="str">
        <f>"REACHING THE NATIONS INTERNATIONAL"</f>
        <v>REACHING THE NATIONS INTERNATIONAL</v>
      </c>
      <c r="C10286" s="1" t="str">
        <f>"870 E 5TH AV WINGERTS 5TH AVE PT LOTS 27 &amp; 28"</f>
        <v>870 E 5TH AV WINGERTS 5TH AVE PT LOTS 27 &amp; 28</v>
      </c>
      <c r="D10286" s="1">
        <v>637.28</v>
      </c>
    </row>
    <row r="10287" spans="1:4" x14ac:dyDescent="0.3">
      <c r="A10287" s="1" t="str">
        <f>"01001108700"</f>
        <v>01001108700</v>
      </c>
      <c r="B10287" s="1" t="str">
        <f>"REACT VENTURES 93 LLC"</f>
        <v>REACT VENTURES 93 LLC</v>
      </c>
      <c r="C10287" s="1" t="str">
        <f>"93 MOLER ST E DIEBEL BROS SUB 5  LOT 20-24"</f>
        <v>93 MOLER ST E DIEBEL BROS SUB 5  LOT 20-24</v>
      </c>
      <c r="D10287" s="1">
        <v>319.47000000000003</v>
      </c>
    </row>
    <row r="10288" spans="1:4" x14ac:dyDescent="0.3">
      <c r="A10288" s="1" t="str">
        <f>"06000523600"</f>
        <v>06000523600</v>
      </c>
      <c r="B10288" s="1" t="str">
        <f>"READ SUZANNE C"</f>
        <v>READ SUZANNE C</v>
      </c>
      <c r="C10288" s="1" t="str">
        <f>"CORONADO WOODS CONDOMINIUM 1 UNIT 11-6"</f>
        <v>CORONADO WOODS CONDOMINIUM 1 UNIT 11-6</v>
      </c>
      <c r="D10288" s="1">
        <v>113.21</v>
      </c>
    </row>
    <row r="10289" spans="1:4" x14ac:dyDescent="0.3">
      <c r="A10289" s="1" t="str">
        <f>"01011347700"</f>
        <v>01011347700</v>
      </c>
      <c r="B10289" s="1" t="str">
        <f>"READY SET CLOSE LLC"</f>
        <v>READY SET CLOSE LLC</v>
      </c>
      <c r="C10289" s="1" t="str">
        <f>"8 DEXTER RD S HIGH GARDENS LOT 2-3"</f>
        <v>8 DEXTER RD S HIGH GARDENS LOT 2-3</v>
      </c>
      <c r="D10289" s="1">
        <v>1709.15</v>
      </c>
    </row>
    <row r="10290" spans="1:4" x14ac:dyDescent="0.3">
      <c r="A10290" s="1" t="str">
        <f>"01006510100"</f>
        <v>01006510100</v>
      </c>
      <c r="B10290" s="1" t="str">
        <f>"READY SET CLOSE LLC"</f>
        <v>READY SET CLOSE LLC</v>
      </c>
      <c r="C10290" s="1" t="str">
        <f>"WHEATLAND AVE ARLINGTON LOT 182"</f>
        <v>WHEATLAND AVE ARLINGTON LOT 182</v>
      </c>
      <c r="D10290" s="1">
        <v>284.58999999999997</v>
      </c>
    </row>
    <row r="10291" spans="1:4" x14ac:dyDescent="0.3">
      <c r="A10291" s="1" t="str">
        <f>"08001005000"</f>
        <v>08001005000</v>
      </c>
      <c r="B10291" s="1" t="str">
        <f>"REAL WEALTH ADVISORS LLC"</f>
        <v>REAL WEALTH ADVISORS LLC</v>
      </c>
      <c r="C10291" s="1" t="str">
        <f>"WALNUT VIEW CONDOMINIUM UNIT D"</f>
        <v>WALNUT VIEW CONDOMINIUM UNIT D</v>
      </c>
      <c r="D10291" s="1">
        <v>5525.9</v>
      </c>
    </row>
    <row r="10292" spans="1:4" x14ac:dyDescent="0.3">
      <c r="A10292" s="1" t="str">
        <f>"01029789200"</f>
        <v>01029789200</v>
      </c>
      <c r="B10292" s="1" t="str">
        <f>"REALEJ LLC"</f>
        <v>REALEJ LLC</v>
      </c>
      <c r="C10292" s="1" t="str">
        <f>"FLATS AT KRAMER PLACE CONDOMINIUM UNIT 101"</f>
        <v>FLATS AT KRAMER PLACE CONDOMINIUM UNIT 101</v>
      </c>
      <c r="D10292" s="1">
        <v>8222.75</v>
      </c>
    </row>
    <row r="10293" spans="1:4" x14ac:dyDescent="0.3">
      <c r="A10293" s="1" t="str">
        <f>"01011225400"</f>
        <v>01011225400</v>
      </c>
      <c r="B10293" s="1" t="str">
        <f>"REALM LOGISTICS LLC"</f>
        <v>REALM LOGISTICS LLC</v>
      </c>
      <c r="C10293" s="1" t="str">
        <f>"1440 WILLIAMS RD R22 T4 S11 1.529 ACRES"</f>
        <v>1440 WILLIAMS RD R22 T4 S11 1.529 ACRES</v>
      </c>
      <c r="D10293" s="1">
        <v>10.24</v>
      </c>
    </row>
    <row r="10294" spans="1:4" x14ac:dyDescent="0.3">
      <c r="A10294" s="1" t="str">
        <f>"01016529800"</f>
        <v>01016529800</v>
      </c>
      <c r="B10294" s="1" t="str">
        <f>"REAM JOHN J JR, DAUER MICHELLE M"</f>
        <v>REAM JOHN J JR, DAUER MICHELLE M</v>
      </c>
      <c r="C10294" s="1" t="str">
        <f>"1750 PIEDMONT RD KENMORE KNOLLS LOT 109"</f>
        <v>1750 PIEDMONT RD KENMORE KNOLLS LOT 109</v>
      </c>
      <c r="D10294" s="1">
        <v>356.51</v>
      </c>
    </row>
    <row r="10295" spans="1:4" x14ac:dyDescent="0.3">
      <c r="A10295" s="1" t="str">
        <f>"01015293300"</f>
        <v>01015293300</v>
      </c>
      <c r="B10295" s="1" t="str">
        <f>"REAM STEVEN B"</f>
        <v>REAM STEVEN B</v>
      </c>
      <c r="C10295" s="1" t="str">
        <f>"BRITTANY RD NORTHLAND PARK SEC 5 LOT 341"</f>
        <v>BRITTANY RD NORTHLAND PARK SEC 5 LOT 341</v>
      </c>
      <c r="D10295" s="1">
        <v>3791.06</v>
      </c>
    </row>
    <row r="10296" spans="1:4" x14ac:dyDescent="0.3">
      <c r="A10296" s="1" t="str">
        <f>"01017739800"</f>
        <v>01017739800</v>
      </c>
      <c r="B10296" s="1" t="str">
        <f>"REARDON BRIAN D"</f>
        <v>REARDON BRIAN D</v>
      </c>
      <c r="C10296" s="1" t="str">
        <f>"HENDEREED VIL CONDO UNIT BLDG 1923 8 "</f>
        <v xml:space="preserve">HENDEREED VIL CONDO UNIT BLDG 1923 8 </v>
      </c>
      <c r="D10296" s="1">
        <v>144.87</v>
      </c>
    </row>
    <row r="10297" spans="1:4" x14ac:dyDescent="0.3">
      <c r="A10297" s="1" t="str">
        <f>"01007872300"</f>
        <v>01007872300</v>
      </c>
      <c r="B10297" s="1" t="str">
        <f>"REC INVESTMENTS LLC"</f>
        <v>REC INVESTMENTS LLC</v>
      </c>
      <c r="C10297" s="1" t="str">
        <f>"DERRER ROAD WESTGATE PARK LOT 209"</f>
        <v>DERRER ROAD WESTGATE PARK LOT 209</v>
      </c>
      <c r="D10297" s="1">
        <v>2561.86</v>
      </c>
    </row>
    <row r="10298" spans="1:4" x14ac:dyDescent="0.3">
      <c r="A10298" s="1" t="str">
        <f>"01019518200"</f>
        <v>01019518200</v>
      </c>
      <c r="B10298" s="1" t="str">
        <f>"RECCHIE BARBARA"</f>
        <v>RECCHIE BARBARA</v>
      </c>
      <c r="C10298" s="1" t="str">
        <f>"E BROAD ST PARK TOWERS CONDO UNIT 503"</f>
        <v>E BROAD ST PARK TOWERS CONDO UNIT 503</v>
      </c>
      <c r="D10298" s="1">
        <v>2481.15</v>
      </c>
    </row>
    <row r="10299" spans="1:4" x14ac:dyDescent="0.3">
      <c r="A10299" s="1" t="str">
        <f>"61018013500"</f>
        <v>61018013500</v>
      </c>
      <c r="B10299" s="1" t="str">
        <f>"RECKLESS WALTER K, RECKLESS KELSEY PAIGE"</f>
        <v>RECKLESS WALTER K, RECKLESS KELSEY PAIGE</v>
      </c>
      <c r="C10299" s="1" t="str">
        <f>"BUCKSHOT CT DEER CREEK SEC 1 LOT 46"</f>
        <v>BUCKSHOT CT DEER CREEK SEC 1 LOT 46</v>
      </c>
      <c r="D10299" s="1">
        <v>4825.66</v>
      </c>
    </row>
    <row r="10300" spans="1:4" x14ac:dyDescent="0.3">
      <c r="A10300" s="1" t="str">
        <f>"01020824000"</f>
        <v>01020824000</v>
      </c>
      <c r="B10300" s="1" t="str">
        <f>"RECO EQUIPMENT INC"</f>
        <v>RECO EQUIPMENT INC</v>
      </c>
      <c r="C10300" s="1" t="str">
        <f>"FISHER RD 1.7413 ACRES "</f>
        <v xml:space="preserve">FISHER RD 1.7413 ACRES </v>
      </c>
      <c r="D10300" s="1">
        <v>1057.0899999999999</v>
      </c>
    </row>
    <row r="10301" spans="1:4" x14ac:dyDescent="0.3">
      <c r="A10301" s="1" t="str">
        <f>"11000427500"</f>
        <v>11000427500</v>
      </c>
      <c r="B10301" s="1" t="str">
        <f>"RECTOR JOSEPH TIMOTHY TR"</f>
        <v>RECTOR JOSEPH TIMOTHY TR</v>
      </c>
      <c r="C10301" s="1" t="str">
        <f>"MAKASSAR DR GLENGARY HTS 351"</f>
        <v>MAKASSAR DR GLENGARY HTS 351</v>
      </c>
      <c r="D10301" s="1">
        <v>128.97999999999999</v>
      </c>
    </row>
    <row r="10302" spans="1:4" x14ac:dyDescent="0.3">
      <c r="A10302" s="1" t="str">
        <f>"01000368500"</f>
        <v>01000368500</v>
      </c>
      <c r="B10302" s="1" t="str">
        <f>"RED CLOVER RENTAL LLC"</f>
        <v>RED CLOVER RENTAL LLC</v>
      </c>
      <c r="C10302" s="1" t="str">
        <f>"35 ARCADIA AVE GEO WILLIAMS LOT 20-21"</f>
        <v>35 ARCADIA AVE GEO WILLIAMS LOT 20-21</v>
      </c>
      <c r="D10302" s="1">
        <v>3308.77</v>
      </c>
    </row>
    <row r="10303" spans="1:4" x14ac:dyDescent="0.3">
      <c r="A10303" s="1" t="str">
        <f>"01003365600"</f>
        <v>01003365600</v>
      </c>
      <c r="B10303" s="1" t="str">
        <f>"RED CLOVER RENTALS LLC"</f>
        <v>RED CLOVER RENTALS LLC</v>
      </c>
      <c r="C10303" s="1" t="str">
        <f>"2409 GLENMAWR AVE DOYLES SUMMIT LOT 148-149"</f>
        <v>2409 GLENMAWR AVE DOYLES SUMMIT LOT 148-149</v>
      </c>
      <c r="D10303" s="1">
        <v>3332.96</v>
      </c>
    </row>
    <row r="10304" spans="1:4" x14ac:dyDescent="0.3">
      <c r="A10304" s="1" t="str">
        <f>"01006309700"</f>
        <v>01006309700</v>
      </c>
      <c r="B10304" s="1" t="str">
        <f>"RED LIGHT LTD"</f>
        <v>RED LIGHT LTD</v>
      </c>
      <c r="C10304" s="1" t="str">
        <f>"1171 W 3RD AVE            EAST VIEW                 LOT 16                   "</f>
        <v xml:space="preserve">1171 W 3RD AVE            EAST VIEW                 LOT 16                   </v>
      </c>
      <c r="D10304" s="1">
        <v>2158.5</v>
      </c>
    </row>
    <row r="10305" spans="1:4" x14ac:dyDescent="0.3">
      <c r="A10305" s="1" t="str">
        <f>"15000255200"</f>
        <v>15000255200</v>
      </c>
      <c r="B10305" s="1" t="str">
        <f>"REDDEL LANCE R"</f>
        <v>REDDEL LANCE R</v>
      </c>
      <c r="C10305" s="1" t="str">
        <f>"10 OAK ST STEEPLECHASE GARDENS BLDG 48 UNIT 10"</f>
        <v>10 OAK ST STEEPLECHASE GARDENS BLDG 48 UNIT 10</v>
      </c>
      <c r="D10305" s="1">
        <v>59.13</v>
      </c>
    </row>
    <row r="10306" spans="1:4" x14ac:dyDescent="0.3">
      <c r="A10306" s="1" t="str">
        <f>"04000050700"</f>
        <v>04000050700</v>
      </c>
      <c r="B10306" s="1" t="str">
        <f>"REDDING STEVEN R, REDDING MONICA M"</f>
        <v>REDDING STEVEN R, REDDING MONICA M</v>
      </c>
      <c r="C10306" s="1" t="str">
        <f>"WOODLAWN AVE WOODLAWN LOT 68"</f>
        <v>WOODLAWN AVE WOODLAWN LOT 68</v>
      </c>
      <c r="D10306" s="1">
        <v>984.98</v>
      </c>
    </row>
    <row r="10307" spans="1:4" x14ac:dyDescent="0.3">
      <c r="A10307" s="1" t="str">
        <f>"01010915500"</f>
        <v>01010915500</v>
      </c>
      <c r="B10307" s="1" t="str">
        <f>"REDDY KEVIN E"</f>
        <v>REDDY KEVIN E</v>
      </c>
      <c r="C10307" s="1" t="str">
        <f>"HANNA DR ARLINGTON PK TRACT 2 LOT 30 BLK H"</f>
        <v>HANNA DR ARLINGTON PK TRACT 2 LOT 30 BLK H</v>
      </c>
      <c r="D10307" s="1">
        <v>1396.68</v>
      </c>
    </row>
    <row r="10308" spans="1:4" x14ac:dyDescent="0.3">
      <c r="A10308" s="1" t="str">
        <f>"58026335400"</f>
        <v>58026335400</v>
      </c>
      <c r="B10308" s="1" t="str">
        <f>"REDDY SUJATHA K TR"</f>
        <v>REDDY SUJATHA K TR</v>
      </c>
      <c r="C10308" s="1" t="str">
        <f>"CONDOMINIUM AT LANE WOODS 5TH AMD BLDG 5 UNIT 3035"</f>
        <v>CONDOMINIUM AT LANE WOODS 5TH AMD BLDG 5 UNIT 3035</v>
      </c>
      <c r="D10308" s="1">
        <v>6350.61</v>
      </c>
    </row>
    <row r="10309" spans="1:4" x14ac:dyDescent="0.3">
      <c r="A10309" s="1" t="str">
        <f>"60029799500"</f>
        <v>60029799500</v>
      </c>
      <c r="B10309" s="1" t="str">
        <f>"REDFERN CALEB, MARQUARDT ALEXANDRA"</f>
        <v>REDFERN CALEB, MARQUARDT ALEXANDRA</v>
      </c>
      <c r="C10309" s="1" t="str">
        <f>"LEE RD HICKORY POINT 0.903 ACRE"</f>
        <v>LEE RD HICKORY POINT 0.903 ACRE</v>
      </c>
      <c r="D10309" s="1">
        <v>4318.46</v>
      </c>
    </row>
    <row r="10310" spans="1:4" x14ac:dyDescent="0.3">
      <c r="A10310" s="1" t="str">
        <f>"01007995400"</f>
        <v>01007995400</v>
      </c>
      <c r="B10310" s="1" t="str">
        <f>"REDFIELD JEFFEREY W"</f>
        <v>REDFIELD JEFFEREY W</v>
      </c>
      <c r="C10310" s="1" t="str">
        <f>"MELROSE AVE KENMORE PARK LOT 2 BLK 9"</f>
        <v>MELROSE AVE KENMORE PARK LOT 2 BLK 9</v>
      </c>
      <c r="D10310" s="1">
        <v>171.05</v>
      </c>
    </row>
    <row r="10311" spans="1:4" x14ac:dyDescent="0.3">
      <c r="A10311" s="1" t="str">
        <f>"06000339200"</f>
        <v>06000339200</v>
      </c>
      <c r="B10311" s="1" t="str">
        <f>"REDMOND PAMELA, REDMOND TYRONE"</f>
        <v>REDMOND PAMELA, REDMOND TYRONE</v>
      </c>
      <c r="C10311" s="1" t="str">
        <f>"OLDE MILL RUN RED FOX HOLLOW 139 "</f>
        <v xml:space="preserve">OLDE MILL RUN RED FOX HOLLOW 139 </v>
      </c>
      <c r="D10311" s="1">
        <v>2138.7600000000002</v>
      </c>
    </row>
    <row r="10312" spans="1:4" x14ac:dyDescent="0.3">
      <c r="A10312" s="1" t="str">
        <f>"01012431600"</f>
        <v>01012431600</v>
      </c>
      <c r="B10312" s="1" t="str">
        <f>"REDMOND TYRONE G II"</f>
        <v>REDMOND TYRONE G II</v>
      </c>
      <c r="C10312" s="1" t="str">
        <f>"LANCELOT RD SHERWOOD FOREST 1 LOT 31"</f>
        <v>LANCELOT RD SHERWOOD FOREST 1 LOT 31</v>
      </c>
      <c r="D10312" s="1">
        <v>1531.42</v>
      </c>
    </row>
    <row r="10313" spans="1:4" x14ac:dyDescent="0.3">
      <c r="A10313" s="1" t="str">
        <f>"01016490600"</f>
        <v>01016490600</v>
      </c>
      <c r="B10313" s="1" t="str">
        <f>"REDMOND TYRONE G, REDMOND PAMELA A"</f>
        <v>REDMOND TYRONE G, REDMOND PAMELA A</v>
      </c>
      <c r="C10313" s="1" t="str">
        <f>"BRENTON PLACE SMYTHE FARMS LOT 45"</f>
        <v>BRENTON PLACE SMYTHE FARMS LOT 45</v>
      </c>
      <c r="D10313" s="1">
        <v>2826.87</v>
      </c>
    </row>
    <row r="10314" spans="1:4" x14ac:dyDescent="0.3">
      <c r="A10314" s="1" t="str">
        <f>"05000145600"</f>
        <v>05000145600</v>
      </c>
      <c r="B10314" s="1" t="str">
        <f>"REED BARBARA S TOD"</f>
        <v>REED BARBARA S TOD</v>
      </c>
      <c r="C10314" s="1" t="str">
        <f>"4733 N HILLCREST ST HILLIARD HTS 3 LOT 126"</f>
        <v>4733 N HILLCREST ST HILLIARD HTS 3 LOT 126</v>
      </c>
      <c r="D10314" s="1">
        <v>2415.89</v>
      </c>
    </row>
    <row r="10315" spans="1:4" x14ac:dyDescent="0.3">
      <c r="A10315" s="1" t="str">
        <f>"01016736100"</f>
        <v>01016736100</v>
      </c>
      <c r="B10315" s="1" t="str">
        <f>"REED CRYSTAL"</f>
        <v>REED CRYSTAL</v>
      </c>
      <c r="C10315" s="1" t="str">
        <f>"2214 SAGAMORE RD AMVET HOMESTEAD 2 LOT 22 BLK R"</f>
        <v>2214 SAGAMORE RD AMVET HOMESTEAD 2 LOT 22 BLK R</v>
      </c>
      <c r="D10315" s="1">
        <v>1410.67</v>
      </c>
    </row>
    <row r="10316" spans="1:4" x14ac:dyDescent="0.3">
      <c r="A10316" s="1" t="str">
        <f>"13000582000"</f>
        <v>13000582000</v>
      </c>
      <c r="B10316" s="1" t="str">
        <f>"REED JUSTINA J"</f>
        <v>REED JUSTINA J</v>
      </c>
      <c r="C10316" s="1" t="str">
        <f>"MELROSE AVE ELMORE LOT 320"</f>
        <v>MELROSE AVE ELMORE LOT 320</v>
      </c>
      <c r="D10316" s="1">
        <v>1113.3399999999999</v>
      </c>
    </row>
    <row r="10317" spans="1:4" x14ac:dyDescent="0.3">
      <c r="A10317" s="1" t="str">
        <f>"01014474400"</f>
        <v>01014474400</v>
      </c>
      <c r="B10317" s="1" t="str">
        <f>"REED KERRY J, REED PATRICIA S"</f>
        <v>REED KERRY J, REED PATRICIA S</v>
      </c>
      <c r="C10317" s="1" t="str">
        <f>"PRESTWICK DR AMD WALNUT HILL PK SEC 2 LOT 248"</f>
        <v>PRESTWICK DR AMD WALNUT HILL PK SEC 2 LOT 248</v>
      </c>
      <c r="D10317" s="1">
        <v>2107.83</v>
      </c>
    </row>
    <row r="10318" spans="1:4" x14ac:dyDescent="0.3">
      <c r="A10318" s="1" t="str">
        <f>"01008360500"</f>
        <v>01008360500</v>
      </c>
      <c r="B10318" s="1" t="str">
        <f>"REED MARK S"</f>
        <v>REED MARK S</v>
      </c>
      <c r="C10318" s="1" t="str">
        <f>"2961 GRASMEREAVE SUNNYSIDE LOT 487"</f>
        <v>2961 GRASMEREAVE SUNNYSIDE LOT 487</v>
      </c>
      <c r="D10318" s="1">
        <v>131.22999999999999</v>
      </c>
    </row>
    <row r="10319" spans="1:4" x14ac:dyDescent="0.3">
      <c r="A10319" s="1" t="str">
        <f>"01020200000"</f>
        <v>01020200000</v>
      </c>
      <c r="B10319" s="1" t="str">
        <f>"REED MICHAEL R, REED RHONDA R"</f>
        <v>REED MICHAEL R, REED RHONDA R</v>
      </c>
      <c r="C10319" s="1" t="str">
        <f>"HEDGEROW RD ENCLAVE CONDO PH 2 UNIT 2188G"</f>
        <v>HEDGEROW RD ENCLAVE CONDO PH 2 UNIT 2188G</v>
      </c>
      <c r="D10319" s="1">
        <v>115.78</v>
      </c>
    </row>
    <row r="10320" spans="1:4" x14ac:dyDescent="0.3">
      <c r="A10320" s="1" t="str">
        <f>"04001430500"</f>
        <v>04001430500</v>
      </c>
      <c r="B10320" s="1" t="str">
        <f>"REED MICHELLE K"</f>
        <v>REED MICHELLE K</v>
      </c>
      <c r="C10320" s="1" t="str">
        <f>"THE COTTAGES AT PINNACLE  CONDOMINIUM COMMUNITY     1ST AMD UNIT 4470        "</f>
        <v xml:space="preserve">THE COTTAGES AT PINNACLE  CONDOMINIUM COMMUNITY     1ST AMD UNIT 4470        </v>
      </c>
      <c r="D10320" s="1">
        <v>6263.39</v>
      </c>
    </row>
    <row r="10321" spans="1:4" x14ac:dyDescent="0.3">
      <c r="A10321" s="1" t="str">
        <f>"01009172600"</f>
        <v>01009172600</v>
      </c>
      <c r="B10321" s="1" t="str">
        <f>"REED PHILLIP H"</f>
        <v>REED PHILLIP H</v>
      </c>
      <c r="C10321" s="1" t="str">
        <f>"BROADLEIGH ROAD BEXLEY ANNEX LOT 68"</f>
        <v>BROADLEIGH ROAD BEXLEY ANNEX LOT 68</v>
      </c>
      <c r="D10321" s="1">
        <v>3578.42</v>
      </c>
    </row>
    <row r="10322" spans="1:4" x14ac:dyDescent="0.3">
      <c r="A10322" s="1" t="str">
        <f>"04000287100"</f>
        <v>04000287100</v>
      </c>
      <c r="B10322" s="1" t="str">
        <f>"REED REBECCA L"</f>
        <v>REED REBECCA L</v>
      </c>
      <c r="C10322" s="1" t="str">
        <f>"2738 QUEENSWAY DRIVE HIGH MEADOW LOT 118"</f>
        <v>2738 QUEENSWAY DRIVE HIGH MEADOW LOT 118</v>
      </c>
      <c r="D10322" s="1">
        <v>5486.94</v>
      </c>
    </row>
    <row r="10323" spans="1:4" x14ac:dyDescent="0.3">
      <c r="A10323" s="1" t="str">
        <f>"01010647200"</f>
        <v>01010647200</v>
      </c>
      <c r="B10323" s="1" t="str">
        <f>"REED SARAH J, GERONIMO SANDRA A"</f>
        <v>REED SARAH J, GERONIMO SANDRA A</v>
      </c>
      <c r="C10323" s="1" t="str">
        <f>"TALISMAN CT SOUTH BERWICK LOT 11"</f>
        <v>TALISMAN CT SOUTH BERWICK LOT 11</v>
      </c>
      <c r="D10323" s="1">
        <v>104.04</v>
      </c>
    </row>
    <row r="10324" spans="1:4" x14ac:dyDescent="0.3">
      <c r="A10324" s="1" t="str">
        <f>"01023162300"</f>
        <v>01023162300</v>
      </c>
      <c r="B10324" s="1" t="str">
        <f>"REED TERRY LEE"</f>
        <v>REED TERRY LEE</v>
      </c>
      <c r="C10324" s="1" t="str">
        <f>"HARLAND DRIVE ANDOVER SECTION 1 LOT 56"</f>
        <v>HARLAND DRIVE ANDOVER SECTION 1 LOT 56</v>
      </c>
      <c r="D10324" s="1">
        <v>3456.5</v>
      </c>
    </row>
    <row r="10325" spans="1:4" x14ac:dyDescent="0.3">
      <c r="A10325" s="1" t="str">
        <f>"01007442700"</f>
        <v>01007442700</v>
      </c>
      <c r="B10325" s="1" t="str">
        <f>"REED TILTON L"</f>
        <v>REED TILTON L</v>
      </c>
      <c r="C10325" s="1" t="str">
        <f>"RR WELDON AVE 47FT SE CREST LINDEN LOT 25"</f>
        <v>RR WELDON AVE 47FT SE CREST LINDEN LOT 25</v>
      </c>
      <c r="D10325" s="1">
        <v>355.21</v>
      </c>
    </row>
    <row r="10326" spans="1:4" x14ac:dyDescent="0.3">
      <c r="A10326" s="1" t="str">
        <f>"01015440600"</f>
        <v>01015440600</v>
      </c>
      <c r="B10326" s="1" t="str">
        <f>"REEDUS JAMES E JR"</f>
        <v>REEDUS JAMES E JR</v>
      </c>
      <c r="C10326" s="1" t="str">
        <f>"COMMANDER LANE PARKLEIGH SECTION 1 LOT 62"</f>
        <v>COMMANDER LANE PARKLEIGH SECTION 1 LOT 62</v>
      </c>
      <c r="D10326" s="1">
        <v>130.31</v>
      </c>
    </row>
    <row r="10327" spans="1:4" x14ac:dyDescent="0.3">
      <c r="A10327" s="1" t="str">
        <f>"02500608200"</f>
        <v>02500608200</v>
      </c>
      <c r="B10327" s="1" t="str">
        <f>"REES CHARLES R SR, REES JANET C"</f>
        <v>REES CHARLES R SR, REES JANET C</v>
      </c>
      <c r="C10327" s="1" t="str">
        <f>"157 GOTHIC COURT IMPERIAL RISE PLAT#4 LOT 258"</f>
        <v>157 GOTHIC COURT IMPERIAL RISE PLAT#4 LOT 258</v>
      </c>
      <c r="D10327" s="1">
        <v>3963.97</v>
      </c>
    </row>
    <row r="10328" spans="1:4" x14ac:dyDescent="0.3">
      <c r="A10328" s="1" t="str">
        <f>"01005402700"</f>
        <v>01005402700</v>
      </c>
      <c r="B10328" s="1" t="str">
        <f>"REESE EUGENE"</f>
        <v>REESE EUGENE</v>
      </c>
      <c r="C10328" s="1" t="str">
        <f>"DENTON AVE J A MCCAULEY'S AUBURNDALE ADDN LT72"</f>
        <v>DENTON AVE J A MCCAULEY'S AUBURNDALE ADDN LT72</v>
      </c>
      <c r="D10328" s="1">
        <v>215.64</v>
      </c>
    </row>
    <row r="10329" spans="1:4" x14ac:dyDescent="0.3">
      <c r="A10329" s="1" t="str">
        <f>"01005240000"</f>
        <v>01005240000</v>
      </c>
      <c r="B10329" s="1" t="str">
        <f>"REESE EVA M"</f>
        <v>REESE EVA M</v>
      </c>
      <c r="C10329" s="1" t="str">
        <f>"876 WILSON AVE AUBURNDALE LOT 120"</f>
        <v>876 WILSON AVE AUBURNDALE LOT 120</v>
      </c>
      <c r="D10329" s="1">
        <v>525.54</v>
      </c>
    </row>
    <row r="10330" spans="1:4" x14ac:dyDescent="0.3">
      <c r="A10330" s="1" t="str">
        <f>"01016698300"</f>
        <v>01016698300</v>
      </c>
      <c r="B10330" s="1" t="str">
        <f>"REESE GUYANNA"</f>
        <v>REESE GUYANNA</v>
      </c>
      <c r="C10330" s="1" t="str">
        <f>"1821 JERMAIN DRIVE AMVET HOMESTEAD 2 LOT 25 BLK O"</f>
        <v>1821 JERMAIN DRIVE AMVET HOMESTEAD 2 LOT 25 BLK O</v>
      </c>
      <c r="D10330" s="1">
        <v>813.14</v>
      </c>
    </row>
    <row r="10331" spans="1:4" x14ac:dyDescent="0.3">
      <c r="A10331" s="1" t="str">
        <f>"53020595000"</f>
        <v>53020595000</v>
      </c>
      <c r="B10331" s="1" t="str">
        <f>"REESE RONALD C"</f>
        <v>REESE RONALD C</v>
      </c>
      <c r="C10331" s="1" t="str">
        <f>"ARROWSMITH DRIVE INDEPENDENCE VILLAGE SQUARE SEC 1 LOT 7"</f>
        <v>ARROWSMITH DRIVE INDEPENDENCE VILLAGE SQUARE SEC 1 LOT 7</v>
      </c>
      <c r="D10331" s="1">
        <v>1702.31</v>
      </c>
    </row>
    <row r="10332" spans="1:4" x14ac:dyDescent="0.3">
      <c r="A10332" s="1" t="str">
        <f>"01006857200"</f>
        <v>01006857200</v>
      </c>
      <c r="B10332" s="1" t="str">
        <f>"REEVE RACHEL, SHIRK ROBIN"</f>
        <v>REEVE RACHEL, SHIRK ROBIN</v>
      </c>
      <c r="C10332" s="1" t="str">
        <f>"HARRIS AVE BLOCK 11 WILSHIRE HT LOT 17"</f>
        <v>HARRIS AVE BLOCK 11 WILSHIRE HT LOT 17</v>
      </c>
      <c r="D10332" s="1">
        <v>2724.62</v>
      </c>
    </row>
    <row r="10333" spans="1:4" x14ac:dyDescent="0.3">
      <c r="A10333" s="1" t="str">
        <f>"01012530800"</f>
        <v>01012530800</v>
      </c>
      <c r="B10333" s="1" t="str">
        <f>"REEVES KENNETH, REEVES BRENDA J"</f>
        <v>REEVES KENNETH, REEVES BRENDA J</v>
      </c>
      <c r="C10333" s="1" t="str">
        <f>"GROVEWOOD DR SOUTHFIELD 2ND LOT 113"</f>
        <v>GROVEWOOD DR SOUTHFIELD 2ND LOT 113</v>
      </c>
      <c r="D10333" s="1">
        <v>237.68</v>
      </c>
    </row>
    <row r="10334" spans="1:4" x14ac:dyDescent="0.3">
      <c r="A10334" s="1" t="str">
        <f>"61017829100"</f>
        <v>61017829100</v>
      </c>
      <c r="B10334" s="1" t="str">
        <f>"REEVES SHELBY L TR"</f>
        <v>REEVES SHELBY L TR</v>
      </c>
      <c r="C10334" s="1" t="str">
        <f>"CLOISTER DR THE WOODS@JOSEPHINUM LOT 69"</f>
        <v>CLOISTER DR THE WOODS@JOSEPHINUM LOT 69</v>
      </c>
      <c r="D10334" s="1">
        <v>693.77</v>
      </c>
    </row>
    <row r="10335" spans="1:4" x14ac:dyDescent="0.3">
      <c r="A10335" s="1" t="str">
        <f>"01011910600"</f>
        <v>01011910600</v>
      </c>
      <c r="B10335" s="1" t="str">
        <f>"REF EQUITY LLC"</f>
        <v>REF EQUITY LLC</v>
      </c>
      <c r="C10335" s="1" t="str">
        <f>"NUWAY RD SOUTHFIELD LOT 130"</f>
        <v>NUWAY RD SOUTHFIELD LOT 130</v>
      </c>
      <c r="D10335" s="1">
        <v>1055.1500000000001</v>
      </c>
    </row>
    <row r="10336" spans="1:4" x14ac:dyDescent="0.3">
      <c r="A10336" s="1" t="str">
        <f>"01013165000"</f>
        <v>01013165000</v>
      </c>
      <c r="B10336" s="1" t="str">
        <f>"REF EQUITY LLC"</f>
        <v>REF EQUITY LLC</v>
      </c>
      <c r="C10336" s="1" t="str">
        <f>"OMAR DR RADCLIFF LOT 94"</f>
        <v>OMAR DR RADCLIFF LOT 94</v>
      </c>
      <c r="D10336" s="1">
        <v>1590.4</v>
      </c>
    </row>
    <row r="10337" spans="1:4" x14ac:dyDescent="0.3">
      <c r="A10337" s="1" t="str">
        <f>"01013340900"</f>
        <v>01013340900</v>
      </c>
      <c r="B10337" s="1" t="str">
        <f>"REF EQUITY LLC"</f>
        <v>REF EQUITY LLC</v>
      </c>
      <c r="C10337" s="1" t="str">
        <f>"ORSON DR SOUTHFIELD 3 LOT 308"</f>
        <v>ORSON DR SOUTHFIELD 3 LOT 308</v>
      </c>
      <c r="D10337" s="1">
        <v>1116.0899999999999</v>
      </c>
    </row>
    <row r="10338" spans="1:4" x14ac:dyDescent="0.3">
      <c r="A10338" s="1" t="str">
        <f>"01012539100"</f>
        <v>01012539100</v>
      </c>
      <c r="B10338" s="1" t="str">
        <f>"REF EQUITY LLC"</f>
        <v>REF EQUITY LLC</v>
      </c>
      <c r="C10338" s="1" t="str">
        <f>"WIERTON DR SOUTHFIELD 2ND LOT 196"</f>
        <v>WIERTON DR SOUTHFIELD 2ND LOT 196</v>
      </c>
      <c r="D10338" s="1">
        <v>1121.4000000000001</v>
      </c>
    </row>
    <row r="10339" spans="1:4" x14ac:dyDescent="0.3">
      <c r="A10339" s="1" t="str">
        <f>"01013161300"</f>
        <v>01013161300</v>
      </c>
      <c r="B10339" s="1" t="str">
        <f>"REF EQUITY LLC"</f>
        <v>REF EQUITY LLC</v>
      </c>
      <c r="C10339" s="1" t="str">
        <f>"OMAR DR. RADCLIFF LOT 57"</f>
        <v>OMAR DR. RADCLIFF LOT 57</v>
      </c>
      <c r="D10339" s="1">
        <v>1400.27</v>
      </c>
    </row>
    <row r="10340" spans="1:4" x14ac:dyDescent="0.3">
      <c r="A10340" s="1" t="str">
        <f>"01014087500"</f>
        <v>01014087500</v>
      </c>
      <c r="B10340" s="1" t="str">
        <f>"REF EQUITY LLC"</f>
        <v>REF EQUITY LLC</v>
      </c>
      <c r="C10340" s="1" t="str">
        <f>"SOUTHERN PINES SEC 4 LOT 341 "</f>
        <v xml:space="preserve">SOUTHERN PINES SEC 4 LOT 341 </v>
      </c>
      <c r="D10340" s="1">
        <v>1506.46</v>
      </c>
    </row>
    <row r="10341" spans="1:4" x14ac:dyDescent="0.3">
      <c r="A10341" s="1" t="str">
        <f>"01022755200"</f>
        <v>01022755200</v>
      </c>
      <c r="B10341" s="1" t="str">
        <f>"REFFITT RENEE D"</f>
        <v>REFFITT RENEE D</v>
      </c>
      <c r="C10341" s="1" t="str">
        <f>"BETHANY DRIVE WEST ALBANY SEC 1 LOT 8"</f>
        <v>BETHANY DRIVE WEST ALBANY SEC 1 LOT 8</v>
      </c>
      <c r="D10341" s="1">
        <v>320.58</v>
      </c>
    </row>
    <row r="10342" spans="1:4" x14ac:dyDescent="0.3">
      <c r="A10342" s="1" t="str">
        <f>"01005071800"</f>
        <v>01005071800</v>
      </c>
      <c r="B10342" s="1" t="str">
        <f>"REFUGE TEMPLE CHURCH OF CHRIST"</f>
        <v>REFUGE TEMPLE CHURCH OF CHRIST</v>
      </c>
      <c r="C10342" s="1" t="str">
        <f>"MOLER ST MOLER ST LOT 36"</f>
        <v>MOLER ST MOLER ST LOT 36</v>
      </c>
      <c r="D10342" s="1">
        <v>1560.23</v>
      </c>
    </row>
    <row r="10343" spans="1:4" x14ac:dyDescent="0.3">
      <c r="A10343" s="1" t="str">
        <f>"01005071700"</f>
        <v>01005071700</v>
      </c>
      <c r="B10343" s="1" t="str">
        <f>"REFUGE TEMPLE CHURCH OF CHRIST"</f>
        <v>REFUGE TEMPLE CHURCH OF CHRIST</v>
      </c>
      <c r="C10343" s="1" t="str">
        <f>"571 MOLER MOLER ST LOT 35"</f>
        <v>571 MOLER MOLER ST LOT 35</v>
      </c>
      <c r="D10343" s="1">
        <v>3691.94</v>
      </c>
    </row>
    <row r="10344" spans="1:4" x14ac:dyDescent="0.3">
      <c r="A10344" s="1" t="str">
        <f>"01029977100"</f>
        <v>01029977100</v>
      </c>
      <c r="B10344" s="1" t="str">
        <f>"REGAL BRIAN, REGAL MICHELLE"</f>
        <v>REGAL BRIAN, REGAL MICHELLE</v>
      </c>
      <c r="C10344" s="1" t="str">
        <f>"HIGH-FIFTH CONDOMINIUM UNIT 199E "</f>
        <v xml:space="preserve">HIGH-FIFTH CONDOMINIUM UNIT 199E </v>
      </c>
      <c r="D10344" s="1">
        <v>2363.8000000000002</v>
      </c>
    </row>
    <row r="10345" spans="1:4" x14ac:dyDescent="0.3">
      <c r="A10345" s="1" t="str">
        <f>"01002613000"</f>
        <v>01002613000</v>
      </c>
      <c r="B10345" s="1" t="str">
        <f>"REGENSBURGER JEFFREY"</f>
        <v>REGENSBURGER JEFFREY</v>
      </c>
      <c r="C10345" s="1" t="str">
        <f>"2410 SUMMIT ST 30 FT S S DOYLES SUMMIT L130"</f>
        <v>2410 SUMMIT ST 30 FT S S DOYLES SUMMIT L130</v>
      </c>
      <c r="D10345" s="1">
        <v>233.25</v>
      </c>
    </row>
    <row r="10346" spans="1:4" x14ac:dyDescent="0.3">
      <c r="A10346" s="1" t="str">
        <f>"27301072200"</f>
        <v>27301072200</v>
      </c>
      <c r="B10346" s="1" t="str">
        <f>"REGRUT BETTY A"</f>
        <v>REGRUT BETTY A</v>
      </c>
      <c r="C10346" s="1" t="str">
        <f>"WALDEN CIRCLE WESTBURY SECTION 6 PHASE 2  LOT 221"</f>
        <v>WALDEN CIRCLE WESTBURY SECTION 6 PHASE 2  LOT 221</v>
      </c>
      <c r="D10346" s="1">
        <v>496.49</v>
      </c>
    </row>
    <row r="10347" spans="1:4" x14ac:dyDescent="0.3">
      <c r="A10347" s="1" t="str">
        <f>"01002697300"</f>
        <v>01002697300</v>
      </c>
      <c r="B10347" s="1" t="str">
        <f>"REGULA LIS KENNETH"</f>
        <v>REGULA LIS KENNETH</v>
      </c>
      <c r="C10347" s="1" t="str">
        <f>"291 S TERRACE AVE BRONX LOT 243"</f>
        <v>291 S TERRACE AVE BRONX LOT 243</v>
      </c>
      <c r="D10347" s="1">
        <v>944.59</v>
      </c>
    </row>
    <row r="10348" spans="1:4" x14ac:dyDescent="0.3">
      <c r="A10348" s="1" t="str">
        <f>"54526202600"</f>
        <v>54526202600</v>
      </c>
      <c r="B10348" s="1" t="str">
        <f>"REGUPATHY RAMKUMAR TTEE, THIRUMALAIAPPAN JANAKI TTEE"</f>
        <v>REGUPATHY RAMKUMAR TTEE, THIRUMALAIAPPAN JANAKI TTEE</v>
      </c>
      <c r="C10348" s="1" t="str">
        <f>"GREENSBURY DRIVE THE PRESERVE SECTION 6 PART 2 LOT 341"</f>
        <v>GREENSBURY DRIVE THE PRESERVE SECTION 6 PART 2 LOT 341</v>
      </c>
      <c r="D10348" s="1">
        <v>4000.94</v>
      </c>
    </row>
    <row r="10349" spans="1:4" x14ac:dyDescent="0.3">
      <c r="A10349" s="1" t="str">
        <f>"01001303500"</f>
        <v>01001303500</v>
      </c>
      <c r="B10349" s="1" t="str">
        <f>"REHABIT PROPERTIES LLC"</f>
        <v>REHABIT PROPERTIES LLC</v>
      </c>
      <c r="C10349" s="1" t="str">
        <f>"BELLAIRE EXT LOT 257 "</f>
        <v xml:space="preserve">BELLAIRE EXT LOT 257 </v>
      </c>
      <c r="D10349" s="1">
        <v>2049.4699999999998</v>
      </c>
    </row>
    <row r="10350" spans="1:4" x14ac:dyDescent="0.3">
      <c r="A10350" s="1" t="str">
        <f>"61018611900"</f>
        <v>61018611900</v>
      </c>
      <c r="B10350" s="1" t="str">
        <f>"REHAL PRITAM S, REHAL PARAMJIT K"</f>
        <v>REHAL PRITAM S, REHAL PARAMJIT K</v>
      </c>
      <c r="C10350" s="1" t="str">
        <f>"CORTINA CT CORTINA HOMES CONDO UNIT 7601"</f>
        <v>CORTINA CT CORTINA HOMES CONDO UNIT 7601</v>
      </c>
      <c r="D10350" s="1">
        <v>174.02</v>
      </c>
    </row>
    <row r="10351" spans="1:4" x14ac:dyDescent="0.3">
      <c r="A10351" s="1" t="str">
        <f>"01008287200"</f>
        <v>01008287200</v>
      </c>
      <c r="B10351" s="1" t="str">
        <f>"REHL RICHARD W"</f>
        <v>REHL RICHARD W</v>
      </c>
      <c r="C10351" s="1" t="str">
        <f>"ELMORE AVE EDGEMONT GARDENS 2 LOT 233"</f>
        <v>ELMORE AVE EDGEMONT GARDENS 2 LOT 233</v>
      </c>
      <c r="D10351" s="1">
        <v>2737.08</v>
      </c>
    </row>
    <row r="10352" spans="1:4" x14ac:dyDescent="0.3">
      <c r="A10352" s="1" t="str">
        <f>"01000718000"</f>
        <v>01000718000</v>
      </c>
      <c r="B10352" s="1" t="str">
        <f>"REHMAN INVESTMENTS LLC"</f>
        <v>REHMAN INVESTMENTS LLC</v>
      </c>
      <c r="C10352" s="1" t="str">
        <f>"1607 WOODLAND AVE LEONARD HRS 4.475 ACRES"</f>
        <v>1607 WOODLAND AVE LEONARD HRS 4.475 ACRES</v>
      </c>
      <c r="D10352" s="1">
        <v>11698.39</v>
      </c>
    </row>
    <row r="10353" spans="1:4" x14ac:dyDescent="0.3">
      <c r="A10353" s="1" t="str">
        <f>"01005052100"</f>
        <v>01005052100</v>
      </c>
      <c r="B10353" s="1" t="str">
        <f>"REID CHRISTOPHER COREY"</f>
        <v>REID CHRISTOPHER COREY</v>
      </c>
      <c r="C10353" s="1" t="str">
        <f>"WELLINGTON BLVD ST MARYS GATE LOT 104-105"</f>
        <v>WELLINGTON BLVD ST MARYS GATE LOT 104-105</v>
      </c>
      <c r="D10353" s="1">
        <v>2109.33</v>
      </c>
    </row>
    <row r="10354" spans="1:4" x14ac:dyDescent="0.3">
      <c r="A10354" s="1" t="str">
        <f>"09000106000"</f>
        <v>09000106000</v>
      </c>
      <c r="B10354" s="1" t="str">
        <f>"REID DANIEL J"</f>
        <v>REID DANIEL J</v>
      </c>
      <c r="C10354" s="1" t="str">
        <f>"15INC WORLEY HEIGHTS RESUB LOTS 9 THRU LOT 21"</f>
        <v>15INC WORLEY HEIGHTS RESUB LOTS 9 THRU LOT 21</v>
      </c>
      <c r="D10354" s="1">
        <v>7.78</v>
      </c>
    </row>
    <row r="10355" spans="1:4" x14ac:dyDescent="0.3">
      <c r="A10355" s="1" t="str">
        <f>"09000287800"</f>
        <v>09000287800</v>
      </c>
      <c r="B10355" s="1" t="str">
        <f>"REID DANIEL J"</f>
        <v>REID DANIEL J</v>
      </c>
      <c r="C10355" s="1" t="str">
        <f>"4373 E MOUND ST PINECREST LOT 66 "</f>
        <v xml:space="preserve">4373 E MOUND ST PINECREST LOT 66 </v>
      </c>
      <c r="D10355" s="1">
        <v>7.11</v>
      </c>
    </row>
    <row r="10356" spans="1:4" x14ac:dyDescent="0.3">
      <c r="A10356" s="1" t="str">
        <f>"01003018600"</f>
        <v>01003018600</v>
      </c>
      <c r="B10356" s="1" t="str">
        <f>"REID THOMAS ET AL 5"</f>
        <v>REID THOMAS ET AL 5</v>
      </c>
      <c r="C10356" s="1" t="str">
        <f>"1592 HAWTHORNE PARK WOODLAND AMD LOT 14-15"</f>
        <v>1592 HAWTHORNE PARK WOODLAND AMD LOT 14-15</v>
      </c>
      <c r="D10356" s="1">
        <v>3613.01</v>
      </c>
    </row>
    <row r="10357" spans="1:4" x14ac:dyDescent="0.3">
      <c r="A10357" s="1" t="str">
        <f>"07000487200"</f>
        <v>07000487200</v>
      </c>
      <c r="B10357" s="1" t="str">
        <f>"REIDENBACH JAMES K, REIDENBACH SANDRA J"</f>
        <v>REIDENBACH JAMES K, REIDENBACH SANDRA J</v>
      </c>
      <c r="C10357" s="1" t="str">
        <f>"KENTWELL RD 48.09FT ES L23&amp;11.91FT WSL24 N MNTVEW 23-4 B 274"</f>
        <v>KENTWELL RD 48.09FT ES L23&amp;11.91FT WSL24 N MNTVEW 23-4 B 274</v>
      </c>
      <c r="D10357" s="1">
        <v>3960.85</v>
      </c>
    </row>
    <row r="10358" spans="1:4" x14ac:dyDescent="0.3">
      <c r="A10358" s="1" t="str">
        <f>"08000696900"</f>
        <v>08000696900</v>
      </c>
      <c r="B10358" s="1" t="str">
        <f>"REIDENBAUGH JANE M, EBERHARD KATHLEEN J"</f>
        <v>REIDENBAUGH JANE M, EBERHARD KATHLEEN J</v>
      </c>
      <c r="C10358" s="1" t="str">
        <f>"96 SPRING CREEK DR SPRING CREEK LOT 30"</f>
        <v>96 SPRING CREEK DR SPRING CREEK LOT 30</v>
      </c>
      <c r="D10358" s="1">
        <v>344.78</v>
      </c>
    </row>
    <row r="10359" spans="1:4" x14ac:dyDescent="0.3">
      <c r="A10359" s="1" t="str">
        <f>"17000215800"</f>
        <v>17000215800</v>
      </c>
      <c r="B10359" s="1" t="str">
        <f>"REIDLER JON A"</f>
        <v>REIDLER JON A</v>
      </c>
      <c r="C10359" s="1" t="str">
        <f>"JEFFERSON MEADOWS SECTION 1 PHASE 2 LOT 22"</f>
        <v>JEFFERSON MEADOWS SECTION 1 PHASE 2 LOT 22</v>
      </c>
      <c r="D10359" s="1">
        <v>557.04999999999995</v>
      </c>
    </row>
    <row r="10360" spans="1:4" x14ac:dyDescent="0.3">
      <c r="A10360" s="1" t="str">
        <f>"04000715300"</f>
        <v>04000715300</v>
      </c>
      <c r="B10360" s="1" t="str">
        <f>"REIDY JOHN J, REIDY SOPHIE M"</f>
        <v>REIDY JOHN J, REIDY SOPHIE M</v>
      </c>
      <c r="C10360" s="1" t="str">
        <f>"2457 HOOVERSIDE LN HOOVER LANDING CONDO BLDG 11 UNIT 2457"</f>
        <v>2457 HOOVERSIDE LN HOOVER LANDING CONDO BLDG 11 UNIT 2457</v>
      </c>
      <c r="D10360" s="1">
        <v>142.08000000000001</v>
      </c>
    </row>
    <row r="10361" spans="1:4" x14ac:dyDescent="0.3">
      <c r="A10361" s="1" t="str">
        <f>"61020310500"</f>
        <v>61020310500</v>
      </c>
      <c r="B10361" s="1" t="str">
        <f>"REIMER WILLIAM L, HEIDELBERG CATHLEEN M"</f>
        <v>REIMER WILLIAM L, HEIDELBERG CATHLEEN M</v>
      </c>
      <c r="C10361" s="1" t="str">
        <f>"GREEN SPRINGS DRIVE THE SANCTUARY SEC 1 LOT 4"</f>
        <v>GREEN SPRINGS DRIVE THE SANCTUARY SEC 1 LOT 4</v>
      </c>
      <c r="D10361" s="1">
        <v>462.87</v>
      </c>
    </row>
    <row r="10362" spans="1:4" x14ac:dyDescent="0.3">
      <c r="A10362" s="1" t="str">
        <f>"59018533200"</f>
        <v>59018533200</v>
      </c>
      <c r="B10362" s="1" t="str">
        <f>"REINER JOHN G, REINER SHEILA"</f>
        <v>REINER JOHN G, REINER SHEILA</v>
      </c>
      <c r="C10362" s="1" t="str">
        <f>"EDGEBROOK DR RIVERSIDE VILL COND UNIT 3351 BLDG 6"</f>
        <v>EDGEBROOK DR RIVERSIDE VILL COND UNIT 3351 BLDG 6</v>
      </c>
      <c r="D10362" s="1">
        <v>237.03</v>
      </c>
    </row>
    <row r="10363" spans="1:4" x14ac:dyDescent="0.3">
      <c r="A10363" s="1" t="str">
        <f>"59018533300"</f>
        <v>59018533300</v>
      </c>
      <c r="B10363" s="1" t="str">
        <f>"REINER JOHN G, REINER SHEILA"</f>
        <v>REINER JOHN G, REINER SHEILA</v>
      </c>
      <c r="C10363" s="1" t="str">
        <f>"EDGEBROOK DR RIVERSIDE VILL COND UNIT 3353 BLDG 6"</f>
        <v>EDGEBROOK DR RIVERSIDE VILL COND UNIT 3353 BLDG 6</v>
      </c>
      <c r="D10363" s="1">
        <v>237.03</v>
      </c>
    </row>
    <row r="10364" spans="1:4" x14ac:dyDescent="0.3">
      <c r="A10364" s="1" t="str">
        <f>"59018533100"</f>
        <v>59018533100</v>
      </c>
      <c r="B10364" s="1" t="str">
        <f>"REINER JOHN G, REINER SHEILA"</f>
        <v>REINER JOHN G, REINER SHEILA</v>
      </c>
      <c r="C10364" s="1" t="str">
        <f>"EDGEBROOK DR RIVERSIDE VILL COND UNIT 3349 BLDG 6"</f>
        <v>EDGEBROOK DR RIVERSIDE VILL COND UNIT 3349 BLDG 6</v>
      </c>
      <c r="D10364" s="1">
        <v>237.03</v>
      </c>
    </row>
    <row r="10365" spans="1:4" x14ac:dyDescent="0.3">
      <c r="A10365" s="1" t="str">
        <f>"59018533400"</f>
        <v>59018533400</v>
      </c>
      <c r="B10365" s="1" t="str">
        <f>"REINER JOHN G, REINER SHEILA"</f>
        <v>REINER JOHN G, REINER SHEILA</v>
      </c>
      <c r="C10365" s="1" t="str">
        <f>"EDGEBROOK DR RIVERSIDE VILL COND UNIT 3355 BLDG 6"</f>
        <v>EDGEBROOK DR RIVERSIDE VILL COND UNIT 3355 BLDG 6</v>
      </c>
      <c r="D10365" s="1">
        <v>237.03</v>
      </c>
    </row>
    <row r="10366" spans="1:4" x14ac:dyDescent="0.3">
      <c r="A10366" s="1" t="str">
        <f>"60016968400"</f>
        <v>60016968400</v>
      </c>
      <c r="B10366" s="1" t="str">
        <f>"REINER JOHN G, REINER SHELIA G"</f>
        <v>REINER JOHN G, REINER SHELIA G</v>
      </c>
      <c r="C10366" s="1" t="str">
        <f>"5969-71 PINE RISE CT RESUB/RES A/COOPER WOODS LOT 94"</f>
        <v>5969-71 PINE RISE CT RESUB/RES A/COOPER WOODS LOT 94</v>
      </c>
      <c r="D10366" s="1">
        <v>448.45</v>
      </c>
    </row>
    <row r="10367" spans="1:4" x14ac:dyDescent="0.3">
      <c r="A10367" s="1" t="str">
        <f>"11000310700"</f>
        <v>11000310700</v>
      </c>
      <c r="B10367" s="1" t="str">
        <f>"REINER LOIS J TR, REINER ADAM TR, REINER LOIS J"</f>
        <v>REINER LOIS J TR, REINER ADAM TR, REINER LOIS J</v>
      </c>
      <c r="C10367" s="1" t="str">
        <f>"COLS-WESTERVILLE RD 1.088 ACRES R17 T2 1/4T2 LOT 1"</f>
        <v>COLS-WESTERVILLE RD 1.088 ACRES R17 T2 1/4T2 LOT 1</v>
      </c>
      <c r="D10367" s="1">
        <v>727.6</v>
      </c>
    </row>
    <row r="10368" spans="1:4" x14ac:dyDescent="0.3">
      <c r="A10368" s="1" t="str">
        <f>"01010489600"</f>
        <v>01010489600</v>
      </c>
      <c r="B10368" s="1" t="str">
        <f>"REINHARD KATHLEEN H"</f>
        <v>REINHARD KATHLEEN H</v>
      </c>
      <c r="C10368" s="1" t="str">
        <f>"JOOS AVE CHASELAND MANOR LOT 119"</f>
        <v>JOOS AVE CHASELAND MANOR LOT 119</v>
      </c>
      <c r="D10368" s="1">
        <v>3819.82</v>
      </c>
    </row>
    <row r="10369" spans="1:4" x14ac:dyDescent="0.3">
      <c r="A10369" s="1" t="str">
        <f>"10000560800"</f>
        <v>10000560800</v>
      </c>
      <c r="B10369" s="1" t="str">
        <f>"REINITZ KIRK WALTER"</f>
        <v>REINITZ KIRK WALTER</v>
      </c>
      <c r="C10369" s="1" t="str">
        <f>"181 WHIELDON LANE BAINBRIDGE CONDO UNIT 12"</f>
        <v>181 WHIELDON LANE BAINBRIDGE CONDO UNIT 12</v>
      </c>
      <c r="D10369" s="1">
        <v>13639.08</v>
      </c>
    </row>
    <row r="10370" spans="1:4" x14ac:dyDescent="0.3">
      <c r="A10370" s="1" t="str">
        <f>"06000394300"</f>
        <v>06000394300</v>
      </c>
      <c r="B10370" s="1" t="str">
        <f>"REIS ANDREA K"</f>
        <v>REIS ANDREA K</v>
      </c>
      <c r="C10370" s="1" t="str">
        <f>"1481 HAMMOND RD H C HUBER PLAT 36 SEC 7 LOT 1941"</f>
        <v>1481 HAMMOND RD H C HUBER PLAT 36 SEC 7 LOT 1941</v>
      </c>
      <c r="D10370" s="1">
        <v>11.68</v>
      </c>
    </row>
    <row r="10371" spans="1:4" x14ac:dyDescent="0.3">
      <c r="A10371" s="1" t="str">
        <f>"06000161800"</f>
        <v>06000161800</v>
      </c>
      <c r="B10371" s="1" t="str">
        <f>"REISCH RUBY A"</f>
        <v>REISCH RUBY A</v>
      </c>
      <c r="C10371" s="1" t="str">
        <f>"GILMORE DR BROOKSIDE PK 3 582 "</f>
        <v xml:space="preserve">GILMORE DR BROOKSIDE PK 3 582 </v>
      </c>
      <c r="D10371" s="1">
        <v>1598.81</v>
      </c>
    </row>
    <row r="10372" spans="1:4" x14ac:dyDescent="0.3">
      <c r="A10372" s="1" t="str">
        <f>"09000351700"</f>
        <v>09000351700</v>
      </c>
      <c r="B10372" s="1" t="str">
        <f>"REISDORF KEVIN A"</f>
        <v>REISDORF KEVIN A</v>
      </c>
      <c r="C10372" s="1" t="str">
        <f>"4979 WINSLOW DR TRURO ESTATES LOT 287"</f>
        <v>4979 WINSLOW DR TRURO ESTATES LOT 287</v>
      </c>
      <c r="D10372" s="1">
        <v>103.67</v>
      </c>
    </row>
    <row r="10373" spans="1:4" x14ac:dyDescent="0.3">
      <c r="A10373" s="1" t="str">
        <f>"06000045400"</f>
        <v>06000045400</v>
      </c>
      <c r="B10373" s="1" t="str">
        <f>"REISLING CHARLES A"</f>
        <v>REISLING CHARLES A</v>
      </c>
      <c r="C10373" s="1" t="str">
        <f>"DONALD AVE BROOKSIDE PK 30 "</f>
        <v xml:space="preserve">DONALD AVE BROOKSIDE PK 30 </v>
      </c>
      <c r="D10373" s="1">
        <v>3357.52</v>
      </c>
    </row>
    <row r="10374" spans="1:4" x14ac:dyDescent="0.3">
      <c r="A10374" s="1" t="str">
        <f>"01009600200"</f>
        <v>01009600200</v>
      </c>
      <c r="B10374" s="1" t="str">
        <f>"REISS GEORGE W"</f>
        <v>REISS GEORGE W</v>
      </c>
      <c r="C10374" s="1" t="str">
        <f>"LONGVIEW AVE WELDON PARK LOT 67"</f>
        <v>LONGVIEW AVE WELDON PARK LOT 67</v>
      </c>
      <c r="D10374" s="1">
        <v>1575.11</v>
      </c>
    </row>
    <row r="10375" spans="1:4" x14ac:dyDescent="0.3">
      <c r="A10375" s="1" t="str">
        <f>"01011501400"</f>
        <v>01011501400</v>
      </c>
      <c r="B10375" s="1" t="str">
        <f>"REKK REAL ESTATE HOLDINGS LLC"</f>
        <v>REKK REAL ESTATE HOLDINGS LLC</v>
      </c>
      <c r="C10375" s="1" t="str">
        <f>"SMITH RD .266 ACRES R.22T.5S.261/2S.39"</f>
        <v>SMITH RD .266 ACRES R.22T.5S.261/2S.39</v>
      </c>
      <c r="D10375" s="1">
        <v>818.68</v>
      </c>
    </row>
    <row r="10376" spans="1:4" x14ac:dyDescent="0.3">
      <c r="A10376" s="1" t="str">
        <f>"01006051600"</f>
        <v>01006051600</v>
      </c>
      <c r="B10376" s="1" t="str">
        <f>"REKK REAL ESTATE HOLDINGS LLC"</f>
        <v>REKK REAL ESTATE HOLDINGS LLC</v>
      </c>
      <c r="C10376" s="1" t="str">
        <f>"21ST AVE WALDEMERE LOT 273"</f>
        <v>21ST AVE WALDEMERE LOT 273</v>
      </c>
      <c r="D10376" s="1">
        <v>753.95</v>
      </c>
    </row>
    <row r="10377" spans="1:4" x14ac:dyDescent="0.3">
      <c r="A10377" s="1" t="str">
        <f>"01001085700"</f>
        <v>01001085700</v>
      </c>
      <c r="B10377" s="1" t="str">
        <f>"RELEO LTD"</f>
        <v>RELEO LTD</v>
      </c>
      <c r="C10377" s="1" t="str">
        <f>"476 HANLEY ST 1/2 SEC 14 43X105FT WAGNER TRACT"</f>
        <v>476 HANLEY ST 1/2 SEC 14 43X105FT WAGNER TRACT</v>
      </c>
      <c r="D10377" s="1">
        <v>2430.7600000000002</v>
      </c>
    </row>
    <row r="10378" spans="1:4" x14ac:dyDescent="0.3">
      <c r="A10378" s="1" t="str">
        <f>"01010677000"</f>
        <v>01010677000</v>
      </c>
      <c r="B10378" s="1" t="str">
        <f>"REMALI PAMELA"</f>
        <v>REMALI PAMELA</v>
      </c>
      <c r="C10378" s="1" t="str">
        <f>"MIRIAM DR EAST DEMOREST LOT 22 BLK 20"</f>
        <v>MIRIAM DR EAST DEMOREST LOT 22 BLK 20</v>
      </c>
      <c r="D10378" s="1">
        <v>4698.9399999999996</v>
      </c>
    </row>
    <row r="10379" spans="1:4" x14ac:dyDescent="0.3">
      <c r="A10379" s="1" t="str">
        <f>"53024685200"</f>
        <v>53024685200</v>
      </c>
      <c r="B10379" s="1" t="str">
        <f>"REMINGTON RIDGE ASSOCIATION INC"</f>
        <v>REMINGTON RIDGE ASSOCIATION INC</v>
      </c>
      <c r="C10379" s="1" t="s">
        <v>11</v>
      </c>
      <c r="D10379" s="1">
        <v>55.19</v>
      </c>
    </row>
    <row r="10380" spans="1:4" x14ac:dyDescent="0.3">
      <c r="A10380" s="1" t="str">
        <f>"53024487300"</f>
        <v>53024487300</v>
      </c>
      <c r="B10380" s="1" t="str">
        <f>"REMINGTON RIDGE ASSOCIATION INC"</f>
        <v>REMINGTON RIDGE ASSOCIATION INC</v>
      </c>
      <c r="C10380" s="1" t="s">
        <v>13</v>
      </c>
      <c r="D10380" s="1">
        <v>53.15</v>
      </c>
    </row>
    <row r="10381" spans="1:4" x14ac:dyDescent="0.3">
      <c r="A10381" s="1" t="str">
        <f>"53023001200"</f>
        <v>53023001200</v>
      </c>
      <c r="B10381" s="1" t="str">
        <f>"REMINGTON RIDGE ASSOCIATION INC"</f>
        <v>REMINGTON RIDGE ASSOCIATION INC</v>
      </c>
      <c r="C10381" s="1" t="str">
        <f>"REMINGTON RIDGE SECTION 1 PART 2 RESERVE A 2.393AC"</f>
        <v>REMINGTON RIDGE SECTION 1 PART 2 RESERVE A 2.393AC</v>
      </c>
      <c r="D10381" s="1">
        <v>85.07</v>
      </c>
    </row>
    <row r="10382" spans="1:4" x14ac:dyDescent="0.3">
      <c r="A10382" s="1" t="str">
        <f>"53016393200"</f>
        <v>53016393200</v>
      </c>
      <c r="B10382" s="1" t="str">
        <f>"REMLEY JUNE M, SMITH CAROLINA, WHITE CINDY, REMLEY JAMES E JR"</f>
        <v>REMLEY JUNE M, SMITH CAROLINA, WHITE CINDY, REMLEY JAMES E JR</v>
      </c>
      <c r="C10382" s="1" t="str">
        <f>"PLATTE COURT THREE RIVERS LOT 27"</f>
        <v>PLATTE COURT THREE RIVERS LOT 27</v>
      </c>
      <c r="D10382" s="1">
        <v>2001.92</v>
      </c>
    </row>
    <row r="10383" spans="1:4" x14ac:dyDescent="0.3">
      <c r="A10383" s="1" t="str">
        <f>"59016915100"</f>
        <v>59016915100</v>
      </c>
      <c r="B10383" s="1" t="str">
        <f>"REMY JEFFREY A"</f>
        <v>REMY JEFFREY A</v>
      </c>
      <c r="C10383" s="1" t="str">
        <f>"CROWN CREST LN GRDNS NO2 CROWN RIDGE INCL A RESUB/COUNTRY LT69"</f>
        <v>CROWN CREST LN GRDNS NO2 CROWN RIDGE INCL A RESUB/COUNTRY LT69</v>
      </c>
      <c r="D10383" s="1">
        <v>7547.42</v>
      </c>
    </row>
    <row r="10384" spans="1:4" x14ac:dyDescent="0.3">
      <c r="A10384" s="1" t="str">
        <f>"01009819000"</f>
        <v>01009819000</v>
      </c>
      <c r="B10384" s="1" t="str">
        <f>"REMY KEITH A"</f>
        <v>REMY KEITH A</v>
      </c>
      <c r="C10384" s="1" t="str">
        <f>"NORRIS DR MAIZE MANOR LOT 9"</f>
        <v>NORRIS DR MAIZE MANOR LOT 9</v>
      </c>
      <c r="D10384" s="1">
        <v>189.22</v>
      </c>
    </row>
    <row r="10385" spans="1:4" x14ac:dyDescent="0.3">
      <c r="A10385" s="1" t="str">
        <f>"61020310900"</f>
        <v>61020310900</v>
      </c>
      <c r="B10385" s="1" t="str">
        <f>"REN YAN"</f>
        <v>REN YAN</v>
      </c>
      <c r="C10385" s="1" t="str">
        <f>"GREEN SPRINGS DRIVE THE SANCTUARY SEC 1 LOT 8"</f>
        <v>GREEN SPRINGS DRIVE THE SANCTUARY SEC 1 LOT 8</v>
      </c>
      <c r="D10385" s="1">
        <v>484.89</v>
      </c>
    </row>
    <row r="10386" spans="1:4" x14ac:dyDescent="0.3">
      <c r="A10386" s="1" t="str">
        <f>"01001668700"</f>
        <v>01001668700</v>
      </c>
      <c r="B10386" s="1" t="str">
        <f>"RENA HOLDINGS LLC"</f>
        <v>RENA HOLDINGS LLC</v>
      </c>
      <c r="C10386" s="1" t="str">
        <f>"SHERMAN AVE J FULLERTON LOT 1 &amp; PT VAC R/W"</f>
        <v>SHERMAN AVE J FULLERTON LOT 1 &amp; PT VAC R/W</v>
      </c>
      <c r="D10386" s="1">
        <v>688.7</v>
      </c>
    </row>
    <row r="10387" spans="1:4" x14ac:dyDescent="0.3">
      <c r="A10387" s="1" t="str">
        <f>"14300005500"</f>
        <v>14300005500</v>
      </c>
      <c r="B10387" s="1" t="str">
        <f>"RENDA JORDAN"</f>
        <v>RENDA JORDAN</v>
      </c>
      <c r="C10387" s="1" t="str">
        <f>"1423 CAMBRIDGE BLVD CAMBRIDGE PLACE LOT 4"</f>
        <v>1423 CAMBRIDGE BLVD CAMBRIDGE PLACE LOT 4</v>
      </c>
      <c r="D10387" s="1">
        <v>23543.040000000001</v>
      </c>
    </row>
    <row r="10388" spans="1:4" x14ac:dyDescent="0.3">
      <c r="A10388" s="1" t="str">
        <f>"01004606900"</f>
        <v>01004606900</v>
      </c>
      <c r="B10388" s="1" t="str">
        <f>"RENDON SARAID"</f>
        <v>RENDON SARAID</v>
      </c>
      <c r="C10388" s="1" t="str">
        <f>"426 S HAGUE AVE WICKLOW EXT LOT 810"</f>
        <v>426 S HAGUE AVE WICKLOW EXT LOT 810</v>
      </c>
      <c r="D10388" s="1">
        <v>1425.58</v>
      </c>
    </row>
    <row r="10389" spans="1:4" x14ac:dyDescent="0.3">
      <c r="A10389" s="1" t="str">
        <f>"16100081900"</f>
        <v>16100081900</v>
      </c>
      <c r="B10389" s="1" t="str">
        <f>"RENEW LIFE LIVING LLC"</f>
        <v>RENEW LIFE LIVING LLC</v>
      </c>
      <c r="C10389" s="1" t="str">
        <f>"4TH AVE 19-20 BLK 22 URBANCREST"</f>
        <v>4TH AVE 19-20 BLK 22 URBANCREST</v>
      </c>
      <c r="D10389" s="1">
        <v>41.51</v>
      </c>
    </row>
    <row r="10390" spans="1:4" x14ac:dyDescent="0.3">
      <c r="A10390" s="1" t="str">
        <f>"13000132700"</f>
        <v>13000132700</v>
      </c>
      <c r="B10390" s="1" t="str">
        <f>"RENN 2855 DOLBY DR LLC"</f>
        <v>RENN 2855 DOLBY DR LLC</v>
      </c>
      <c r="C10390" s="1" t="str">
        <f>"FERRIS RD NORTH LINDEN 1 LOT 153 EX TRIANG NE COR"</f>
        <v>FERRIS RD NORTH LINDEN 1 LOT 153 EX TRIANG NE COR</v>
      </c>
      <c r="D10390" s="1">
        <v>4828.5600000000004</v>
      </c>
    </row>
    <row r="10391" spans="1:4" x14ac:dyDescent="0.3">
      <c r="A10391" s="1" t="str">
        <f>"01005589800"</f>
        <v>01005589800</v>
      </c>
      <c r="B10391" s="1" t="str">
        <f>"RENNICK DOMINICA"</f>
        <v>RENNICK DOMINICA</v>
      </c>
      <c r="C10391" s="1" t="str">
        <f>"1233 FRANKLIN AVE 5FT 76 &amp; ALL 77 STEWART &amp; JONES"</f>
        <v>1233 FRANKLIN AVE 5FT 76 &amp; ALL 77 STEWART &amp; JONES</v>
      </c>
      <c r="D10391" s="1">
        <v>5204.01</v>
      </c>
    </row>
    <row r="10392" spans="1:4" x14ac:dyDescent="0.3">
      <c r="A10392" s="1" t="str">
        <f>"51525808500"</f>
        <v>51525808500</v>
      </c>
      <c r="B10392" s="1" t="str">
        <f>"RENO DOUGLAS, RENO KARA"</f>
        <v>RENO DOUGLAS, RENO KARA</v>
      </c>
      <c r="C10392" s="1" t="str">
        <f>"WAGGONER PARK CONDOMINIUM UNIT 8196"</f>
        <v>WAGGONER PARK CONDOMINIUM UNIT 8196</v>
      </c>
      <c r="D10392" s="1">
        <v>225</v>
      </c>
    </row>
    <row r="10393" spans="1:4" x14ac:dyDescent="0.3">
      <c r="A10393" s="1" t="str">
        <f>"05000633900"</f>
        <v>05000633900</v>
      </c>
      <c r="B10393" s="1" t="str">
        <f>"RENO JOSEPHINE LEE"</f>
        <v>RENO JOSEPHINE LEE</v>
      </c>
      <c r="C10393" s="1" t="str">
        <f>"DAYSPRING DR RIVER LANDINGS SEC 5 LOT 376"</f>
        <v>DAYSPRING DR RIVER LANDINGS SEC 5 LOT 376</v>
      </c>
      <c r="D10393" s="1">
        <v>346.03</v>
      </c>
    </row>
    <row r="10394" spans="1:4" x14ac:dyDescent="0.3">
      <c r="A10394" s="1" t="str">
        <f>"01009345300"</f>
        <v>01009345300</v>
      </c>
      <c r="B10394" s="1" t="str">
        <f>"RENSCH ROCHELLE B"</f>
        <v>RENSCH ROCHELLE B</v>
      </c>
      <c r="C10394" s="1" t="str">
        <f>"JAMES RD MAYFAIR LOT 118 &amp; RES D"</f>
        <v>JAMES RD MAYFAIR LOT 118 &amp; RES D</v>
      </c>
      <c r="D10394" s="1">
        <v>135.91</v>
      </c>
    </row>
    <row r="10395" spans="1:4" x14ac:dyDescent="0.3">
      <c r="A10395" s="1" t="str">
        <f>"01005482400"</f>
        <v>01005482400</v>
      </c>
      <c r="B10395" s="1" t="str">
        <f>"RENU HOME GROUPS LLC"</f>
        <v>RENU HOME GROUPS LLC</v>
      </c>
      <c r="C10395" s="1" t="str">
        <f>"912-914 WILSON AVE AUBURNDALE LOT 172"</f>
        <v>912-914 WILSON AVE AUBURNDALE LOT 172</v>
      </c>
      <c r="D10395" s="1">
        <v>1801.26</v>
      </c>
    </row>
    <row r="10396" spans="1:4" x14ac:dyDescent="0.3">
      <c r="A10396" s="1" t="str">
        <f>"01006125300"</f>
        <v>01006125300</v>
      </c>
      <c r="B10396" s="1" t="str">
        <f>"REPUBLIC &amp; ELDON LIMITED LIABILITY COMPANY"</f>
        <v>REPUBLIC &amp; ELDON LIMITED LIABILITY COMPANY</v>
      </c>
      <c r="C10396" s="1" t="str">
        <f>"1539-41 REPUBLIC AVE ST AUGUSTINE LOT 10"</f>
        <v>1539-41 REPUBLIC AVE ST AUGUSTINE LOT 10</v>
      </c>
      <c r="D10396" s="1">
        <v>3717.34</v>
      </c>
    </row>
    <row r="10397" spans="1:4" x14ac:dyDescent="0.3">
      <c r="A10397" s="1" t="str">
        <f>"61018256100"</f>
        <v>61018256100</v>
      </c>
      <c r="B10397" s="1" t="str">
        <f>"RES VENTURES DELTA LLC"</f>
        <v>RES VENTURES DELTA LLC</v>
      </c>
      <c r="C10397" s="1" t="str">
        <f>"DOUBLETREE AVE BUSCH CORPORATE CENT .493 ACRE"</f>
        <v>DOUBLETREE AVE BUSCH CORPORATE CENT .493 ACRE</v>
      </c>
      <c r="D10397" s="1">
        <v>21322.639999999999</v>
      </c>
    </row>
    <row r="10398" spans="1:4" x14ac:dyDescent="0.3">
      <c r="A10398" s="1" t="str">
        <f>"20000291500"</f>
        <v>20000291500</v>
      </c>
      <c r="B10398" s="1" t="str">
        <f>"RESCHKE FRANK E, RESCHKE CYNTHIA J"</f>
        <v>RESCHKE FRANK E, RESCHKE CYNTHIA J</v>
      </c>
      <c r="C10398" s="1" t="str">
        <f>"SUNNYBROOK DR REAR ANNA ROESSLER 10 "</f>
        <v xml:space="preserve">SUNNYBROOK DR REAR ANNA ROESSLER 10 </v>
      </c>
      <c r="D10398" s="1">
        <v>5100.0200000000004</v>
      </c>
    </row>
    <row r="10399" spans="1:4" x14ac:dyDescent="0.3">
      <c r="A10399" s="1" t="str">
        <f>"09000043500"</f>
        <v>09000043500</v>
      </c>
      <c r="B10399" s="1" t="str">
        <f>"RESOLUTE EQUITY LLC"</f>
        <v>RESOLUTE EQUITY LLC</v>
      </c>
      <c r="C10399" s="1" t="str">
        <f>"MAPLEWOOD AVE LOWRIE BROS NORTH1/2 LOT 69 "</f>
        <v xml:space="preserve">MAPLEWOOD AVE LOWRIE BROS NORTH1/2 LOT 69 </v>
      </c>
      <c r="D10399" s="1">
        <v>2976.06</v>
      </c>
    </row>
    <row r="10400" spans="1:4" x14ac:dyDescent="0.3">
      <c r="A10400" s="1" t="str">
        <f>"01012409700"</f>
        <v>01012409700</v>
      </c>
      <c r="B10400" s="1" t="str">
        <f>"RESOLUTE EQUITY LLC"</f>
        <v>RESOLUTE EQUITY LLC</v>
      </c>
      <c r="C10400" s="1" t="str">
        <f>"SHANLEY DR CLINTON ESTATES 4 LOT 41"</f>
        <v>SHANLEY DR CLINTON ESTATES 4 LOT 41</v>
      </c>
      <c r="D10400" s="1">
        <v>4077.89</v>
      </c>
    </row>
    <row r="10401" spans="1:4" x14ac:dyDescent="0.3">
      <c r="A10401" s="1" t="str">
        <f>"02500491100"</f>
        <v>02500491100</v>
      </c>
      <c r="B10401" s="1" t="str">
        <f>"RESSING TANYA J"</f>
        <v>RESSING TANYA J</v>
      </c>
      <c r="C10401" s="1" t="str">
        <f>"518 CLOTTS ROAD R16 T1 1/4T2 .287 AC LOT 4"</f>
        <v>518 CLOTTS ROAD R16 T1 1/4T2 .287 AC LOT 4</v>
      </c>
      <c r="D10401" s="1">
        <v>986.93</v>
      </c>
    </row>
    <row r="10402" spans="1:4" x14ac:dyDescent="0.3">
      <c r="A10402" s="1" t="str">
        <f>"01005293500"</f>
        <v>01005293500</v>
      </c>
      <c r="B10402" s="1" t="str">
        <f>"RESTORATION LIVING LLC"</f>
        <v>RESTORATION LIVING LLC</v>
      </c>
      <c r="C10402" s="1" t="str">
        <f>"343 SYCAMORE AVE SCHUMACHER LOT 6"</f>
        <v>343 SYCAMORE AVE SCHUMACHER LOT 6</v>
      </c>
      <c r="D10402" s="1">
        <v>272.97000000000003</v>
      </c>
    </row>
    <row r="10403" spans="1:4" x14ac:dyDescent="0.3">
      <c r="A10403" s="1" t="str">
        <f>"27300880800"</f>
        <v>27300880800</v>
      </c>
      <c r="B10403" s="1" t="str">
        <f>"RETTSTATT DOUGLAS W, RETTSTATT ABBY J"</f>
        <v>RETTSTATT DOUGLAS W, RETTSTATT ABBY J</v>
      </c>
      <c r="C10403" s="1" t="str">
        <f>"SUMMIT VIEW RD 1.250 ACRES "</f>
        <v xml:space="preserve">SUMMIT VIEW RD 1.250 ACRES </v>
      </c>
      <c r="D10403" s="1">
        <v>631.84</v>
      </c>
    </row>
    <row r="10404" spans="1:4" x14ac:dyDescent="0.3">
      <c r="A10404" s="1" t="str">
        <f>"01003373600"</f>
        <v>01003373600</v>
      </c>
      <c r="B10404" s="1" t="str">
        <f>"REVAH OHIO 2A LLC"</f>
        <v>REVAH OHIO 2A LLC</v>
      </c>
      <c r="C10404" s="1" t="str">
        <f>"1366-68 17TH AVE LOUIS HTS LOT 79"</f>
        <v>1366-68 17TH AVE LOUIS HTS LOT 79</v>
      </c>
      <c r="D10404" s="1">
        <v>533.22</v>
      </c>
    </row>
    <row r="10405" spans="1:4" x14ac:dyDescent="0.3">
      <c r="A10405" s="1" t="str">
        <f>"01007078600"</f>
        <v>01007078600</v>
      </c>
      <c r="B10405" s="1" t="str">
        <f>"REVAH OHIO 3 LLC"</f>
        <v>REVAH OHIO 3 LLC</v>
      </c>
      <c r="C10405" s="1" t="str">
        <f>"HUDSON ST MUL-BUR HEIGHTS LOT 18"</f>
        <v>HUDSON ST MUL-BUR HEIGHTS LOT 18</v>
      </c>
      <c r="D10405" s="1">
        <v>143.44</v>
      </c>
    </row>
    <row r="10406" spans="1:4" x14ac:dyDescent="0.3">
      <c r="A10406" s="1" t="str">
        <f>"01007483800"</f>
        <v>01007483800</v>
      </c>
      <c r="B10406" s="1" t="str">
        <f>"REVAH OHIO 3 LLC"</f>
        <v>REVAH OHIO 3 LLC</v>
      </c>
      <c r="C10406" s="1" t="str">
        <f>"HAMILTON AVE GRASMERE GARDENS LOT 72"</f>
        <v>HAMILTON AVE GRASMERE GARDENS LOT 72</v>
      </c>
      <c r="D10406" s="1">
        <v>86.42</v>
      </c>
    </row>
    <row r="10407" spans="1:4" x14ac:dyDescent="0.3">
      <c r="A10407" s="1" t="str">
        <f>"01003463300"</f>
        <v>01003463300</v>
      </c>
      <c r="B10407" s="1" t="str">
        <f>"REVAH OHIO 3 LLC"</f>
        <v>REVAH OHIO 3 LLC</v>
      </c>
      <c r="C10407" s="1" t="str">
        <f>"149 S WAYNE AVE BELLAIRE LOT 130-131"</f>
        <v>149 S WAYNE AVE BELLAIRE LOT 130-131</v>
      </c>
      <c r="D10407" s="1">
        <v>145.86000000000001</v>
      </c>
    </row>
    <row r="10408" spans="1:4" x14ac:dyDescent="0.3">
      <c r="A10408" s="1" t="str">
        <f>"01000815400"</f>
        <v>01000815400</v>
      </c>
      <c r="B10408" s="1" t="str">
        <f>"REVAH OHIO 3 LLC"</f>
        <v>REVAH OHIO 3 LLC</v>
      </c>
      <c r="C10408" s="1" t="str">
        <f>"53-5 N CHASE AVE HILLTOP LOT 96"</f>
        <v>53-5 N CHASE AVE HILLTOP LOT 96</v>
      </c>
      <c r="D10408" s="1">
        <v>162.6</v>
      </c>
    </row>
    <row r="10409" spans="1:4" x14ac:dyDescent="0.3">
      <c r="A10409" s="1" t="str">
        <f>"01003379900"</f>
        <v>01003379900</v>
      </c>
      <c r="B10409" s="1" t="str">
        <f>"REVAH OHIO 3 LLC"</f>
        <v>REVAH OHIO 3 LLC</v>
      </c>
      <c r="C10409" s="1" t="str">
        <f>"1675 CLEVELAND AVE LOUIS HTS PT LOT 301"</f>
        <v>1675 CLEVELAND AVE LOUIS HTS PT LOT 301</v>
      </c>
      <c r="D10409" s="1">
        <v>190.43</v>
      </c>
    </row>
    <row r="10410" spans="1:4" x14ac:dyDescent="0.3">
      <c r="A10410" s="1" t="str">
        <f>"01000446500"</f>
        <v>01000446500</v>
      </c>
      <c r="B10410" s="1" t="str">
        <f>"REVAH OHIO 3 LLC"</f>
        <v>REVAH OHIO 3 LLC</v>
      </c>
      <c r="C10410" s="1" t="str">
        <f>"345 S OGDEN AVE WICKLOW LOT 176"</f>
        <v>345 S OGDEN AVE WICKLOW LOT 176</v>
      </c>
      <c r="D10410" s="1">
        <v>75.41</v>
      </c>
    </row>
    <row r="10411" spans="1:4" x14ac:dyDescent="0.3">
      <c r="A10411" s="1" t="str">
        <f>"01003489700"</f>
        <v>01003489700</v>
      </c>
      <c r="B10411" s="1" t="str">
        <f>"REVAH OHIO 3 LLC"</f>
        <v>REVAH OHIO 3 LLC</v>
      </c>
      <c r="C10411" s="1" t="str">
        <f>"1475 HILDRETH AVE HILDRETH&amp;CHITTENDEN LOT 109"</f>
        <v>1475 HILDRETH AVE HILDRETH&amp;CHITTENDEN LOT 109</v>
      </c>
      <c r="D10411" s="1">
        <v>151.82</v>
      </c>
    </row>
    <row r="10412" spans="1:4" x14ac:dyDescent="0.3">
      <c r="A10412" s="1" t="str">
        <f>"01008775400"</f>
        <v>01008775400</v>
      </c>
      <c r="B10412" s="1" t="str">
        <f>"REVAH OHIO 3 LLC"</f>
        <v>REVAH OHIO 3 LLC</v>
      </c>
      <c r="C10412" s="1" t="str">
        <f>"MARTHA AVE MUNSON M POTTER LOT 8-14 INCL"</f>
        <v>MARTHA AVE MUNSON M POTTER LOT 8-14 INCL</v>
      </c>
      <c r="D10412" s="1">
        <v>911.06</v>
      </c>
    </row>
    <row r="10413" spans="1:4" x14ac:dyDescent="0.3">
      <c r="A10413" s="1" t="str">
        <f>"01007957100"</f>
        <v>01007957100</v>
      </c>
      <c r="B10413" s="1" t="str">
        <f>"REVAH OHIO 3 LLC"</f>
        <v>REVAH OHIO 3 LLC</v>
      </c>
      <c r="C10413" s="1" t="str">
        <f>"1320-2--23RD AVE CLEVEMONT LOT 69"</f>
        <v>1320-2--23RD AVE CLEVEMONT LOT 69</v>
      </c>
      <c r="D10413" s="1">
        <v>161.4</v>
      </c>
    </row>
    <row r="10414" spans="1:4" x14ac:dyDescent="0.3">
      <c r="A10414" s="1" t="str">
        <f>"01004695400"</f>
        <v>01004695400</v>
      </c>
      <c r="B10414" s="1" t="str">
        <f>"REVAH OHIO 3 LLC"</f>
        <v>REVAH OHIO 3 LLC</v>
      </c>
      <c r="C10414" s="1" t="str">
        <f>"OGDEN AVE WICKLOW 3RD LOT 875-6"</f>
        <v>OGDEN AVE WICKLOW 3RD LOT 875-6</v>
      </c>
      <c r="D10414" s="1">
        <v>69.209999999999994</v>
      </c>
    </row>
    <row r="10415" spans="1:4" x14ac:dyDescent="0.3">
      <c r="A10415" s="1" t="str">
        <f>"01001589300"</f>
        <v>01001589300</v>
      </c>
      <c r="B10415" s="1" t="str">
        <f>"REVAH OHIO 3 LLC"</f>
        <v>REVAH OHIO 3 LLC</v>
      </c>
      <c r="C10415" s="1" t="str">
        <f>"461-3 S WAYNE AVE BELLAIRE EX LOT 318"</f>
        <v>461-3 S WAYNE AVE BELLAIRE EX LOT 318</v>
      </c>
      <c r="D10415" s="1">
        <v>110.08</v>
      </c>
    </row>
    <row r="10416" spans="1:4" x14ac:dyDescent="0.3">
      <c r="A10416" s="1" t="str">
        <f>"01029796300"</f>
        <v>01029796300</v>
      </c>
      <c r="B10416" s="1" t="str">
        <f>"REVAH OHIO 3 LLC"</f>
        <v>REVAH OHIO 3 LLC</v>
      </c>
      <c r="C10416" s="1" t="str">
        <f>"SULLIVANT AVE PT MARTHA AVE 0.220 ACRE"</f>
        <v>SULLIVANT AVE PT MARTHA AVE 0.220 ACRE</v>
      </c>
      <c r="D10416" s="1">
        <v>13.27</v>
      </c>
    </row>
    <row r="10417" spans="1:4" x14ac:dyDescent="0.3">
      <c r="A10417" s="1" t="str">
        <f>"18000405800"</f>
        <v>18000405800</v>
      </c>
      <c r="B10417" s="1" t="str">
        <f>"REVEAL RONALD A, REVEAL PAMELA M"</f>
        <v>REVEAL RONALD A, REVEAL PAMELA M</v>
      </c>
      <c r="C10417" s="1" t="str">
        <f>"BENHAM DR BLACKLICK ESTATES 6 1289"</f>
        <v>BENHAM DR BLACKLICK ESTATES 6 1289</v>
      </c>
      <c r="D10417" s="1">
        <v>166.89</v>
      </c>
    </row>
    <row r="10418" spans="1:4" x14ac:dyDescent="0.3">
      <c r="A10418" s="1" t="str">
        <f>"01010885100"</f>
        <v>01010885100</v>
      </c>
      <c r="B10418" s="1" t="str">
        <f>"REVELS ALEASIA TTEE"</f>
        <v>REVELS ALEASIA TTEE</v>
      </c>
      <c r="C10418" s="1" t="str">
        <f>"DAWNLIGHT AVE ARLINGTONPKTRACT1 LOT 46"</f>
        <v>DAWNLIGHT AVE ARLINGTONPKTRACT1 LOT 46</v>
      </c>
      <c r="D10418" s="1">
        <v>1405.87</v>
      </c>
    </row>
    <row r="10419" spans="1:4" x14ac:dyDescent="0.3">
      <c r="A10419" s="1" t="str">
        <f>"01011693400"</f>
        <v>01011693400</v>
      </c>
      <c r="B10419" s="1" t="str">
        <f>"REXROAD ZELPHA C"</f>
        <v>REXROAD ZELPHA C</v>
      </c>
      <c r="C10419" s="1" t="str">
        <f>"CANIFF RD CRANFORD LOT 21"</f>
        <v>CANIFF RD CRANFORD LOT 21</v>
      </c>
      <c r="D10419" s="1">
        <v>170.98</v>
      </c>
    </row>
    <row r="10420" spans="1:4" x14ac:dyDescent="0.3">
      <c r="A10420" s="1" t="str">
        <f>"01003771400"</f>
        <v>01003771400</v>
      </c>
      <c r="B10420" s="1" t="str">
        <f>"REY MARTINEZ JOSE LUIS"</f>
        <v>REY MARTINEZ JOSE LUIS</v>
      </c>
      <c r="C10420" s="1" t="str">
        <f>"403 S WAYNE AVE BELLAIRE EXT LOT 305"</f>
        <v>403 S WAYNE AVE BELLAIRE EXT LOT 305</v>
      </c>
      <c r="D10420" s="1">
        <v>1326.87</v>
      </c>
    </row>
    <row r="10421" spans="1:4" x14ac:dyDescent="0.3">
      <c r="A10421" s="1" t="str">
        <f>"01000461600"</f>
        <v>01000461600</v>
      </c>
      <c r="B10421" s="1" t="str">
        <f>"REY MARTINEZ JOSE LUIS"</f>
        <v>REY MARTINEZ JOSE LUIS</v>
      </c>
      <c r="C10421" s="1" t="str">
        <f>"S WAYNE AVE BELLAIRE EX LOT 303"</f>
        <v>S WAYNE AVE BELLAIRE EX LOT 303</v>
      </c>
      <c r="D10421" s="1">
        <v>135.52000000000001</v>
      </c>
    </row>
    <row r="10422" spans="1:4" x14ac:dyDescent="0.3">
      <c r="A10422" s="1" t="str">
        <f>"01000462200"</f>
        <v>01000462200</v>
      </c>
      <c r="B10422" s="1" t="str">
        <f>"REY MARTINEZ JOSE LUIS"</f>
        <v>REY MARTINEZ JOSE LUIS</v>
      </c>
      <c r="C10422" s="1" t="str">
        <f>"WAYNE AVE BELLAIRE EXTENSION LOT 304"</f>
        <v>WAYNE AVE BELLAIRE EXTENSION LOT 304</v>
      </c>
      <c r="D10422" s="1">
        <v>135.52000000000001</v>
      </c>
    </row>
    <row r="10423" spans="1:4" x14ac:dyDescent="0.3">
      <c r="A10423" s="1" t="str">
        <f>"24000144500"</f>
        <v>24000144500</v>
      </c>
      <c r="B10423" s="1" t="str">
        <f>"REY MARTINEZ JOSE LUIS"</f>
        <v>REY MARTINEZ JOSE LUIS</v>
      </c>
      <c r="C10423" s="1" t="str">
        <f>"EMMET AVE 577 L 409 EX 49.71X68.62FT SW COR W COLUMBUS PK409"</f>
        <v>EMMET AVE 577 L 409 EX 49.71X68.62FT SW COR W COLUMBUS PK409</v>
      </c>
      <c r="D10423" s="1">
        <v>636.75</v>
      </c>
    </row>
    <row r="10424" spans="1:4" x14ac:dyDescent="0.3">
      <c r="A10424" s="1" t="str">
        <f>"24000144600"</f>
        <v>24000144600</v>
      </c>
      <c r="B10424" s="1" t="str">
        <f>"REY MARTINEZ JOSE LUIS"</f>
        <v>REY MARTINEZ JOSE LUIS</v>
      </c>
      <c r="C10424" s="1" t="str">
        <f>"EMMIT AVE WEST COLUMBUS PARK 410"</f>
        <v>EMMIT AVE WEST COLUMBUS PARK 410</v>
      </c>
      <c r="D10424" s="1">
        <v>202.87</v>
      </c>
    </row>
    <row r="10425" spans="1:4" x14ac:dyDescent="0.3">
      <c r="A10425" s="1" t="str">
        <f>"01011988100"</f>
        <v>01011988100</v>
      </c>
      <c r="B10425" s="1" t="str">
        <f>"REYES EDGAR, REYES SONIA"</f>
        <v>REYES EDGAR, REYES SONIA</v>
      </c>
      <c r="C10425" s="1" t="str">
        <f>"STRIEBEL RD BERWICK MANOR 3 LOT 43"</f>
        <v>STRIEBEL RD BERWICK MANOR 3 LOT 43</v>
      </c>
      <c r="D10425" s="1">
        <v>2364.4699999999998</v>
      </c>
    </row>
    <row r="10426" spans="1:4" x14ac:dyDescent="0.3">
      <c r="A10426" s="1" t="str">
        <f>"01003492600"</f>
        <v>01003492600</v>
      </c>
      <c r="B10426" s="1" t="str">
        <f>"REYES ORLANDO, REYES GABRIELA"</f>
        <v>REYES ORLANDO, REYES GABRIELA</v>
      </c>
      <c r="C10426" s="1" t="str">
        <f>"1680 PARSONS AVE 30X140FT PARCEL L B TUSSING"</f>
        <v>1680 PARSONS AVE 30X140FT PARCEL L B TUSSING</v>
      </c>
      <c r="D10426" s="1">
        <v>504.58</v>
      </c>
    </row>
    <row r="10427" spans="1:4" x14ac:dyDescent="0.3">
      <c r="A10427" s="1" t="str">
        <f>"01003011300"</f>
        <v>01003011300</v>
      </c>
      <c r="B10427" s="1" t="str">
        <f>"REYES ORLANDO, REYES GABRIELA"</f>
        <v>REYES ORLANDO, REYES GABRIELA</v>
      </c>
      <c r="C10427" s="1" t="str">
        <f>"165 S DAKOTA AVE WEST PARK LOT 272"</f>
        <v>165 S DAKOTA AVE WEST PARK LOT 272</v>
      </c>
      <c r="D10427" s="1">
        <v>2288.71</v>
      </c>
    </row>
    <row r="10428" spans="1:4" x14ac:dyDescent="0.3">
      <c r="A10428" s="1" t="str">
        <f>"24000482600"</f>
        <v>24000482600</v>
      </c>
      <c r="B10428" s="1" t="str">
        <f>"REYES SUSANA MARTINEZ"</f>
        <v>REYES SUSANA MARTINEZ</v>
      </c>
      <c r="C10428" s="1" t="str">
        <f>"501 DAYTONA RD ACRES .19 LINCOLN VILLAGE SOUTH RES A"</f>
        <v>501 DAYTONA RD ACRES .19 LINCOLN VILLAGE SOUTH RES A</v>
      </c>
      <c r="D10428" s="1">
        <v>1760.93</v>
      </c>
    </row>
    <row r="10429" spans="1:4" x14ac:dyDescent="0.3">
      <c r="A10429" s="1" t="str">
        <f>"57015414400"</f>
        <v>57015414400</v>
      </c>
      <c r="B10429" s="1" t="str">
        <f>"REYNOLDS BRENDA J"</f>
        <v>REYNOLDS BRENDA J</v>
      </c>
      <c r="C10429" s="1" t="str">
        <f>"RIPPLE BROOK RD RIVER BEND SEC 4 LOT 561"</f>
        <v>RIPPLE BROOK RD RIVER BEND SEC 4 LOT 561</v>
      </c>
      <c r="D10429" s="1">
        <v>926.57</v>
      </c>
    </row>
    <row r="10430" spans="1:4" x14ac:dyDescent="0.3">
      <c r="A10430" s="1" t="str">
        <f>"10000386000"</f>
        <v>10000386000</v>
      </c>
      <c r="B10430" s="1" t="str">
        <f>"REYNOLDS CARL E"</f>
        <v>REYNOLDS CARL E</v>
      </c>
      <c r="C10430" s="1" t="str">
        <f>"384 CAREN AVE LOT 10 BLK T WORTHINGTON ESTS"</f>
        <v>384 CAREN AVE LOT 10 BLK T WORTHINGTON ESTS</v>
      </c>
      <c r="D10430" s="1">
        <v>449.4</v>
      </c>
    </row>
    <row r="10431" spans="1:4" x14ac:dyDescent="0.3">
      <c r="A10431" s="1" t="str">
        <f>"04001316000"</f>
        <v>04001316000</v>
      </c>
      <c r="B10431" s="1" t="str">
        <f>"REYNOLDS DUANE E, REYNOLDS ALICIA M"</f>
        <v>REYNOLDS DUANE E, REYNOLDS ALICIA M</v>
      </c>
      <c r="C10431" s="1" t="str">
        <f>"4689 TAYPORT AVENUE CREEKSIDE SECTION 5 LOT 214"</f>
        <v>4689 TAYPORT AVENUE CREEKSIDE SECTION 5 LOT 214</v>
      </c>
      <c r="D10431" s="1">
        <v>679.11</v>
      </c>
    </row>
    <row r="10432" spans="1:4" x14ac:dyDescent="0.3">
      <c r="A10432" s="1" t="str">
        <f>"60021681400"</f>
        <v>60021681400</v>
      </c>
      <c r="B10432" s="1" t="str">
        <f>"REYNOLDS FAMILY PARTNERSHIP"</f>
        <v>REYNOLDS FAMILY PARTNERSHIP</v>
      </c>
      <c r="C10432" s="1" t="str">
        <f>"MORSE ROAD                R17 T1 1/4T2              5.325 ACRES              "</f>
        <v xml:space="preserve">MORSE ROAD                R17 T1 1/4T2              5.325 ACRES              </v>
      </c>
      <c r="D10432" s="1">
        <v>533.54</v>
      </c>
    </row>
    <row r="10433" spans="1:4" x14ac:dyDescent="0.3">
      <c r="A10433" s="1" t="str">
        <f>"01009749500"</f>
        <v>01009749500</v>
      </c>
      <c r="B10433" s="1" t="str">
        <f>"REYNOLDS LAURA E TOD"</f>
        <v>REYNOLDS LAURA E TOD</v>
      </c>
      <c r="C10433" s="1" t="str">
        <f>"ZEBULON AVE KINGSWOOD ESTATES LOT 139"</f>
        <v>ZEBULON AVE KINGSWOOD ESTATES LOT 139</v>
      </c>
      <c r="D10433" s="1">
        <v>379.04</v>
      </c>
    </row>
    <row r="10434" spans="1:4" x14ac:dyDescent="0.3">
      <c r="A10434" s="1" t="str">
        <f>"24000028300"</f>
        <v>24000028300</v>
      </c>
      <c r="B10434" s="1" t="str">
        <f>"REYNOLDS NANCY J"</f>
        <v>REYNOLDS NANCY J</v>
      </c>
      <c r="C10434" s="1" t="str">
        <f>"GALLOWAY ROAD OQ 1000 ENTRY 1474 1.541 ACRES"</f>
        <v>GALLOWAY ROAD OQ 1000 ENTRY 1474 1.541 ACRES</v>
      </c>
      <c r="D10434" s="1">
        <v>178.62</v>
      </c>
    </row>
    <row r="10435" spans="1:4" x14ac:dyDescent="0.3">
      <c r="A10435" s="1" t="str">
        <f>"08000826400"</f>
        <v>08000826400</v>
      </c>
      <c r="B10435" s="1" t="str">
        <f>"REYNOLDS RYAN ELIZABETH"</f>
        <v>REYNOLDS RYAN ELIZABETH</v>
      </c>
      <c r="C10435" s="1" t="str">
        <f>"266 GURGUN LN SPRING HOLLOW VILL 2 LOT 90"</f>
        <v>266 GURGUN LN SPRING HOLLOW VILL 2 LOT 90</v>
      </c>
      <c r="D10435" s="1">
        <v>3756.87</v>
      </c>
    </row>
    <row r="10436" spans="1:4" x14ac:dyDescent="0.3">
      <c r="A10436" s="1" t="str">
        <f>"01003441900"</f>
        <v>01003441900</v>
      </c>
      <c r="B10436" s="1" t="str">
        <f>"REYNOLDS VANCE K"</f>
        <v>REYNOLDS VANCE K</v>
      </c>
      <c r="C10436" s="1" t="str">
        <f>"1231-3-5 COLUMBUS ST STUDER AMD LOT 217-218"</f>
        <v>1231-3-5 COLUMBUS ST STUDER AMD LOT 217-218</v>
      </c>
      <c r="D10436" s="1">
        <v>3059.77</v>
      </c>
    </row>
    <row r="10437" spans="1:4" x14ac:dyDescent="0.3">
      <c r="A10437" s="1" t="str">
        <f>"02500533400"</f>
        <v>02500533400</v>
      </c>
      <c r="B10437" s="1" t="str">
        <f>"REYNOLDS WILLIAM E, REYNOLDS KIMBERLY J"</f>
        <v>REYNOLDS WILLIAM E, REYNOLDS KIMBERLY J</v>
      </c>
      <c r="C10437" s="1" t="str">
        <f>"758 HARDTACK COURT SARATOGA ESTATES S 2 LOT 204"</f>
        <v>758 HARDTACK COURT SARATOGA ESTATES S 2 LOT 204</v>
      </c>
      <c r="D10437" s="1">
        <v>3788.04</v>
      </c>
    </row>
    <row r="10438" spans="1:4" x14ac:dyDescent="0.3">
      <c r="A10438" s="1" t="str">
        <f>"51525605300"</f>
        <v>51525605300</v>
      </c>
      <c r="B10438" s="1" t="str">
        <f>"REZA HASAN"</f>
        <v>REZA HASAN</v>
      </c>
      <c r="C10438" s="1" t="str">
        <f>"PAYNE LOOP WAGGONER CHASE SECTION 2 PART 2 LOT 241"</f>
        <v>PAYNE LOOP WAGGONER CHASE SECTION 2 PART 2 LOT 241</v>
      </c>
      <c r="D10438" s="1">
        <v>2906.72</v>
      </c>
    </row>
    <row r="10439" spans="1:4" x14ac:dyDescent="0.3">
      <c r="A10439" s="1" t="str">
        <f>"59010451400"</f>
        <v>59010451400</v>
      </c>
      <c r="B10439" s="1" t="str">
        <f>"RFAM 2539BG PROPERTIES LLC"</f>
        <v>RFAM 2539BG PROPERTIES LLC</v>
      </c>
      <c r="C10439" s="1" t="str">
        <f>"2539 BILLINGSLEY RD R19 T2 1/4T1 9.8352 ACRES"</f>
        <v>2539 BILLINGSLEY RD R19 T2 1/4T1 9.8352 ACRES</v>
      </c>
      <c r="D10439" s="1">
        <v>15684.61</v>
      </c>
    </row>
    <row r="10440" spans="1:4" x14ac:dyDescent="0.3">
      <c r="A10440" s="1" t="str">
        <f>"01011155200"</f>
        <v>01011155200</v>
      </c>
      <c r="B10440" s="1" t="str">
        <f>"RHGH INVESTMENTS LLC"</f>
        <v>RHGH INVESTMENTS LLC</v>
      </c>
      <c r="C10440" s="1" t="str">
        <f>"LOCKBOURNE &amp; WILLIAM S RD R 22 T 4S 15 4.761"</f>
        <v>LOCKBOURNE &amp; WILLIAM S RD R 22 T 4S 15 4.761</v>
      </c>
      <c r="D10440" s="1">
        <v>2560.9699999999998</v>
      </c>
    </row>
    <row r="10441" spans="1:4" x14ac:dyDescent="0.3">
      <c r="A10441" s="1" t="str">
        <f>"15000026400"</f>
        <v>15000026400</v>
      </c>
      <c r="B10441" s="1" t="str">
        <f>"RHGH INVESTMENTS LLC"</f>
        <v>RHGH INVESTMENTS LLC</v>
      </c>
      <c r="C10441" s="1" t="str">
        <f>"PARSONS AVE REAR 2.726 ACRES R22 T4 S15"</f>
        <v>PARSONS AVE REAR 2.726 ACRES R22 T4 S15</v>
      </c>
      <c r="D10441" s="1">
        <v>1259.3900000000001</v>
      </c>
    </row>
    <row r="10442" spans="1:4" x14ac:dyDescent="0.3">
      <c r="A10442" s="1" t="str">
        <f>"06000824700"</f>
        <v>06000824700</v>
      </c>
      <c r="B10442" s="1" t="str">
        <f>"RHOADS LENORA V TTEE, RHOADS THOMAS E TTEE"</f>
        <v>RHOADS LENORA V TTEE, RHOADS THOMAS E TTEE</v>
      </c>
      <c r="C10442" s="1" t="str">
        <f>"FARMINGTON MEADOWS CONDOMINIUM 3RD AMD BLDG 10 UNIT 7799"</f>
        <v>FARMINGTON MEADOWS CONDOMINIUM 3RD AMD BLDG 10 UNIT 7799</v>
      </c>
      <c r="D10442" s="1">
        <v>188.41</v>
      </c>
    </row>
    <row r="10443" spans="1:4" x14ac:dyDescent="0.3">
      <c r="A10443" s="1" t="str">
        <f>"01020250000"</f>
        <v>01020250000</v>
      </c>
      <c r="B10443" s="1" t="str">
        <f>"RHOADS SAMUEL"</f>
        <v>RHOADS SAMUEL</v>
      </c>
      <c r="C10443" s="1" t="str">
        <f>"LANE ON THE LAKE SHADOW LAKES CONDO BLDG 13 UNIT 1300"</f>
        <v>LANE ON THE LAKE SHADOW LAKES CONDO BLDG 13 UNIT 1300</v>
      </c>
      <c r="D10443" s="1">
        <v>2793.78</v>
      </c>
    </row>
    <row r="10444" spans="1:4" x14ac:dyDescent="0.3">
      <c r="A10444" s="1" t="str">
        <f>"57016646900"</f>
        <v>57016646900</v>
      </c>
      <c r="B10444" s="1" t="str">
        <f>"RHODES CAROLYN J"</f>
        <v>RHODES CAROLYN J</v>
      </c>
      <c r="C10444" s="1" t="str">
        <f>"WESTBURY VILLAGE CONDOMINIUM NO 2 UNIT 18-A"</f>
        <v>WESTBURY VILLAGE CONDOMINIUM NO 2 UNIT 18-A</v>
      </c>
      <c r="D10444" s="1">
        <v>935.67</v>
      </c>
    </row>
    <row r="10445" spans="1:4" x14ac:dyDescent="0.3">
      <c r="A10445" s="1" t="str">
        <f>"01014567300"</f>
        <v>01014567300</v>
      </c>
      <c r="B10445" s="1" t="str">
        <f>"RHODES ROBERT E II"</f>
        <v>RHODES ROBERT E II</v>
      </c>
      <c r="C10445" s="1" t="str">
        <f>"HAYES PARCEL 2 LOT 6 "</f>
        <v xml:space="preserve">HAYES PARCEL 2 LOT 6 </v>
      </c>
      <c r="D10445" s="1">
        <v>4216.26</v>
      </c>
    </row>
    <row r="10446" spans="1:4" x14ac:dyDescent="0.3">
      <c r="A10446" s="1" t="str">
        <f>"19000154200"</f>
        <v>19000154200</v>
      </c>
      <c r="B10446" s="1" t="str">
        <f>"RHODES SHIRLEY A, RHODES ROGER L"</f>
        <v>RHODES SHIRLEY A, RHODES ROGER L</v>
      </c>
      <c r="C10446" s="1" t="str">
        <f>"RANKIN AVE GREENDALE PLACE 188 "</f>
        <v xml:space="preserve">RANKIN AVE GREENDALE PLACE 188 </v>
      </c>
      <c r="D10446" s="1">
        <v>980.17</v>
      </c>
    </row>
    <row r="10447" spans="1:4" x14ac:dyDescent="0.3">
      <c r="A10447" s="1" t="str">
        <f>"01029978700"</f>
        <v>01029978700</v>
      </c>
      <c r="B10447" s="1" t="str">
        <f>"RHODES STEVEN"</f>
        <v>RHODES STEVEN</v>
      </c>
      <c r="C10447" s="1" t="str">
        <f>"W NORTH BROADWAY NORTH BROADWAY EXT 150' SE LOT 39"</f>
        <v>W NORTH BROADWAY NORTH BROADWAY EXT 150' SE LOT 39</v>
      </c>
      <c r="D10447" s="1">
        <v>297.68</v>
      </c>
    </row>
    <row r="10448" spans="1:4" x14ac:dyDescent="0.3">
      <c r="A10448" s="1" t="str">
        <f>"56022559500"</f>
        <v>56022559500</v>
      </c>
      <c r="B10448" s="1" t="str">
        <f>"RIBBLE KEVIN R, RIBBLE BRENDA K"</f>
        <v>RIBBLE KEVIN R, RIBBLE BRENDA K</v>
      </c>
      <c r="C10448" s="1" t="str">
        <f>"THORNAPPLE GROVE SECTION 1 PART 1 LOT 22"</f>
        <v>THORNAPPLE GROVE SECTION 1 PART 1 LOT 22</v>
      </c>
      <c r="D10448" s="1">
        <v>3500</v>
      </c>
    </row>
    <row r="10449" spans="1:4" x14ac:dyDescent="0.3">
      <c r="A10449" s="1" t="str">
        <f>"10000286700"</f>
        <v>10000286700</v>
      </c>
      <c r="B10449" s="1" t="str">
        <f>"RIBLET KATHRYN J"</f>
        <v>RIBLET KATHRYN J</v>
      </c>
      <c r="C10449" s="1" t="str">
        <f>"235 E SANBRIDGE CR KILBOURNE VILLAGE LOT 59"</f>
        <v>235 E SANBRIDGE CR KILBOURNE VILLAGE LOT 59</v>
      </c>
      <c r="D10449" s="1">
        <v>4965.75</v>
      </c>
    </row>
    <row r="10450" spans="1:4" x14ac:dyDescent="0.3">
      <c r="A10450" s="1" t="str">
        <f>"21300078100"</f>
        <v>21300078100</v>
      </c>
      <c r="B10450" s="1" t="str">
        <f>"RIBLET KATHRYN J"</f>
        <v>RIBLET KATHRYN J</v>
      </c>
      <c r="C10450" s="1" t="str">
        <f>"MCVEY BLVD WEST BROOKSIDE ESTATES 4 LOT 94"</f>
        <v>MCVEY BLVD WEST BROOKSIDE ESTATES 4 LOT 94</v>
      </c>
      <c r="D10450" s="1">
        <v>5838.88</v>
      </c>
    </row>
    <row r="10451" spans="1:4" x14ac:dyDescent="0.3">
      <c r="A10451" s="1" t="str">
        <f>"08000431800"</f>
        <v>08000431800</v>
      </c>
      <c r="B10451" s="1" t="str">
        <f>"RICCOBONO PROPERTIES LLC"</f>
        <v>RICCOBONO PROPERTIES LLC</v>
      </c>
      <c r="C10451" s="1" t="str">
        <f>"BOMBAY AVE HERBERT C HUBER PLAT NO 49 SEC 5 LOT 2263"</f>
        <v>BOMBAY AVE HERBERT C HUBER PLAT NO 49 SEC 5 LOT 2263</v>
      </c>
      <c r="D10451" s="1">
        <v>2515.89</v>
      </c>
    </row>
    <row r="10452" spans="1:4" x14ac:dyDescent="0.3">
      <c r="A10452" s="1" t="str">
        <f>"08000423500"</f>
        <v>08000423500</v>
      </c>
      <c r="B10452" s="1" t="str">
        <f>"RICE GARY L, RICE ADELAIDE F"</f>
        <v>RICE GARY L, RICE ADELAIDE F</v>
      </c>
      <c r="C10452" s="1" t="str">
        <f>"BELPRE PLACE EAST ANNEHURST VILLAGE NO 7 LOT 381"</f>
        <v>BELPRE PLACE EAST ANNEHURST VILLAGE NO 7 LOT 381</v>
      </c>
      <c r="D10452" s="1">
        <v>630.33000000000004</v>
      </c>
    </row>
    <row r="10453" spans="1:4" x14ac:dyDescent="0.3">
      <c r="A10453" s="1" t="str">
        <f>"14100012000"</f>
        <v>14100012000</v>
      </c>
      <c r="B10453" s="1" t="str">
        <f>"RICE GARY R, RR"</f>
        <v>RICE GARY R, RR</v>
      </c>
      <c r="C10453" s="1" t="str">
        <f>"EUREKA AVE PROSPECT PK LOT 31"</f>
        <v>EUREKA AVE PROSPECT PK LOT 31</v>
      </c>
      <c r="D10453" s="1">
        <v>138.91</v>
      </c>
    </row>
    <row r="10454" spans="1:4" x14ac:dyDescent="0.3">
      <c r="A10454" s="1" t="str">
        <f>"01006378400"</f>
        <v>01006378400</v>
      </c>
      <c r="B10454" s="1" t="str">
        <f>"RICE LARRY E, LAWSON ROSETTA"</f>
        <v>RICE LARRY E, LAWSON ROSETTA</v>
      </c>
      <c r="C10454" s="1" t="str">
        <f>"442 ELDRIDGE AVE WOODLAND AVE LOT 32"</f>
        <v>442 ELDRIDGE AVE WOODLAND AVE LOT 32</v>
      </c>
      <c r="D10454" s="1">
        <v>209.9</v>
      </c>
    </row>
    <row r="10455" spans="1:4" x14ac:dyDescent="0.3">
      <c r="A10455" s="1" t="str">
        <f>"04000898100"</f>
        <v>04000898100</v>
      </c>
      <c r="B10455" s="1" t="str">
        <f>"RICE MARTHA"</f>
        <v>RICE MARTHA</v>
      </c>
      <c r="C10455" s="1" t="str">
        <f>"CHRISTINA VILLAS CONDOMINIUM 3RD AMD UNIT 2513"</f>
        <v>CHRISTINA VILLAS CONDOMINIUM 3RD AMD UNIT 2513</v>
      </c>
      <c r="D10455" s="1">
        <v>224.9</v>
      </c>
    </row>
    <row r="10456" spans="1:4" x14ac:dyDescent="0.3">
      <c r="A10456" s="1" t="str">
        <f>"57022079400"</f>
        <v>57022079400</v>
      </c>
      <c r="B10456" s="1" t="str">
        <f>"RICH FREDERIC S"</f>
        <v>RICH FREDERIC S</v>
      </c>
      <c r="C10456" s="1" t="str">
        <f>"CLEARVIEW MEADOWS SECTION 1 LOT 27"</f>
        <v>CLEARVIEW MEADOWS SECTION 1 LOT 27</v>
      </c>
      <c r="D10456" s="1">
        <v>1436.56</v>
      </c>
    </row>
    <row r="10457" spans="1:4" x14ac:dyDescent="0.3">
      <c r="A10457" s="1" t="str">
        <f>"17000327600"</f>
        <v>17000327600</v>
      </c>
      <c r="B10457" s="1" t="str">
        <f>"RICH JON J, RICH AMY C"</f>
        <v>RICH JON J, RICH AMY C</v>
      </c>
      <c r="C10457" s="1" t="str">
        <f>"BLACKLICK VIEW DRIVE WILLOW BROOK CROSSING PART 3 LOT 219"</f>
        <v>BLACKLICK VIEW DRIVE WILLOW BROOK CROSSING PART 3 LOT 219</v>
      </c>
      <c r="D10457" s="1">
        <v>702.39</v>
      </c>
    </row>
    <row r="10458" spans="1:4" x14ac:dyDescent="0.3">
      <c r="A10458" s="1" t="str">
        <f>"01006961500"</f>
        <v>01006961500</v>
      </c>
      <c r="B10458" s="1" t="str">
        <f>"RICH WILLIAM H, RICH TERESA A"</f>
        <v>RICH WILLIAM H, RICH TERESA A</v>
      </c>
      <c r="C10458" s="1" t="str">
        <f>"2016 ABERDEEN AVE E LINDEN PK PL BURWELLS SUB 4"</f>
        <v>2016 ABERDEEN AVE E LINDEN PK PL BURWELLS SUB 4</v>
      </c>
      <c r="D10458" s="1">
        <v>78.010000000000005</v>
      </c>
    </row>
    <row r="10459" spans="1:4" x14ac:dyDescent="0.3">
      <c r="A10459" s="1" t="str">
        <f>"01012643900"</f>
        <v>01012643900</v>
      </c>
      <c r="B10459" s="1" t="str">
        <f>"RICHARD SHANE"</f>
        <v>RICHARD SHANE</v>
      </c>
      <c r="C10459" s="1" t="str">
        <f>"12TH AVE LEA CREST LOT 50"</f>
        <v>12TH AVE LEA CREST LOT 50</v>
      </c>
      <c r="D10459" s="1">
        <v>289.91000000000003</v>
      </c>
    </row>
    <row r="10460" spans="1:4" x14ac:dyDescent="0.3">
      <c r="A10460" s="1" t="str">
        <f>"01013839100"</f>
        <v>01013839100</v>
      </c>
      <c r="B10460" s="1" t="str">
        <f>"RICHARDS DEDRA"</f>
        <v>RICHARDS DEDRA</v>
      </c>
      <c r="C10460" s="1" t="str">
        <f>"GAYLORD PLC GLENBROOK SEC 2 LOT 307"</f>
        <v>GAYLORD PLC GLENBROOK SEC 2 LOT 307</v>
      </c>
      <c r="D10460" s="1">
        <v>133.16</v>
      </c>
    </row>
    <row r="10461" spans="1:4" x14ac:dyDescent="0.3">
      <c r="A10461" s="1" t="str">
        <f>"16100051100"</f>
        <v>16100051100</v>
      </c>
      <c r="B10461" s="1" t="str">
        <f>"RICHARDS ELIZABETH GRACE, RICHARDS ARTHUR ALEXANDER"</f>
        <v>RICHARDS ELIZABETH GRACE, RICHARDS ARTHUR ALEXANDER</v>
      </c>
      <c r="C10461" s="1" t="str">
        <f>"3RD AVE URBANCREST ADD. LOT 43 BLK 12"</f>
        <v>3RD AVE URBANCREST ADD. LOT 43 BLK 12</v>
      </c>
      <c r="D10461" s="1">
        <v>62.35</v>
      </c>
    </row>
    <row r="10462" spans="1:4" x14ac:dyDescent="0.3">
      <c r="A10462" s="1" t="str">
        <f>"08000438300"</f>
        <v>08000438300</v>
      </c>
      <c r="B10462" s="1" t="str">
        <f>"RICHARDS ROGER T, RICHARDS KAREN M"</f>
        <v>RICHARDS ROGER T, RICHARDS KAREN M</v>
      </c>
      <c r="C10462" s="1" t="str">
        <f>"PATTIE DRIVE HILLCREST NO 2 SECII LOT 75"</f>
        <v>PATTIE DRIVE HILLCREST NO 2 SECII LOT 75</v>
      </c>
      <c r="D10462" s="1">
        <v>3850.97</v>
      </c>
    </row>
    <row r="10463" spans="1:4" x14ac:dyDescent="0.3">
      <c r="A10463" s="1" t="str">
        <f>"59028180400"</f>
        <v>59028180400</v>
      </c>
      <c r="B10463" s="1" t="str">
        <f>"RICHARDS RONALD, RICHARDS MARDANA"</f>
        <v>RICHARDS RONALD, RICHARDS MARDANA</v>
      </c>
      <c r="C10463" s="1" t="str">
        <f>"GREYSTONE MANOR CONDOMINIUM UNIT SA5353-A"</f>
        <v>GREYSTONE MANOR CONDOMINIUM UNIT SA5353-A</v>
      </c>
      <c r="D10463" s="1">
        <v>3237.72</v>
      </c>
    </row>
    <row r="10464" spans="1:4" x14ac:dyDescent="0.3">
      <c r="A10464" s="1" t="str">
        <f>"18400146200"</f>
        <v>18400146200</v>
      </c>
      <c r="B10464" s="1" t="str">
        <f>"RICHARDS THOMAS N TR"</f>
        <v>RICHARDS THOMAS N TR</v>
      </c>
      <c r="C10464" s="1" t="str">
        <f>"THE VILLAGES AT WESTCHESTER SEC1 PH2 LOT 84"</f>
        <v>THE VILLAGES AT WESTCHESTER SEC1 PH2 LOT 84</v>
      </c>
      <c r="D10464" s="1">
        <v>357.09</v>
      </c>
    </row>
    <row r="10465" spans="1:4" x14ac:dyDescent="0.3">
      <c r="A10465" s="1" t="str">
        <f>"01007192800"</f>
        <v>01007192800</v>
      </c>
      <c r="B10465" s="1" t="str">
        <f>"RICHARDSON BRENT A"</f>
        <v>RICHARDSON BRENT A</v>
      </c>
      <c r="C10465" s="1" t="str">
        <f>"13826 HIGH ST DOMINION PK LOT 20-21"</f>
        <v>13826 HIGH ST DOMINION PK LOT 20-21</v>
      </c>
      <c r="D10465" s="1">
        <v>8514.85</v>
      </c>
    </row>
    <row r="10466" spans="1:4" x14ac:dyDescent="0.3">
      <c r="A10466" s="1" t="str">
        <f>"18400192400"</f>
        <v>18400192400</v>
      </c>
      <c r="B10466" s="1" t="str">
        <f>"RICHARDSON DEBORAH A"</f>
        <v>RICHARDSON DEBORAH A</v>
      </c>
      <c r="C10466" s="1" t="str">
        <f>"THE VILLAGES AT WESTCHESTER SEC 3 LOT 284"</f>
        <v>THE VILLAGES AT WESTCHESTER SEC 3 LOT 284</v>
      </c>
      <c r="D10466" s="1">
        <v>249.73</v>
      </c>
    </row>
    <row r="10467" spans="1:4" x14ac:dyDescent="0.3">
      <c r="A10467" s="1" t="str">
        <f>"24000634400"</f>
        <v>24000634400</v>
      </c>
      <c r="B10467" s="1" t="str">
        <f>"RICHARDSON DIONNA R"</f>
        <v>RICHARDSON DIONNA R</v>
      </c>
      <c r="C10467" s="1" t="str">
        <f>"DARBY CT RESUB LK DARBY EST 4 LOT 1675"</f>
        <v>DARBY CT RESUB LK DARBY EST 4 LOT 1675</v>
      </c>
      <c r="D10467" s="1">
        <v>3000</v>
      </c>
    </row>
    <row r="10468" spans="1:4" x14ac:dyDescent="0.3">
      <c r="A10468" s="1" t="str">
        <f>"52027242900"</f>
        <v>52027242900</v>
      </c>
      <c r="B10468" s="1" t="str">
        <f>"RICHARDSON ELAINE B"</f>
        <v>RICHARDSON ELAINE B</v>
      </c>
      <c r="C10468" s="1" t="str">
        <f>"STONE SHADOW DRIVE STONEHILL SECTION 1 PART 3 LOT 8"</f>
        <v>STONE SHADOW DRIVE STONEHILL SECTION 1 PART 3 LOT 8</v>
      </c>
      <c r="D10468" s="1">
        <v>1800</v>
      </c>
    </row>
    <row r="10469" spans="1:4" x14ac:dyDescent="0.3">
      <c r="A10469" s="1" t="str">
        <f>"04000448300"</f>
        <v>04000448300</v>
      </c>
      <c r="B10469" s="1" t="str">
        <f>"RICHARDSON RENEE M"</f>
        <v>RICHARDSON RENEE M</v>
      </c>
      <c r="C10469" s="1" t="str">
        <f>"3439 LIBERTY STREET WASHINGTONS SURVEY LOT 35"</f>
        <v>3439 LIBERTY STREET WASHINGTONS SURVEY LOT 35</v>
      </c>
      <c r="D10469" s="1">
        <v>2105.64</v>
      </c>
    </row>
    <row r="10470" spans="1:4" x14ac:dyDescent="0.3">
      <c r="A10470" s="1" t="str">
        <f>"23000275200"</f>
        <v>23000275200</v>
      </c>
      <c r="B10470" s="1" t="str">
        <f>"RICHARDSON TERRY"</f>
        <v>RICHARDSON TERRY</v>
      </c>
      <c r="C10470" s="1" t="str">
        <f>"DARBY BLVD .278 ACRE ENTRY 6309-5482"</f>
        <v>DARBY BLVD .278 ACRE ENTRY 6309-5482</v>
      </c>
      <c r="D10470" s="1">
        <v>38.5</v>
      </c>
    </row>
    <row r="10471" spans="1:4" x14ac:dyDescent="0.3">
      <c r="A10471" s="1" t="str">
        <f>"01012068900"</f>
        <v>01012068900</v>
      </c>
      <c r="B10471" s="1" t="str">
        <f>"RICHBERG RODNEY"</f>
        <v>RICHBERG RODNEY</v>
      </c>
      <c r="C10471" s="1" t="str">
        <f>"LIV-MOOR DRIVE 6IV-MOORHTS.NO.4-A LOT 3"</f>
        <v>LIV-MOOR DRIVE 6IV-MOORHTS.NO.4-A LOT 3</v>
      </c>
      <c r="D10471" s="1">
        <v>1439.57</v>
      </c>
    </row>
    <row r="10472" spans="1:4" x14ac:dyDescent="0.3">
      <c r="A10472" s="1" t="str">
        <f>"07000605600"</f>
        <v>07000605600</v>
      </c>
      <c r="B10472" s="1" t="str">
        <f>"RICHER JULIE"</f>
        <v>RICHER JULIE</v>
      </c>
      <c r="C10472" s="1" t="str">
        <f>"WESLEYAN DRIVE SCIOTANGY HTS AMD LT 142-143&amp;PT VAC AL"</f>
        <v>WESLEYAN DRIVE SCIOTANGY HTS AMD LT 142-143&amp;PT VAC AL</v>
      </c>
      <c r="D10472" s="1">
        <v>3739.4</v>
      </c>
    </row>
    <row r="10473" spans="1:4" x14ac:dyDescent="0.3">
      <c r="A10473" s="1" t="str">
        <f>"01002663900"</f>
        <v>01002663900</v>
      </c>
      <c r="B10473" s="1" t="str">
        <f>"RICHEY DONNA L"</f>
        <v>RICHEY DONNA L</v>
      </c>
      <c r="C10473" s="1" t="str">
        <f>"682 NEIL AVE NEIL PLACE 32.8X120' LTS111-112"</f>
        <v>682 NEIL AVE NEIL PLACE 32.8X120' LTS111-112</v>
      </c>
      <c r="D10473" s="1">
        <v>198.77</v>
      </c>
    </row>
    <row r="10474" spans="1:4" x14ac:dyDescent="0.3">
      <c r="A10474" s="1" t="str">
        <f>"56023277000"</f>
        <v>56023277000</v>
      </c>
      <c r="B10474" s="1" t="str">
        <f>"RICHMOND MARK L, RICHMOND MARGARET R"</f>
        <v>RICHMOND MARK L, RICHMOND MARGARET R</v>
      </c>
      <c r="C10474" s="1" t="str">
        <f>"TRABUE WOODS BL TRABUE WOODS RESERVE B 0.702AC"</f>
        <v>TRABUE WOODS BL TRABUE WOODS RESERVE B 0.702AC</v>
      </c>
      <c r="D10474" s="1">
        <v>193.49</v>
      </c>
    </row>
    <row r="10475" spans="1:4" x14ac:dyDescent="0.3">
      <c r="A10475" s="1" t="str">
        <f>"01004677800"</f>
        <v>01004677800</v>
      </c>
      <c r="B10475" s="1" t="str">
        <f>"RICKENBACKER/WOODS TECHNOLOGY MUSEUM &amp; HISTORICAL PARK INC"</f>
        <v>RICKENBACKER/WOODS TECHNOLOGY MUSEUM &amp; HISTORICAL PARK INC</v>
      </c>
      <c r="C10475" s="1" t="str">
        <f>"1320 LIVINSTON AVE RR T MILLER LOT 146"</f>
        <v>1320 LIVINSTON AVE RR T MILLER LOT 146</v>
      </c>
      <c r="D10475" s="1">
        <v>386.53</v>
      </c>
    </row>
    <row r="10476" spans="1:4" x14ac:dyDescent="0.3">
      <c r="A10476" s="1" t="str">
        <f>"05000159800"</f>
        <v>05000159800</v>
      </c>
      <c r="B10476" s="1" t="str">
        <f>"RICKERT CHERYL S TR, RICKERT WAYNE W TR"</f>
        <v>RICKERT CHERYL S TR, RICKERT WAYNE W TR</v>
      </c>
      <c r="C10476" s="1" t="str">
        <f>"3758 RUTLEDGE DRIVE COLONIAL LANES LOT 49"</f>
        <v>3758 RUTLEDGE DRIVE COLONIAL LANES LOT 49</v>
      </c>
      <c r="D10476" s="1">
        <v>181.79</v>
      </c>
    </row>
    <row r="10477" spans="1:4" x14ac:dyDescent="0.3">
      <c r="A10477" s="1" t="str">
        <f>"05000044400"</f>
        <v>05000044400</v>
      </c>
      <c r="B10477" s="1" t="str">
        <f>"RICKERT WAYNE W TR, RICKERT CHERYL S TR"</f>
        <v>RICKERT WAYNE W TR, RICKERT CHERYL S TR</v>
      </c>
      <c r="C10477" s="1" t="str">
        <f>"5071 HAMILTON ROAD MC DOWELL LOT 1"</f>
        <v>5071 HAMILTON ROAD MC DOWELL LOT 1</v>
      </c>
      <c r="D10477" s="1">
        <v>237.86</v>
      </c>
    </row>
    <row r="10478" spans="1:4" x14ac:dyDescent="0.3">
      <c r="A10478" s="1" t="str">
        <f>"05000157100"</f>
        <v>05000157100</v>
      </c>
      <c r="B10478" s="1" t="str">
        <f>"RICKERT WAYNE W TR, RICKERT CHERYL S TR"</f>
        <v>RICKERT WAYNE W TR, RICKERT CHERYL S TR</v>
      </c>
      <c r="C10478" s="1" t="str">
        <f>"3827 BRADFORD DRIVE COLONIAL LANES LOT 22"</f>
        <v>3827 BRADFORD DRIVE COLONIAL LANES LOT 22</v>
      </c>
      <c r="D10478" s="1">
        <v>202.81</v>
      </c>
    </row>
    <row r="10479" spans="1:4" x14ac:dyDescent="0.3">
      <c r="A10479" s="1" t="str">
        <f>"05000155500"</f>
        <v>05000155500</v>
      </c>
      <c r="B10479" s="1" t="str">
        <f>"RICKERT WAYNE W TR, RICKERT CHERYL S TR"</f>
        <v>RICKERT WAYNE W TR, RICKERT CHERYL S TR</v>
      </c>
      <c r="C10479" s="1" t="str">
        <f>"3826 BRADFORD DRIVE COLONIAL LANES LOT 6"</f>
        <v>3826 BRADFORD DRIVE COLONIAL LANES LOT 6</v>
      </c>
      <c r="D10479" s="1">
        <v>215.27</v>
      </c>
    </row>
    <row r="10480" spans="1:4" x14ac:dyDescent="0.3">
      <c r="A10480" s="1" t="str">
        <f>"05000156900"</f>
        <v>05000156900</v>
      </c>
      <c r="B10480" s="1" t="str">
        <f>"RICKERT WAYNE W TR, RICKERT CHERYL S TR"</f>
        <v>RICKERT WAYNE W TR, RICKERT CHERYL S TR</v>
      </c>
      <c r="C10480" s="1" t="str">
        <f>"3821 BRADFORD DRIVE COLONIAL LANES LOT 20"</f>
        <v>3821 BRADFORD DRIVE COLONIAL LANES LOT 20</v>
      </c>
      <c r="D10480" s="1">
        <v>186.84</v>
      </c>
    </row>
    <row r="10481" spans="1:4" x14ac:dyDescent="0.3">
      <c r="A10481" s="1" t="str">
        <f>"05000157000"</f>
        <v>05000157000</v>
      </c>
      <c r="B10481" s="1" t="str">
        <f>"RICKERT WAYNE W TR, RICKERT CHERYL S TR"</f>
        <v>RICKERT WAYNE W TR, RICKERT CHERYL S TR</v>
      </c>
      <c r="C10481" s="1" t="str">
        <f>"3825 BRADFORD DRIVE COLONIAL LANES LOT 21"</f>
        <v>3825 BRADFORD DRIVE COLONIAL LANES LOT 21</v>
      </c>
      <c r="D10481" s="1">
        <v>210.99</v>
      </c>
    </row>
    <row r="10482" spans="1:4" x14ac:dyDescent="0.3">
      <c r="A10482" s="1" t="str">
        <f>"05000054600"</f>
        <v>05000054600</v>
      </c>
      <c r="B10482" s="1" t="str">
        <f>"RICKERT WAYNE W TR, RICKERT CHERYL S TR"</f>
        <v>RICKERT WAYNE W TR, RICKERT CHERYL S TR</v>
      </c>
      <c r="C10482" s="1" t="str">
        <f>"WAKEFIELD DR 329 CONSTANCE L CONKLIN LOT 80"</f>
        <v>WAKEFIELD DR 329 CONSTANCE L CONKLIN LOT 80</v>
      </c>
      <c r="D10482" s="1">
        <v>241.33</v>
      </c>
    </row>
    <row r="10483" spans="1:4" x14ac:dyDescent="0.3">
      <c r="A10483" s="1" t="str">
        <f>"01003292600"</f>
        <v>01003292600</v>
      </c>
      <c r="B10483" s="1" t="str">
        <f>"RICKETTS DAVID L, RICKETTS WANDA M"</f>
        <v>RICKETTS DAVID L, RICKETTS WANDA M</v>
      </c>
      <c r="C10483" s="1" t="str">
        <f>"444 S OGDEN AVE WICKLOW LOT 115"</f>
        <v>444 S OGDEN AVE WICKLOW LOT 115</v>
      </c>
      <c r="D10483" s="1">
        <v>85.83</v>
      </c>
    </row>
    <row r="10484" spans="1:4" x14ac:dyDescent="0.3">
      <c r="A10484" s="1" t="str">
        <f>"01010487800"</f>
        <v>01010487800</v>
      </c>
      <c r="B10484" s="1" t="str">
        <f>"RICKETTS DWIGHT E, RICKETTS VIRGINIA K"</f>
        <v>RICKETTS DWIGHT E, RICKETTS VIRGINIA K</v>
      </c>
      <c r="C10484" s="1" t="str">
        <f>"STOCK RD CHASELAND MANOR LOT 101"</f>
        <v>STOCK RD CHASELAND MANOR LOT 101</v>
      </c>
      <c r="D10484" s="1">
        <v>174.04</v>
      </c>
    </row>
    <row r="10485" spans="1:4" x14ac:dyDescent="0.3">
      <c r="A10485" s="1" t="str">
        <f>"01001535500"</f>
        <v>01001535500</v>
      </c>
      <c r="B10485" s="1" t="str">
        <f>"RICO 199 LLC"</f>
        <v>RICO 199 LLC</v>
      </c>
      <c r="C10485" s="1" t="str">
        <f>"175-7-9 E RICH ST         ZETTLER ST                IN LOT 770               "</f>
        <v xml:space="preserve">175-7-9 E RICH ST         ZETTLER ST                IN LOT 770               </v>
      </c>
      <c r="D10485" s="1">
        <v>29146.91</v>
      </c>
    </row>
    <row r="10486" spans="1:4" x14ac:dyDescent="0.3">
      <c r="A10486" s="1" t="str">
        <f>"08000511100"</f>
        <v>08000511100</v>
      </c>
      <c r="B10486" s="1" t="str">
        <f>"RIDDELL ANDREA A L"</f>
        <v>RIDDELL ANDREA A L</v>
      </c>
      <c r="C10486" s="1" t="str">
        <f>"158 BELLEFIELD AVE ANNEHURST VILLAGE 10 LOT 601"</f>
        <v>158 BELLEFIELD AVE ANNEHURST VILLAGE 10 LOT 601</v>
      </c>
      <c r="D10486" s="1">
        <v>4210.95</v>
      </c>
    </row>
    <row r="10487" spans="1:4" x14ac:dyDescent="0.3">
      <c r="A10487" s="1" t="str">
        <f>"09000757400"</f>
        <v>09000757400</v>
      </c>
      <c r="B10487" s="1" t="str">
        <f>"RIDENOUR BRUCE, WALKER RIDENOUR NAYESHA"</f>
        <v>RIDENOUR BRUCE, WALKER RIDENOUR NAYESHA</v>
      </c>
      <c r="C10487" s="1" t="str">
        <f>"97 PINEWOOD DRIVE PINEWOOD COURT LOT 32"</f>
        <v>97 PINEWOOD DRIVE PINEWOOD COURT LOT 32</v>
      </c>
      <c r="D10487" s="1">
        <v>109.34</v>
      </c>
    </row>
    <row r="10488" spans="1:4" x14ac:dyDescent="0.3">
      <c r="A10488" s="1" t="str">
        <f>"59016912900"</f>
        <v>59016912900</v>
      </c>
      <c r="B10488" s="1" t="str">
        <f>"RIDENOUR IRINA, RIDENOUR ERIC"</f>
        <v>RIDENOUR IRINA, RIDENOUR ERIC</v>
      </c>
      <c r="C10488" s="1" t="str">
        <f>"ROYAL CREST CT GRDNS NO2 CROWN RIDGE INCL RESUB/COUNTRY LT47"</f>
        <v>ROYAL CREST CT GRDNS NO2 CROWN RIDGE INCL RESUB/COUNTRY LT47</v>
      </c>
      <c r="D10488" s="1">
        <v>6791.91</v>
      </c>
    </row>
    <row r="10489" spans="1:4" x14ac:dyDescent="0.3">
      <c r="A10489" s="1" t="str">
        <f>"07000632800"</f>
        <v>07000632800</v>
      </c>
      <c r="B10489" s="1" t="str">
        <f>"RIDENOUR JOHN"</f>
        <v>RIDENOUR JOHN</v>
      </c>
      <c r="C10489" s="1" t="str">
        <f>"WOODSTOCK RD RIVER RIDGE 13 B14 "</f>
        <v xml:space="preserve">WOODSTOCK RD RIVER RIDGE 13 B14 </v>
      </c>
      <c r="D10489" s="1">
        <v>3223.04</v>
      </c>
    </row>
    <row r="10490" spans="1:4" x14ac:dyDescent="0.3">
      <c r="A10490" s="1" t="str">
        <f>"56021371600"</f>
        <v>56021371600</v>
      </c>
      <c r="B10490" s="1" t="str">
        <f>"RIDGE MILL OWNER LLC"</f>
        <v>RIDGE MILL OWNER LLC</v>
      </c>
      <c r="C10490" s="1" t="str">
        <f>"RIDGE MILL DRIVE  0.6561 ACRES"</f>
        <v>RIDGE MILL DRIVE  0.6561 ACRES</v>
      </c>
      <c r="D10490" s="1">
        <v>31879.51</v>
      </c>
    </row>
    <row r="10491" spans="1:4" x14ac:dyDescent="0.3">
      <c r="A10491" s="1" t="str">
        <f>"07000541200"</f>
        <v>07000541200</v>
      </c>
      <c r="B10491" s="1" t="str">
        <f>"RIDGECLIFF ROAD LLC"</f>
        <v>RIDGECLIFF ROAD LLC</v>
      </c>
      <c r="C10491" s="1" t="str">
        <f>"RIDGECLIFF RD ALL 8 &amp; 61 FT ES 7 N MOUNTVIEW BLK 278"</f>
        <v>RIDGECLIFF RD ALL 8 &amp; 61 FT ES 7 N MOUNTVIEW BLK 278</v>
      </c>
      <c r="D10491" s="1">
        <v>799.9</v>
      </c>
    </row>
    <row r="10492" spans="1:4" x14ac:dyDescent="0.3">
      <c r="A10492" s="1" t="str">
        <f>"06000433700"</f>
        <v>06000433700</v>
      </c>
      <c r="B10492" s="1" t="str">
        <f>"RIDGEWAY RUSSELL F"</f>
        <v>RIDGEWAY RUSSELL F</v>
      </c>
      <c r="C10492" s="1" t="str">
        <f>"BLACKOAK CT TREEBOURNE VILLAGE LOT 31"</f>
        <v>BLACKOAK CT TREEBOURNE VILLAGE LOT 31</v>
      </c>
      <c r="D10492" s="1">
        <v>5488.1</v>
      </c>
    </row>
    <row r="10493" spans="1:4" x14ac:dyDescent="0.3">
      <c r="A10493" s="1" t="str">
        <f>"01014556700"</f>
        <v>01014556700</v>
      </c>
      <c r="B10493" s="1" t="str">
        <f>"RIDGLEY NANCY LEE, DIVINE MARGARET LYNN"</f>
        <v>RIDGLEY NANCY LEE, DIVINE MARGARET LYNN</v>
      </c>
      <c r="C10493" s="1" t="str">
        <f>"TOWNE WOOD LOT 81 "</f>
        <v xml:space="preserve">TOWNE WOOD LOT 81 </v>
      </c>
      <c r="D10493" s="1">
        <v>260.16000000000003</v>
      </c>
    </row>
    <row r="10494" spans="1:4" x14ac:dyDescent="0.3">
      <c r="A10494" s="1" t="str">
        <f>"01001614100"</f>
        <v>01001614100</v>
      </c>
      <c r="B10494" s="1" t="str">
        <f>"RIDINGER SHARON K"</f>
        <v>RIDINGER SHARON K</v>
      </c>
      <c r="C10494" s="1" t="str">
        <f>"RARIG AVE 2ND E COLUMBUS HTS LOT 146"</f>
        <v>RARIG AVE 2ND E COLUMBUS HTS LOT 146</v>
      </c>
      <c r="D10494" s="1">
        <v>1990.55</v>
      </c>
    </row>
    <row r="10495" spans="1:4" x14ac:dyDescent="0.3">
      <c r="A10495" s="1" t="str">
        <f>"01028250900"</f>
        <v>01028250900</v>
      </c>
      <c r="B10495" s="1" t="str">
        <f>"RIDOLFO CHELSEA, RIDOLFO-SALZANO CHERYL"</f>
        <v>RIDOLFO CHELSEA, RIDOLFO-SALZANO CHERYL</v>
      </c>
      <c r="C10495" s="1" t="str">
        <f>"RAVINES OF MCNAUGHTEN CONDOMINIUM 8TH AMD UNIT 5974"</f>
        <v>RAVINES OF MCNAUGHTEN CONDOMINIUM 8TH AMD UNIT 5974</v>
      </c>
      <c r="D10495" s="1">
        <v>1456.88</v>
      </c>
    </row>
    <row r="10496" spans="1:4" x14ac:dyDescent="0.3">
      <c r="A10496" s="1" t="str">
        <f>"13000678000"</f>
        <v>13000678000</v>
      </c>
      <c r="B10496" s="1" t="str">
        <f>"RIEGEL ROBERT L"</f>
        <v>RIEGEL ROBERT L</v>
      </c>
      <c r="C10496" s="1" t="str">
        <f>"1883 ELMORE AVE ELMORE LOT 367 "</f>
        <v xml:space="preserve">1883 ELMORE AVE ELMORE LOT 367 </v>
      </c>
      <c r="D10496" s="1">
        <v>2073.67</v>
      </c>
    </row>
    <row r="10497" spans="1:4" x14ac:dyDescent="0.3">
      <c r="A10497" s="1" t="str">
        <f>"01004830600"</f>
        <v>01004830600</v>
      </c>
      <c r="B10497" s="1" t="str">
        <f>"RIES JOANNE"</f>
        <v>RIES JOANNE</v>
      </c>
      <c r="C10497" s="1" t="str">
        <f>"788 CAMPBELL&amp;DAVIS AVES OSBORN PLC LOT 241"</f>
        <v>788 CAMPBELL&amp;DAVIS AVES OSBORN PLC LOT 241</v>
      </c>
      <c r="D10497" s="1">
        <v>1295.0899999999999</v>
      </c>
    </row>
    <row r="10498" spans="1:4" x14ac:dyDescent="0.3">
      <c r="A10498" s="1" t="str">
        <f>"01002569600"</f>
        <v>01002569600</v>
      </c>
      <c r="B10498" s="1" t="str">
        <f>"RIES JOANNE"</f>
        <v>RIES JOANNE</v>
      </c>
      <c r="C10498" s="1" t="str">
        <f>"89 WISCONSON AVE FRANKLIN LOT 149"</f>
        <v>89 WISCONSON AVE FRANKLIN LOT 149</v>
      </c>
      <c r="D10498" s="1">
        <v>1063.3</v>
      </c>
    </row>
    <row r="10499" spans="1:4" x14ac:dyDescent="0.3">
      <c r="A10499" s="1" t="str">
        <f>"01006776200"</f>
        <v>01006776200</v>
      </c>
      <c r="B10499" s="1" t="str">
        <f>"RIES JOANNE"</f>
        <v>RIES JOANNE</v>
      </c>
      <c r="C10499" s="1" t="str">
        <f>"423 TOWNSEND AVE HILLTONIA LOT 112"</f>
        <v>423 TOWNSEND AVE HILLTONIA LOT 112</v>
      </c>
      <c r="D10499" s="1">
        <v>2576.2800000000002</v>
      </c>
    </row>
    <row r="10500" spans="1:4" x14ac:dyDescent="0.3">
      <c r="A10500" s="1" t="str">
        <f>"22200234700"</f>
        <v>22200234700</v>
      </c>
      <c r="B10500" s="1" t="str">
        <f>"RIESBECK RYAN LEE, KITA KELLIE LYNN"</f>
        <v>RIESBECK RYAN LEE, KITA KELLIE LYNN</v>
      </c>
      <c r="C10500" s="1" t="str">
        <f>"KEESEE CIRCLE NEW ALBANY LINKS SECTION 2 LOT 64"</f>
        <v>KEESEE CIRCLE NEW ALBANY LINKS SECTION 2 LOT 64</v>
      </c>
      <c r="D10500" s="1">
        <v>377.01</v>
      </c>
    </row>
    <row r="10501" spans="1:4" x14ac:dyDescent="0.3">
      <c r="A10501" s="1" t="str">
        <f>"01011377400"</f>
        <v>01011377400</v>
      </c>
      <c r="B10501" s="1" t="str">
        <f>"RIESER LOU ANNE"</f>
        <v>RIESER LOU ANNE</v>
      </c>
      <c r="C10501" s="1" t="str">
        <f>"LINWOOD AVE THE HAAG PT LOT 32 ALL LOT 33"</f>
        <v>LINWOOD AVE THE HAAG PT LOT 32 ALL LOT 33</v>
      </c>
      <c r="D10501" s="1">
        <v>1546.28</v>
      </c>
    </row>
    <row r="10502" spans="1:4" x14ac:dyDescent="0.3">
      <c r="A10502" s="1" t="str">
        <f>"04000210600"</f>
        <v>04000210600</v>
      </c>
      <c r="B10502" s="1" t="str">
        <f>"RIESER RONALD P"</f>
        <v>RIESER RONALD P</v>
      </c>
      <c r="C10502" s="1" t="str">
        <f>"000 GROVE CITY ROAD TANGLEBROOK SUB .536 ACRE RES A"</f>
        <v>000 GROVE CITY ROAD TANGLEBROOK SUB .536 ACRE RES A</v>
      </c>
      <c r="D10502" s="1">
        <v>761.73</v>
      </c>
    </row>
    <row r="10503" spans="1:4" x14ac:dyDescent="0.3">
      <c r="A10503" s="1" t="str">
        <f>"01026970400"</f>
        <v>01026970400</v>
      </c>
      <c r="B10503" s="1" t="str">
        <f>"RIEVES JANET LEE"</f>
        <v>RIEVES JANET LEE</v>
      </c>
      <c r="C10503" s="1" t="str">
        <f>"4003 SWEET SHADOW AVENUE THE WILLOWS AT PRESERVE CROSSING  LOT 227"</f>
        <v>4003 SWEET SHADOW AVENUE THE WILLOWS AT PRESERVE CROSSING  LOT 227</v>
      </c>
      <c r="D10503" s="1">
        <v>500</v>
      </c>
    </row>
    <row r="10504" spans="1:4" x14ac:dyDescent="0.3">
      <c r="A10504" s="1" t="str">
        <f>"01009579500"</f>
        <v>01009579500</v>
      </c>
      <c r="B10504" s="1" t="str">
        <f>"RIFFLE JASON R"</f>
        <v>RIFFLE JASON R</v>
      </c>
      <c r="C10504" s="1" t="str">
        <f>"HAMILTON AVE HAMILTON AVE LOT 8-9"</f>
        <v>HAMILTON AVE HAMILTON AVE LOT 8-9</v>
      </c>
      <c r="D10504" s="1">
        <v>1497.27</v>
      </c>
    </row>
    <row r="10505" spans="1:4" x14ac:dyDescent="0.3">
      <c r="A10505" s="1" t="str">
        <f>"01008628100"</f>
        <v>01008628100</v>
      </c>
      <c r="B10505" s="1" t="str">
        <f>"RIGHT BY RITZYS LLC"</f>
        <v>RIGHT BY RITZYS LLC</v>
      </c>
      <c r="C10505" s="1" t="str">
        <f>"4625-35 N HIGH ST BEECHWOLD S AMD LOT 10-11"</f>
        <v>4625-35 N HIGH ST BEECHWOLD S AMD LOT 10-11</v>
      </c>
      <c r="D10505" s="1">
        <v>7771.21</v>
      </c>
    </row>
    <row r="10506" spans="1:4" x14ac:dyDescent="0.3">
      <c r="A10506" s="1" t="str">
        <f>"59020499900"</f>
        <v>59020499900</v>
      </c>
      <c r="B10506" s="1" t="str">
        <f>"RIGHT SIDE UP RENTALS LTD"</f>
        <v>RIGHT SIDE UP RENTALS LTD</v>
      </c>
      <c r="C10506" s="1" t="str">
        <f>"MEADOWSGLEN DRIVE MISTY MEADOWS WEST SEC 2 LOT 49"</f>
        <v>MEADOWSGLEN DRIVE MISTY MEADOWS WEST SEC 2 LOT 49</v>
      </c>
      <c r="D10506" s="1">
        <v>416.55</v>
      </c>
    </row>
    <row r="10507" spans="1:4" x14ac:dyDescent="0.3">
      <c r="A10507" s="1" t="str">
        <f>"17100144500"</f>
        <v>17100144500</v>
      </c>
      <c r="B10507" s="1" t="str">
        <f>"RIGHTER JOHN P"</f>
        <v>RIGHTER JOHN P</v>
      </c>
      <c r="C10507" s="1" t="str">
        <f>"THE VILLAGE AT JEFFERSON RUN WEST S-F HOMES CONDO 23RD AMD UNIT 55"</f>
        <v>THE VILLAGE AT JEFFERSON RUN WEST S-F HOMES CONDO 23RD AMD UNIT 55</v>
      </c>
      <c r="D10507" s="1">
        <v>110</v>
      </c>
    </row>
    <row r="10508" spans="1:4" x14ac:dyDescent="0.3">
      <c r="A10508" s="1" t="str">
        <f>"57015956300"</f>
        <v>57015956300</v>
      </c>
      <c r="B10508" s="1" t="str">
        <f>"RILEY GARY E"</f>
        <v>RILEY GARY E</v>
      </c>
      <c r="C10508" s="1" t="str">
        <f>"DRUMLIN DRIVE STONERIDGE NO 2 LOT 169"</f>
        <v>DRUMLIN DRIVE STONERIDGE NO 2 LOT 169</v>
      </c>
      <c r="D10508" s="1">
        <v>122.74</v>
      </c>
    </row>
    <row r="10509" spans="1:4" x14ac:dyDescent="0.3">
      <c r="A10509" s="1" t="str">
        <f>"27300752500"</f>
        <v>27300752500</v>
      </c>
      <c r="B10509" s="1" t="str">
        <f>"RILEY JOHN E, RILEY ELLEN"</f>
        <v>RILEY JOHN E, RILEY ELLEN</v>
      </c>
      <c r="C10509" s="1" t="str">
        <f>"CARRIGAN RIDGE DRIVE AMBERLEIGH SECTION 2 LOT 78"</f>
        <v>CARRIGAN RIDGE DRIVE AMBERLEIGH SECTION 2 LOT 78</v>
      </c>
      <c r="D10509" s="1">
        <v>7307.82</v>
      </c>
    </row>
    <row r="10510" spans="1:4" x14ac:dyDescent="0.3">
      <c r="A10510" s="1" t="str">
        <f>"09000349600"</f>
        <v>09000349600</v>
      </c>
      <c r="B10510" s="1" t="str">
        <f>"RILEY KENNETH P, RILEY BYRON S, RILEY CHRISTINA L"</f>
        <v>RILEY KENNETH P, RILEY BYRON S, RILEY CHRISTINA L</v>
      </c>
      <c r="C10510" s="1" t="str">
        <f>"943 E DIMSON DR TRURO ESTATES 266"</f>
        <v>943 E DIMSON DR TRURO ESTATES 266</v>
      </c>
      <c r="D10510" s="1">
        <v>952.51</v>
      </c>
    </row>
    <row r="10511" spans="1:4" x14ac:dyDescent="0.3">
      <c r="A10511" s="1" t="str">
        <f>"01025784800"</f>
        <v>01025784800</v>
      </c>
      <c r="B10511" s="1" t="str">
        <f>"RILEY MARK A"</f>
        <v>RILEY MARK A</v>
      </c>
      <c r="C10511" s="1" t="str">
        <f>"IRONWOOD CONDOMINIUM 1ST AMD BLDG 6 UNIT 5198"</f>
        <v>IRONWOOD CONDOMINIUM 1ST AMD BLDG 6 UNIT 5198</v>
      </c>
      <c r="D10511" s="1">
        <v>241.15</v>
      </c>
    </row>
    <row r="10512" spans="1:4" x14ac:dyDescent="0.3">
      <c r="A10512" s="1" t="str">
        <f>"01008152500"</f>
        <v>01008152500</v>
      </c>
      <c r="B10512" s="1" t="str">
        <f>"RILEY TERRI DRUMMOND, RILEY JOHN D"</f>
        <v>RILEY TERRI DRUMMOND, RILEY JOHN D</v>
      </c>
      <c r="C10512" s="1" t="str">
        <f>"BUTLER AVE HIGH RIDGE EXT LOT 7 BLK 8"</f>
        <v>BUTLER AVE HIGH RIDGE EXT LOT 7 BLK 8</v>
      </c>
      <c r="D10512" s="1">
        <v>1100</v>
      </c>
    </row>
    <row r="10513" spans="1:4" x14ac:dyDescent="0.3">
      <c r="A10513" s="1" t="str">
        <f>"01011977700"</f>
        <v>01011977700</v>
      </c>
      <c r="B10513" s="1" t="str">
        <f>"RIN THOUK, LAY SOVOEUN"</f>
        <v>RIN THOUK, LAY SOVOEUN</v>
      </c>
      <c r="C10513" s="1" t="str">
        <f>"WESTGATE TERRACE LOT 95 "</f>
        <v xml:space="preserve">WESTGATE TERRACE LOT 95 </v>
      </c>
      <c r="D10513" s="1">
        <v>3737.05</v>
      </c>
    </row>
    <row r="10514" spans="1:4" x14ac:dyDescent="0.3">
      <c r="A10514" s="1" t="str">
        <f>"17000051300"</f>
        <v>17000051300</v>
      </c>
      <c r="B10514" s="1" t="str">
        <f>"RINCON MARK E, RINCON CHRISTINE"</f>
        <v>RINCON MARK E, RINCON CHRISTINE</v>
      </c>
      <c r="C10514" s="1" t="str">
        <f>"CLARK STATE RD R16 T1 1/4T1 15 5.396 ACRES"</f>
        <v>CLARK STATE RD R16 T1 1/4T1 15 5.396 ACRES</v>
      </c>
      <c r="D10514" s="1">
        <v>16328.44</v>
      </c>
    </row>
    <row r="10515" spans="1:4" x14ac:dyDescent="0.3">
      <c r="A10515" s="1" t="str">
        <f>"07000080400"</f>
        <v>07000080400</v>
      </c>
      <c r="B10515" s="1" t="str">
        <f>"RINE MACKENZIE TTEE"</f>
        <v>RINE MACKENZIE TTEE</v>
      </c>
      <c r="C10515" s="1" t="str">
        <f>"2266 TREMONT RD UPPER ARLINGTON LOT 13 BLK 74"</f>
        <v>2266 TREMONT RD UPPER ARLINGTON LOT 13 BLK 74</v>
      </c>
      <c r="D10515" s="1">
        <v>13572.03</v>
      </c>
    </row>
    <row r="10516" spans="1:4" x14ac:dyDescent="0.3">
      <c r="A10516" s="1" t="str">
        <f>"01001487800"</f>
        <v>01001487800</v>
      </c>
      <c r="B10516" s="1" t="str">
        <f>"RINEHART JEFFREY S"</f>
        <v>RINEHART JEFFREY S</v>
      </c>
      <c r="C10516" s="1" t="str">
        <f>"264 N WAYNE AVE GLENVIEW HTS LOT 87"</f>
        <v>264 N WAYNE AVE GLENVIEW HTS LOT 87</v>
      </c>
      <c r="D10516" s="1">
        <v>909.18</v>
      </c>
    </row>
    <row r="10517" spans="1:4" x14ac:dyDescent="0.3">
      <c r="A10517" s="1" t="str">
        <f>"16000044900"</f>
        <v>16000044900</v>
      </c>
      <c r="B10517" s="1" t="str">
        <f>"RINEHART STEVEN, RINEHART AMY"</f>
        <v>RINEHART STEVEN, RINEHART AMY</v>
      </c>
      <c r="C10517" s="1" t="str">
        <f>"EDWARDS RD MCDOWELLS LITTLE FARMS LOT 21"</f>
        <v>EDWARDS RD MCDOWELLS LITTLE FARMS LOT 21</v>
      </c>
      <c r="D10517" s="1">
        <v>1282.71</v>
      </c>
    </row>
    <row r="10518" spans="1:4" x14ac:dyDescent="0.3">
      <c r="A10518" s="1" t="str">
        <f>"05000820200"</f>
        <v>05000820200</v>
      </c>
      <c r="B10518" s="1" t="str">
        <f>"RINGS DAVID L, RINGS BONNIE S"</f>
        <v>RINGS DAVID L, RINGS BONNIE S</v>
      </c>
      <c r="C10518" s="1" t="str">
        <f>"HERITAGE VILLAS ON THE LINKS CONDO 2ND AMD UNIT 10-3684"</f>
        <v>HERITAGE VILLAS ON THE LINKS CONDO 2ND AMD UNIT 10-3684</v>
      </c>
      <c r="D10518" s="1">
        <v>293.05</v>
      </c>
    </row>
    <row r="10519" spans="1:4" x14ac:dyDescent="0.3">
      <c r="A10519" s="1" t="str">
        <f>"05000984700"</f>
        <v>05000984700</v>
      </c>
      <c r="B10519" s="1" t="str">
        <f>"RINGS LINDSEY M, KALUSH PATRICK"</f>
        <v>RINGS LINDSEY M, KALUSH PATRICK</v>
      </c>
      <c r="C10519" s="1" t="str">
        <f>"JEFFRELYN DRIVE ESTATES AT HOFFMAN FARMS SECTION 1 PHASE 1 LOT 113"</f>
        <v>JEFFRELYN DRIVE ESTATES AT HOFFMAN FARMS SECTION 1 PHASE 1 LOT 113</v>
      </c>
      <c r="D10519" s="1">
        <v>4814.01</v>
      </c>
    </row>
    <row r="10520" spans="1:4" x14ac:dyDescent="0.3">
      <c r="A10520" s="1" t="str">
        <f>"59022842600"</f>
        <v>59022842600</v>
      </c>
      <c r="B10520" s="1" t="str">
        <f>"RIO NILO LLC"</f>
        <v>RIO NILO LLC</v>
      </c>
      <c r="C10520" s="1" t="str">
        <f>"SAWMILL PLACE BLVD SAWMILL PLACE PT LOT 1=1.805 ACRES"</f>
        <v>SAWMILL PLACE BLVD SAWMILL PLACE PT LOT 1=1.805 ACRES</v>
      </c>
      <c r="D10520" s="1">
        <v>22228.71</v>
      </c>
    </row>
    <row r="10521" spans="1:4" x14ac:dyDescent="0.3">
      <c r="A10521" s="1" t="str">
        <f>"07001457400"</f>
        <v>07001457400</v>
      </c>
      <c r="B10521" s="1" t="str">
        <f>"RIPPER KATHRYN SMITH"</f>
        <v>RIPPER KATHRYN SMITH</v>
      </c>
      <c r="C10521" s="1" t="str">
        <f>"KENTWELL CONDOMINIUMS UNIT 1884"</f>
        <v>KENTWELL CONDOMINIUMS UNIT 1884</v>
      </c>
      <c r="D10521" s="1">
        <v>5973.87</v>
      </c>
    </row>
    <row r="10522" spans="1:4" x14ac:dyDescent="0.3">
      <c r="A10522" s="1" t="str">
        <f>"56020364700"</f>
        <v>56020364700</v>
      </c>
      <c r="B10522" s="1" t="str">
        <f>"RISEN JAMES, RISEN MARY J"</f>
        <v>RISEN JAMES, RISEN MARY J</v>
      </c>
      <c r="C10522" s="1" t="str">
        <f>"WHITE BARK PLACE SCIOTO TRACE SECTION 3 LOT 119"</f>
        <v>WHITE BARK PLACE SCIOTO TRACE SECTION 3 LOT 119</v>
      </c>
      <c r="D10522" s="1">
        <v>549.33000000000004</v>
      </c>
    </row>
    <row r="10523" spans="1:4" x14ac:dyDescent="0.3">
      <c r="A10523" s="1" t="str">
        <f>"15000047100"</f>
        <v>15000047100</v>
      </c>
      <c r="B10523" s="1" t="str">
        <f>"RISER SUZANNE"</f>
        <v>RISER SUZANNE</v>
      </c>
      <c r="C10523" s="1" t="str">
        <f>"2015 DREXEL AVE WALNUT HTS LOT 19 &amp; 20'WS LOT 18"</f>
        <v>2015 DREXEL AVE WALNUT HTS LOT 19 &amp; 20'WS LOT 18</v>
      </c>
      <c r="D10523" s="1">
        <v>2593.62</v>
      </c>
    </row>
    <row r="10524" spans="1:4" x14ac:dyDescent="0.3">
      <c r="A10524" s="1" t="str">
        <f>"01000706000"</f>
        <v>01000706000</v>
      </c>
      <c r="B10524" s="1" t="str">
        <f>"RISING HIGH PROPERTIES LLC"</f>
        <v>RISING HIGH PROPERTIES LLC</v>
      </c>
      <c r="C10524" s="1" t="str">
        <f>"1121 SIDNEY ST SHORTS LOT 46"</f>
        <v>1121 SIDNEY ST SHORTS LOT 46</v>
      </c>
      <c r="D10524" s="1">
        <v>2027.7</v>
      </c>
    </row>
    <row r="10525" spans="1:4" x14ac:dyDescent="0.3">
      <c r="A10525" s="1" t="str">
        <f>"04000141200"</f>
        <v>04000141200</v>
      </c>
      <c r="B10525" s="1" t="str">
        <f>"RIST CORY"</f>
        <v>RIST CORY</v>
      </c>
      <c r="C10525" s="1" t="str">
        <f>"3462 VALERIE ST SHERRY LYNNE HOMES LOT 55"</f>
        <v>3462 VALERIE ST SHERRY LYNNE HOMES LOT 55</v>
      </c>
      <c r="D10525" s="1">
        <v>1239.08</v>
      </c>
    </row>
    <row r="10526" spans="1:4" x14ac:dyDescent="0.3">
      <c r="A10526" s="1" t="str">
        <f>"17000181800"</f>
        <v>17000181800</v>
      </c>
      <c r="B10526" s="1" t="str">
        <f>"RITCHEY DAVE F, RITCHEY SUNCHA"</f>
        <v>RITCHEY DAVE F, RITCHEY SUNCHA</v>
      </c>
      <c r="C10526" s="1" t="str">
        <f>"3462 DIXON RD R16 T1 1/4T1 5.342 ACRES"</f>
        <v>3462 DIXON RD R16 T1 1/4T1 5.342 ACRES</v>
      </c>
      <c r="D10526" s="1">
        <v>9069.15</v>
      </c>
    </row>
    <row r="10527" spans="1:4" x14ac:dyDescent="0.3">
      <c r="A10527" s="1" t="str">
        <f>"59017486500"</f>
        <v>59017486500</v>
      </c>
      <c r="B10527" s="1" t="str">
        <f>"RITCHEY JOSEPH B, RITCHEY TERESA M"</f>
        <v>RITCHEY JOSEPH B, RITCHEY TERESA M</v>
      </c>
      <c r="C10527" s="1" t="str">
        <f>"CHESLEY CT RIVERSIDE GREEN 5 LOT 304 &amp; PT 303"</f>
        <v>CHESLEY CT RIVERSIDE GREEN 5 LOT 304 &amp; PT 303</v>
      </c>
      <c r="D10527" s="1">
        <v>300.33</v>
      </c>
    </row>
    <row r="10528" spans="1:4" x14ac:dyDescent="0.3">
      <c r="A10528" s="1" t="str">
        <f>"08000082100"</f>
        <v>08000082100</v>
      </c>
      <c r="B10528" s="1" t="str">
        <f>"RITCHIE RICHARD D, RITCHIE JAN M"</f>
        <v>RITCHIE RICHARD D, RITCHIE JAN M</v>
      </c>
      <c r="C10528" s="1" t="str">
        <f>"303 COLLEGE ACRES .046 &amp; L &amp; IN HANCE ADDITION 7"</f>
        <v>303 COLLEGE ACRES .046 &amp; L &amp; IN HANCE ADDITION 7</v>
      </c>
      <c r="D10528" s="1">
        <v>819.21</v>
      </c>
    </row>
    <row r="10529" spans="1:4" x14ac:dyDescent="0.3">
      <c r="A10529" s="1" t="str">
        <f>"01011392500"</f>
        <v>01011392500</v>
      </c>
      <c r="B10529" s="1" t="str">
        <f>"RITCHIE ROBERT F"</f>
        <v>RITCHIE ROBERT F</v>
      </c>
      <c r="C10529" s="1" t="str">
        <f>"3440 S 8TH ST 75X24 FT S E COR HOME ACRES LOT 89"</f>
        <v>3440 S 8TH ST 75X24 FT S E COR HOME ACRES LOT 89</v>
      </c>
      <c r="D10529" s="1">
        <v>164.59</v>
      </c>
    </row>
    <row r="10530" spans="1:4" x14ac:dyDescent="0.3">
      <c r="A10530" s="1" t="str">
        <f>"01009623500"</f>
        <v>01009623500</v>
      </c>
      <c r="B10530" s="1" t="str">
        <f>"RITER EMILY"</f>
        <v>RITER EMILY</v>
      </c>
      <c r="C10530" s="1" t="str">
        <f>"139 E MOLER ST DAVIS LOT 9-10"</f>
        <v>139 E MOLER ST DAVIS LOT 9-10</v>
      </c>
      <c r="D10530" s="1">
        <v>2301.71</v>
      </c>
    </row>
    <row r="10531" spans="1:4" x14ac:dyDescent="0.3">
      <c r="A10531" s="1" t="str">
        <f>"17100095800"</f>
        <v>17100095800</v>
      </c>
      <c r="B10531" s="1" t="str">
        <f>"RITTER MARK D"</f>
        <v>RITTER MARK D</v>
      </c>
      <c r="C10531" s="1" t="str">
        <f>"VILLAGE AT JEFFERSON RUN WEST S-F HOMES CONDO 2ND AMD UNIT 79"</f>
        <v>VILLAGE AT JEFFERSON RUN WEST S-F HOMES CONDO 2ND AMD UNIT 79</v>
      </c>
      <c r="D10531" s="1">
        <v>2664.72</v>
      </c>
    </row>
    <row r="10532" spans="1:4" x14ac:dyDescent="0.3">
      <c r="A10532" s="1" t="str">
        <f>"01000083200"</f>
        <v>01000083200</v>
      </c>
      <c r="B10532" s="1" t="str">
        <f>"RIVER STREET HOLDINGS LLC"</f>
        <v>RIVER STREET HOLDINGS LLC</v>
      </c>
      <c r="C10532" s="1" t="str">
        <f>"1376 RIVER ST T S GATES SUB 13"</f>
        <v>1376 RIVER ST T S GATES SUB 13</v>
      </c>
      <c r="D10532" s="1">
        <v>5392.78</v>
      </c>
    </row>
    <row r="10533" spans="1:4" x14ac:dyDescent="0.3">
      <c r="A10533" s="1" t="str">
        <f>"01004712700"</f>
        <v>01004712700</v>
      </c>
      <c r="B10533" s="1" t="str">
        <f>"RIVER STREET HOLDINGS LLC"</f>
        <v>RIVER STREET HOLDINGS LLC</v>
      </c>
      <c r="C10533" s="1" t="str">
        <f>"1366 RIVER ST T S GATES SUB 12"</f>
        <v>1366 RIVER ST T S GATES SUB 12</v>
      </c>
      <c r="D10533" s="1">
        <v>321.3</v>
      </c>
    </row>
    <row r="10534" spans="1:4" x14ac:dyDescent="0.3">
      <c r="A10534" s="1" t="str">
        <f>"01010174600"</f>
        <v>01010174600</v>
      </c>
      <c r="B10534" s="1" t="str">
        <f>"RIVERA ANDY GARCIA, RAMOS OMAYRA VICENTE"</f>
        <v>RIVERA ANDY GARCIA, RAMOS OMAYRA VICENTE</v>
      </c>
      <c r="C10534" s="1" t="str">
        <f>"MARY AVE MIRIAM 2 LOT 4 BLK 6"</f>
        <v>MARY AVE MIRIAM 2 LOT 4 BLK 6</v>
      </c>
      <c r="D10534" s="1">
        <v>866.6</v>
      </c>
    </row>
    <row r="10535" spans="1:4" x14ac:dyDescent="0.3">
      <c r="A10535" s="1" t="str">
        <f>"18000118200"</f>
        <v>18000118200</v>
      </c>
      <c r="B10535" s="1" t="str">
        <f>"RIVERA ANNA NATINA TTEE"</f>
        <v>RIVERA ANNA NATINA TTEE</v>
      </c>
      <c r="C10535" s="1" t="str">
        <f>"SALTZGABER RD R21 T11 S20-29 0.54 ACRE"</f>
        <v>SALTZGABER RD R21 T11 S20-29 0.54 ACRE</v>
      </c>
      <c r="D10535" s="1">
        <v>147.22</v>
      </c>
    </row>
    <row r="10536" spans="1:4" x14ac:dyDescent="0.3">
      <c r="A10536" s="1" t="str">
        <f>"01005950500"</f>
        <v>01005950500</v>
      </c>
      <c r="B10536" s="1" t="str">
        <f>"RIVERA BORJA MARIA I"</f>
        <v>RIVERA BORJA MARIA I</v>
      </c>
      <c r="C10536" s="1" t="str">
        <f>"1521 GENESSEE AVE LINDEN LOT 876"</f>
        <v>1521 GENESSEE AVE LINDEN LOT 876</v>
      </c>
      <c r="D10536" s="1">
        <v>4119.82</v>
      </c>
    </row>
    <row r="10537" spans="1:4" x14ac:dyDescent="0.3">
      <c r="A10537" s="1" t="str">
        <f>"01002580200"</f>
        <v>01002580200</v>
      </c>
      <c r="B10537" s="1" t="str">
        <f>"RIVERA ELIZABETH REYES"</f>
        <v>RIVERA ELIZABETH REYES</v>
      </c>
      <c r="C10537" s="1" t="str">
        <f>"128 N WAYNE AVE HIGHLAND PARK LOT 112"</f>
        <v>128 N WAYNE AVE HIGHLAND PARK LOT 112</v>
      </c>
      <c r="D10537" s="1">
        <v>2947.85</v>
      </c>
    </row>
    <row r="10538" spans="1:4" x14ac:dyDescent="0.3">
      <c r="A10538" s="1" t="str">
        <f>"01009274000"</f>
        <v>01009274000</v>
      </c>
      <c r="B10538" s="1" t="str">
        <f>"RIVERA JOSE B"</f>
        <v>RIVERA JOSE B</v>
      </c>
      <c r="C10538" s="1" t="str">
        <f>"13TH AVE CASSADY- PEAKE MEADOWS LOT 271"</f>
        <v>13TH AVE CASSADY- PEAKE MEADOWS LOT 271</v>
      </c>
      <c r="D10538" s="1">
        <v>511.98</v>
      </c>
    </row>
    <row r="10539" spans="1:4" x14ac:dyDescent="0.3">
      <c r="A10539" s="1" t="str">
        <f>"57014569100"</f>
        <v>57014569100</v>
      </c>
      <c r="B10539" s="1" t="str">
        <f>"RIVERA MARIA L"</f>
        <v>RIVERA MARIA L</v>
      </c>
      <c r="C10539" s="1" t="str">
        <f>"CLIME RD RIVER BEND SEC 1 LOT 7"</f>
        <v>CLIME RD RIVER BEND SEC 1 LOT 7</v>
      </c>
      <c r="D10539" s="1">
        <v>1182.83</v>
      </c>
    </row>
    <row r="10540" spans="1:4" x14ac:dyDescent="0.3">
      <c r="A10540" s="1" t="str">
        <f>"01011910700"</f>
        <v>01011910700</v>
      </c>
      <c r="B10540" s="1" t="str">
        <f>"RIVERA MARTIR YOFRACY CASTELLON"</f>
        <v>RIVERA MARTIR YOFRACY CASTELLON</v>
      </c>
      <c r="C10540" s="1" t="str">
        <f>"NUWAY RD SOUTHFIELD LOT 131"</f>
        <v>NUWAY RD SOUTHFIELD LOT 131</v>
      </c>
      <c r="D10540" s="1">
        <v>1859.02</v>
      </c>
    </row>
    <row r="10541" spans="1:4" x14ac:dyDescent="0.3">
      <c r="A10541" s="1" t="str">
        <f>"04000729000"</f>
        <v>04000729000</v>
      </c>
      <c r="B10541" s="1" t="str">
        <f>"RIVERO COOK CARMEN TR"</f>
        <v>RIVERO COOK CARMEN TR</v>
      </c>
      <c r="C10541" s="1" t="str">
        <f>"000 MICHELLE DRIVE EAST SECTION 2 LOT 86 KELLER FARM"</f>
        <v>000 MICHELLE DRIVE EAST SECTION 2 LOT 86 KELLER FARM</v>
      </c>
      <c r="D10541" s="1">
        <v>194.53</v>
      </c>
    </row>
    <row r="10542" spans="1:4" x14ac:dyDescent="0.3">
      <c r="A10542" s="1" t="str">
        <f>"27300913400"</f>
        <v>27300913400</v>
      </c>
      <c r="B10542" s="1" t="str">
        <f>"RIVERPARK GROUP LLC"</f>
        <v>RIVERPARK GROUP LLC</v>
      </c>
      <c r="C10542" s="1" t="str">
        <f>"6400 RIVERSIDE DRIVE R19 T2 1/4T3 0.76 ACRE"</f>
        <v>6400 RIVERSIDE DRIVE R19 T2 1/4T3 0.76 ACRE</v>
      </c>
      <c r="D10542" s="1">
        <v>23641.15</v>
      </c>
    </row>
    <row r="10543" spans="1:4" x14ac:dyDescent="0.3">
      <c r="A10543" s="1" t="str">
        <f>"27300913500"</f>
        <v>27300913500</v>
      </c>
      <c r="B10543" s="1" t="str">
        <f>"RIVERPARK GROUP LLC"</f>
        <v>RIVERPARK GROUP LLC</v>
      </c>
      <c r="C10543" s="1" t="str">
        <f>"THE RIVERS RIDGE OFFICE CONDOMINIUM UNIT B"</f>
        <v>THE RIVERS RIDGE OFFICE CONDOMINIUM UNIT B</v>
      </c>
      <c r="D10543" s="1">
        <v>163216.13</v>
      </c>
    </row>
    <row r="10544" spans="1:4" x14ac:dyDescent="0.3">
      <c r="A10544" s="1" t="str">
        <f>"27300913600"</f>
        <v>27300913600</v>
      </c>
      <c r="B10544" s="1" t="str">
        <f>"RIVERPARK GROUP LLC"</f>
        <v>RIVERPARK GROUP LLC</v>
      </c>
      <c r="C10544" s="1" t="str">
        <f>"THE RIVERS RIDGE OFFICE CONDOMINIUM UNIT C"</f>
        <v>THE RIVERS RIDGE OFFICE CONDOMINIUM UNIT C</v>
      </c>
      <c r="D10544" s="1">
        <v>15767.81</v>
      </c>
    </row>
    <row r="10545" spans="1:4" x14ac:dyDescent="0.3">
      <c r="A10545" s="1" t="str">
        <f>"27300913700"</f>
        <v>27300913700</v>
      </c>
      <c r="B10545" s="1" t="str">
        <f>"RIVERPARK GROUP LLC"</f>
        <v>RIVERPARK GROUP LLC</v>
      </c>
      <c r="C10545" s="1" t="str">
        <f>"THE RIVERS RIDGE OFFICE CONDOMINIUM UNIT D"</f>
        <v>THE RIVERS RIDGE OFFICE CONDOMINIUM UNIT D</v>
      </c>
      <c r="D10545" s="1">
        <v>15772.01</v>
      </c>
    </row>
    <row r="10546" spans="1:4" x14ac:dyDescent="0.3">
      <c r="A10546" s="1" t="str">
        <f>"27300913800"</f>
        <v>27300913800</v>
      </c>
      <c r="B10546" s="1" t="str">
        <f>"RIVERPARK GROUP LLC"</f>
        <v>RIVERPARK GROUP LLC</v>
      </c>
      <c r="C10546" s="1" t="str">
        <f>"THE RIVERS RIDGE OFFICE CONDOMINIUM UNIT E"</f>
        <v>THE RIVERS RIDGE OFFICE CONDOMINIUM UNIT E</v>
      </c>
      <c r="D10546" s="1">
        <v>20189.57</v>
      </c>
    </row>
    <row r="10547" spans="1:4" x14ac:dyDescent="0.3">
      <c r="A10547" s="1" t="str">
        <f>"01006090700"</f>
        <v>01006090700</v>
      </c>
      <c r="B10547" s="1" t="str">
        <f>"RIVERS LOSIE V"</f>
        <v>RIVERS LOSIE V</v>
      </c>
      <c r="C10547" s="1" t="str">
        <f>"CORDELL AVE INNIS CREST LOT 306"</f>
        <v>CORDELL AVE INNIS CREST LOT 306</v>
      </c>
      <c r="D10547" s="1">
        <v>141.44</v>
      </c>
    </row>
    <row r="10548" spans="1:4" x14ac:dyDescent="0.3">
      <c r="A10548" s="1" t="str">
        <f>"14300015200"</f>
        <v>14300015200</v>
      </c>
      <c r="B10548" s="1" t="str">
        <f>"RIVERSIDE 10 LLC"</f>
        <v>RIVERSIDE 10 LLC</v>
      </c>
      <c r="C10548" s="1" t="str">
        <f>"1600 DUBLIN RD R23 T1 S2 10.672 ACRES"</f>
        <v>1600 DUBLIN RD R23 T1 S2 10.672 ACRES</v>
      </c>
      <c r="D10548" s="1">
        <v>459228.4</v>
      </c>
    </row>
    <row r="10549" spans="1:4" x14ac:dyDescent="0.3">
      <c r="A10549" s="1" t="str">
        <f>"14300018800"</f>
        <v>14300018800</v>
      </c>
      <c r="B10549" s="1" t="str">
        <f>"RIVERSIDE 10 LLC"</f>
        <v>RIVERSIDE 10 LLC</v>
      </c>
      <c r="C10549" s="1" t="str">
        <f>"DUBLIN RD R23 T1 S2 .838 ACRE"</f>
        <v>DUBLIN RD R23 T1 S2 .838 ACRE</v>
      </c>
      <c r="D10549" s="1">
        <v>5104.3599999999997</v>
      </c>
    </row>
    <row r="10550" spans="1:4" x14ac:dyDescent="0.3">
      <c r="A10550" s="1" t="str">
        <f>"14300019400"</f>
        <v>14300019400</v>
      </c>
      <c r="B10550" s="1" t="str">
        <f>"RIVERSIDE 10 LLC"</f>
        <v>RIVERSIDE 10 LLC</v>
      </c>
      <c r="C10550" s="1" t="str">
        <f>"DUBLIN RD MARBLE CLIFF ACRES 1.2 ENTRY 530"</f>
        <v>DUBLIN RD MARBLE CLIFF ACRES 1.2 ENTRY 530</v>
      </c>
      <c r="D10550" s="1">
        <v>6303.24</v>
      </c>
    </row>
    <row r="10551" spans="1:4" x14ac:dyDescent="0.3">
      <c r="A10551" s="1" t="str">
        <f>"14300042300"</f>
        <v>14300042300</v>
      </c>
      <c r="B10551" s="1" t="str">
        <f>"RIVERSIDE 10 LLC"</f>
        <v>RIVERSIDE 10 LLC</v>
      </c>
      <c r="C10551" s="1" t="str">
        <f>"DUBLIN RD R23 T1 S2 2.138 ACRES"</f>
        <v>DUBLIN RD R23 T1 S2 2.138 ACRES</v>
      </c>
      <c r="D10551" s="1">
        <v>10322.4</v>
      </c>
    </row>
    <row r="10552" spans="1:4" x14ac:dyDescent="0.3">
      <c r="A10552" s="1" t="str">
        <f>"01027914100"</f>
        <v>01027914100</v>
      </c>
      <c r="B10552" s="1" t="str">
        <f>"RIZZO JORDAN YOUN WOO"</f>
        <v>RIZZO JORDAN YOUN WOO</v>
      </c>
      <c r="C10552" s="1" t="str">
        <f>"ECLEXTION LOFTS           CONDOMINIUMS              UNIT 101                 "</f>
        <v xml:space="preserve">ECLEXTION LOFTS           CONDOMINIUMS              UNIT 101                 </v>
      </c>
      <c r="D10552" s="1">
        <v>4289.7</v>
      </c>
    </row>
    <row r="10553" spans="1:4" x14ac:dyDescent="0.3">
      <c r="A10553" s="1" t="str">
        <f>"01027407600"</f>
        <v>01027407600</v>
      </c>
      <c r="B10553" s="1" t="str">
        <f>"RKCW PROPERTIES LLC"</f>
        <v>RKCW PROPERTIES LLC</v>
      </c>
      <c r="C10553" s="1" t="str">
        <f>"GRAMERCY PLACE CONDOMINIUM BLDG 10 UNIT 4076"</f>
        <v>GRAMERCY PLACE CONDOMINIUM BLDG 10 UNIT 4076</v>
      </c>
      <c r="D10553" s="1">
        <v>6015.7</v>
      </c>
    </row>
    <row r="10554" spans="1:4" x14ac:dyDescent="0.3">
      <c r="A10554" s="1" t="str">
        <f>"02501002600"</f>
        <v>02501002600</v>
      </c>
      <c r="B10554" s="1" t="str">
        <f>"RM CHERRY WAY LLC, GORGAN DEVELOPMENT LLC, KR CHERRY WAY LLC"</f>
        <v>RM CHERRY WAY LLC, GORGAN DEVELOPMENT LLC, KR CHERRY WAY LLC</v>
      </c>
      <c r="C10554" s="1" t="str">
        <f>"CHERRY BOTTOM COMMERCE PARK PT LT 1=2.1651 ACRES"</f>
        <v>CHERRY BOTTOM COMMERCE PARK PT LT 1=2.1651 ACRES</v>
      </c>
      <c r="D10554" s="1">
        <v>10002.91</v>
      </c>
    </row>
    <row r="10555" spans="1:4" x14ac:dyDescent="0.3">
      <c r="A10555" s="1" t="str">
        <f>"01003958800"</f>
        <v>01003958800</v>
      </c>
      <c r="B10555" s="1" t="str">
        <f>"RMR RESOURCES LLC"</f>
        <v>RMR RESOURCES LLC</v>
      </c>
      <c r="C10555" s="1" t="str">
        <f>"BASSETT AVE HAYES LOT 260"</f>
        <v>BASSETT AVE HAYES LOT 260</v>
      </c>
      <c r="D10555" s="1">
        <v>782.27</v>
      </c>
    </row>
    <row r="10556" spans="1:4" x14ac:dyDescent="0.3">
      <c r="A10556" s="1" t="str">
        <f>"01003958900"</f>
        <v>01003958900</v>
      </c>
      <c r="B10556" s="1" t="str">
        <f>"RMR RESOURCES LLC"</f>
        <v>RMR RESOURCES LLC</v>
      </c>
      <c r="C10556" s="1" t="str">
        <f>"498 BASSETT ST HAYES LOT 261"</f>
        <v>498 BASSETT ST HAYES LOT 261</v>
      </c>
      <c r="D10556" s="1">
        <v>743.34</v>
      </c>
    </row>
    <row r="10557" spans="1:4" x14ac:dyDescent="0.3">
      <c r="A10557" s="1" t="str">
        <f>"01008564800"</f>
        <v>01008564800</v>
      </c>
      <c r="B10557" s="1" t="str">
        <f>"RMS INVESTMENT PROPERTIES LLC"</f>
        <v>RMS INVESTMENT PROPERTIES LLC</v>
      </c>
      <c r="C10557" s="1" t="str">
        <f>"E BEECHWOLD BLVD ZOOLAND LOT 107"</f>
        <v>E BEECHWOLD BLVD ZOOLAND LOT 107</v>
      </c>
      <c r="D10557" s="1">
        <v>200.48</v>
      </c>
    </row>
    <row r="10558" spans="1:4" x14ac:dyDescent="0.3">
      <c r="A10558" s="1" t="str">
        <f>"01005725300"</f>
        <v>01005725300</v>
      </c>
      <c r="B10558" s="1" t="str">
        <f>"RMW"</f>
        <v>RMW</v>
      </c>
      <c r="C10558" s="1" t="str">
        <f>"OAK ST HOFFMAN &amp; MC GREW LOTS 213-214"</f>
        <v>OAK ST HOFFMAN &amp; MC GREW LOTS 213-214</v>
      </c>
      <c r="D10558" s="1">
        <v>5051.6499999999996</v>
      </c>
    </row>
    <row r="10559" spans="1:4" x14ac:dyDescent="0.3">
      <c r="A10559" s="1" t="str">
        <f>"01012076600"</f>
        <v>01012076600</v>
      </c>
      <c r="B10559" s="1" t="str">
        <f>"ROACH DAVID B, ROACH CAROLYN S"</f>
        <v>ROACH DAVID B, ROACH CAROLYN S</v>
      </c>
      <c r="C10559" s="1" t="str">
        <f>"1714 HAMILTON RD WALNUT VILLAGE LOT 5"</f>
        <v>1714 HAMILTON RD WALNUT VILLAGE LOT 5</v>
      </c>
      <c r="D10559" s="1">
        <v>1159.53</v>
      </c>
    </row>
    <row r="10560" spans="1:4" x14ac:dyDescent="0.3">
      <c r="A10560" s="1" t="str">
        <f>"18400245500"</f>
        <v>18400245500</v>
      </c>
      <c r="B10560" s="1" t="str">
        <f>"ROARK BERTHA K TTEE"</f>
        <v>ROARK BERTHA K TTEE</v>
      </c>
      <c r="C10560" s="1" t="str">
        <f>"GREENSVIEW VILLAGE CONDOMINIUM 3RD AMD BLDG 15 UNIT 6951"</f>
        <v>GREENSVIEW VILLAGE CONDOMINIUM 3RD AMD BLDG 15 UNIT 6951</v>
      </c>
      <c r="D10560" s="1">
        <v>2512.69</v>
      </c>
    </row>
    <row r="10561" spans="1:4" x14ac:dyDescent="0.3">
      <c r="A10561" s="1" t="str">
        <f>"01014308600"</f>
        <v>01014308600</v>
      </c>
      <c r="B10561" s="1" t="str">
        <f>"ROB RE CORP"</f>
        <v>ROB RE CORP</v>
      </c>
      <c r="C10561" s="1" t="str">
        <f>"COMMERCE SQ WESTVIEW IND PARK LOT 7"</f>
        <v>COMMERCE SQ WESTVIEW IND PARK LOT 7</v>
      </c>
      <c r="D10561" s="1">
        <v>10189</v>
      </c>
    </row>
    <row r="10562" spans="1:4" x14ac:dyDescent="0.3">
      <c r="A10562" s="1" t="str">
        <f>"61029362500"</f>
        <v>61029362500</v>
      </c>
      <c r="B10562" s="1" t="str">
        <f>"ROBBINS AUDRA TR"</f>
        <v>ROBBINS AUDRA TR</v>
      </c>
      <c r="C10562" s="1" t="str">
        <f>"DILLMONT DR R18 T2 1/4T2 0.649 ACRE"</f>
        <v>DILLMONT DR R18 T2 1/4T2 0.649 ACRE</v>
      </c>
      <c r="D10562" s="1">
        <v>54809.62</v>
      </c>
    </row>
    <row r="10563" spans="1:4" x14ac:dyDescent="0.3">
      <c r="A10563" s="1" t="str">
        <f>"01003497500"</f>
        <v>01003497500</v>
      </c>
      <c r="B10563" s="1" t="str">
        <f>"ROBBINS JAMES A, ROBBINS PAULA J"</f>
        <v>ROBBINS JAMES A, ROBBINS PAULA J</v>
      </c>
      <c r="C10563" s="1" t="str">
        <f>"135 WEBER RD ALL LT 14&amp;W 1/2 LT 15 CRESTVIEW LT14-15"</f>
        <v>135 WEBER RD ALL LT 14&amp;W 1/2 LT 15 CRESTVIEW LT14-15</v>
      </c>
      <c r="D10563" s="1">
        <v>3609.29</v>
      </c>
    </row>
    <row r="10564" spans="1:4" x14ac:dyDescent="0.3">
      <c r="A10564" s="1" t="str">
        <f>"57018207400"</f>
        <v>57018207400</v>
      </c>
      <c r="B10564" s="1" t="str">
        <f>"ROBENOLT CHRISTINA L"</f>
        <v>ROBENOLT CHRISTINA L</v>
      </c>
      <c r="C10564" s="1" t="str">
        <f>"SHELBA DR LAUREL GREENE 4 PH 2 LOT 534"</f>
        <v>SHELBA DR LAUREL GREENE 4 PH 2 LOT 534</v>
      </c>
      <c r="D10564" s="1">
        <v>2012.23</v>
      </c>
    </row>
    <row r="10565" spans="1:4" x14ac:dyDescent="0.3">
      <c r="A10565" s="1" t="str">
        <f>"07001362100"</f>
        <v>07001362100</v>
      </c>
      <c r="B10565" s="1" t="str">
        <f>"ROBERSON RUFARO T"</f>
        <v>ROBERSON RUFARO T</v>
      </c>
      <c r="C10565" s="1" t="str">
        <f>"DEVONSHIRE CONDO UNIT 4540 "</f>
        <v xml:space="preserve">DEVONSHIRE CONDO UNIT 4540 </v>
      </c>
      <c r="D10565" s="1">
        <v>5482.65</v>
      </c>
    </row>
    <row r="10566" spans="1:4" x14ac:dyDescent="0.3">
      <c r="A10566" s="1" t="str">
        <f>"57014634300"</f>
        <v>57014634300</v>
      </c>
      <c r="B10566" s="1" t="str">
        <f>"ROBERTS ALICE M"</f>
        <v>ROBERTS ALICE M</v>
      </c>
      <c r="C10566" s="1" t="str">
        <f>"HARDESTY HEIGHTS CONDOMINIUM I LOT I-1"</f>
        <v>HARDESTY HEIGHTS CONDOMINIUM I LOT I-1</v>
      </c>
      <c r="D10566" s="1">
        <v>1631.91</v>
      </c>
    </row>
    <row r="10567" spans="1:4" x14ac:dyDescent="0.3">
      <c r="A10567" s="1" t="str">
        <f>"07001315300"</f>
        <v>07001315300</v>
      </c>
      <c r="B10567" s="1" t="str">
        <f>"ROBERTS BRIAN D, ROBERTS DEBRA A"</f>
        <v>ROBERTS BRIAN D, ROBERTS DEBRA A</v>
      </c>
      <c r="C10567" s="1" t="str">
        <f>"TURNBERRY CONDOMINIUM UNIT P-18"</f>
        <v>TURNBERRY CONDOMINIUM UNIT P-18</v>
      </c>
      <c r="D10567" s="1">
        <v>64.819999999999993</v>
      </c>
    </row>
    <row r="10568" spans="1:4" x14ac:dyDescent="0.3">
      <c r="A10568" s="1" t="str">
        <f>"57016308000"</f>
        <v>57016308000</v>
      </c>
      <c r="B10568" s="1" t="str">
        <f>"ROBERTS CARL C, ROBERTS DIANE Y"</f>
        <v>ROBERTS CARL C, ROBERTS DIANE Y</v>
      </c>
      <c r="C10568" s="1" t="str">
        <f>"GLENCREEK ROAD GLENCREEK SUBDIVISON LOT 42"</f>
        <v>GLENCREEK ROAD GLENCREEK SUBDIVISON LOT 42</v>
      </c>
      <c r="D10568" s="1">
        <v>103.04</v>
      </c>
    </row>
    <row r="10569" spans="1:4" x14ac:dyDescent="0.3">
      <c r="A10569" s="1" t="str">
        <f>"02500280300"</f>
        <v>02500280300</v>
      </c>
      <c r="B10569" s="1" t="str">
        <f>"ROBERTS DIANA"</f>
        <v>ROBERTS DIANA</v>
      </c>
      <c r="C10569" s="1" t="str">
        <f>"00000 AMFIELD COURT MOORFIELD MANOR 1 RES B"</f>
        <v>00000 AMFIELD COURT MOORFIELD MANOR 1 RES B</v>
      </c>
      <c r="D10569" s="1">
        <v>748.3</v>
      </c>
    </row>
    <row r="10570" spans="1:4" x14ac:dyDescent="0.3">
      <c r="A10570" s="1" t="str">
        <f>"24000434500"</f>
        <v>24000434500</v>
      </c>
      <c r="B10570" s="1" t="str">
        <f>"ROBERTS LINDA K TOD"</f>
        <v>ROBERTS LINDA K TOD</v>
      </c>
      <c r="C10570" s="1" t="str">
        <f>"ARNOLD AVE LINCOLN VILLAGE S LOT 182"</f>
        <v>ARNOLD AVE LINCOLN VILLAGE S LOT 182</v>
      </c>
      <c r="D10570" s="1">
        <v>11.59</v>
      </c>
    </row>
    <row r="10571" spans="1:4" x14ac:dyDescent="0.3">
      <c r="A10571" s="1" t="str">
        <f>"03000169100"</f>
        <v>03000169100</v>
      </c>
      <c r="B10571" s="1" t="str">
        <f>"ROBERTS NICHOLAS A, ROBERTS ANDREA M"</f>
        <v>ROBERTS NICHOLAS A, ROBERTS ANDREA M</v>
      </c>
      <c r="C10571" s="1" t="str">
        <f>"1182 VIRGINIA AVE NORTHWEST BLVD 3 LOT 164"</f>
        <v>1182 VIRGINIA AVE NORTHWEST BLVD 3 LOT 164</v>
      </c>
      <c r="D10571" s="1">
        <v>480.16</v>
      </c>
    </row>
    <row r="10572" spans="1:4" x14ac:dyDescent="0.3">
      <c r="A10572" s="1" t="str">
        <f>"61020852500"</f>
        <v>61020852500</v>
      </c>
      <c r="B10572" s="1" t="str">
        <f>"ROBERTS OLU, ROBERTS JANITA"</f>
        <v>ROBERTS OLU, ROBERTS JANITA</v>
      </c>
      <c r="C10572" s="1" t="str">
        <f>"THE VILLAGE AT WORTHINGTON SEC 2 LOT 136"</f>
        <v>THE VILLAGE AT WORTHINGTON SEC 2 LOT 136</v>
      </c>
      <c r="D10572" s="1">
        <v>4731.62</v>
      </c>
    </row>
    <row r="10573" spans="1:4" x14ac:dyDescent="0.3">
      <c r="A10573" s="1" t="str">
        <f>"01006968300"</f>
        <v>01006968300</v>
      </c>
      <c r="B10573" s="1" t="str">
        <f>"ROBERTS WILLIAM"</f>
        <v>ROBERTS WILLIAM</v>
      </c>
      <c r="C10573" s="1" t="str">
        <f>"2036 DENUNE AVE 50 FT W S LOT 26 EAST LINDEN"</f>
        <v>2036 DENUNE AVE 50 FT W S LOT 26 EAST LINDEN</v>
      </c>
      <c r="D10573" s="1">
        <v>3201.41</v>
      </c>
    </row>
    <row r="10574" spans="1:4" x14ac:dyDescent="0.3">
      <c r="A10574" s="1" t="str">
        <f>"01003538800"</f>
        <v>01003538800</v>
      </c>
      <c r="B10574" s="1" t="str">
        <f>"ROBERTS WILLIAM E, ROBERTS ELIZABETH"</f>
        <v>ROBERTS WILLIAM E, ROBERTS ELIZABETH</v>
      </c>
      <c r="C10574" s="1" t="str">
        <f>"64-66 S CENTRAL AVE N L DORENS CENTRAL AVE LOT 23"</f>
        <v>64-66 S CENTRAL AVE N L DORENS CENTRAL AVE LOT 23</v>
      </c>
      <c r="D10574" s="1">
        <v>564.41999999999996</v>
      </c>
    </row>
    <row r="10575" spans="1:4" x14ac:dyDescent="0.3">
      <c r="A10575" s="1" t="str">
        <f>"01014146500"</f>
        <v>01014146500</v>
      </c>
      <c r="B10575" s="1" t="str">
        <f>"ROBERTSON BRITTANY, ROBERTSON WILLIAM, ROBERTSON PHILLIP JR"</f>
        <v>ROBERTSON BRITTANY, ROBERTSON WILLIAM, ROBERTSON PHILLIP JR</v>
      </c>
      <c r="C10575" s="1" t="str">
        <f>"PENFIELD RD HAVILAND 5 LOT 229"</f>
        <v>PENFIELD RD HAVILAND 5 LOT 229</v>
      </c>
      <c r="D10575" s="1">
        <v>2557.2600000000002</v>
      </c>
    </row>
    <row r="10576" spans="1:4" x14ac:dyDescent="0.3">
      <c r="A10576" s="1" t="str">
        <f>"01009728500"</f>
        <v>01009728500</v>
      </c>
      <c r="B10576" s="1" t="str">
        <f>"ROBERTSON FREDA C"</f>
        <v>ROBERTSON FREDA C</v>
      </c>
      <c r="C10576" s="1" t="str">
        <f>"HOWEY RD LORETTA LOT 12"</f>
        <v>HOWEY RD LORETTA LOT 12</v>
      </c>
      <c r="D10576" s="1">
        <v>1180.79</v>
      </c>
    </row>
    <row r="10577" spans="1:4" x14ac:dyDescent="0.3">
      <c r="A10577" s="1" t="str">
        <f>"01005732600"</f>
        <v>01005732600</v>
      </c>
      <c r="B10577" s="1" t="str">
        <f>"ROBERTSON JERRY B TR"</f>
        <v>ROBERTSON JERRY B TR</v>
      </c>
      <c r="C10577" s="1" t="str">
        <f>"118-20 MIAMI AVE 104.1FT WE HAYDEN BROWN&amp;BAKER LOT 19"</f>
        <v>118-20 MIAMI AVE 104.1FT WE HAYDEN BROWN&amp;BAKER LOT 19</v>
      </c>
      <c r="D10577" s="1">
        <v>1324.39</v>
      </c>
    </row>
    <row r="10578" spans="1:4" x14ac:dyDescent="0.3">
      <c r="A10578" s="1" t="str">
        <f>"01016720900"</f>
        <v>01016720900</v>
      </c>
      <c r="B10578" s="1" t="str">
        <f>"ROBERTSON KEITH ANTHONY"</f>
        <v>ROBERTSON KEITH ANTHONY</v>
      </c>
      <c r="C10578" s="1" t="str">
        <f>"MEREDITH DR AMVET HOMESTD SUB 1 LOT 45 BLK E"</f>
        <v>MEREDITH DR AMVET HOMESTD SUB 1 LOT 45 BLK E</v>
      </c>
      <c r="D10578" s="1">
        <v>801.74</v>
      </c>
    </row>
    <row r="10579" spans="1:4" x14ac:dyDescent="0.3">
      <c r="A10579" s="1" t="str">
        <f>"01010335300"</f>
        <v>01010335300</v>
      </c>
      <c r="B10579" s="1" t="str">
        <f>"ROBERTSON KELLY R"</f>
        <v>ROBERTSON KELLY R</v>
      </c>
      <c r="C10579" s="1" t="str">
        <f>"GLENMAWR AVE BABY FARMS BLK 66 LOTS 172-173"</f>
        <v>GLENMAWR AVE BABY FARMS BLK 66 LOTS 172-173</v>
      </c>
      <c r="D10579" s="1">
        <v>136.81</v>
      </c>
    </row>
    <row r="10580" spans="1:4" x14ac:dyDescent="0.3">
      <c r="A10580" s="1" t="str">
        <f>"02000389000"</f>
        <v>02000389000</v>
      </c>
      <c r="B10580" s="1" t="str">
        <f>"ROBINE MOLLY"</f>
        <v>ROBINE MOLLY</v>
      </c>
      <c r="C10580" s="1" t="str">
        <f>"1059 GRANDON AVE LOT 76 BEVERLY PARK"</f>
        <v>1059 GRANDON AVE LOT 76 BEVERLY PARK</v>
      </c>
      <c r="D10580" s="1">
        <v>1220.3699999999999</v>
      </c>
    </row>
    <row r="10581" spans="1:4" x14ac:dyDescent="0.3">
      <c r="A10581" s="1" t="str">
        <f>"01002821700"</f>
        <v>01002821700</v>
      </c>
      <c r="B10581" s="1" t="str">
        <f>"ROBINSON &amp; SONS INC"</f>
        <v>ROBINSON &amp; SONS INC</v>
      </c>
      <c r="C10581" s="1" t="str">
        <f>"854 TAYLOR AVE WATTERSON ALL LOT 3 &amp; PT LOT 2"</f>
        <v>854 TAYLOR AVE WATTERSON ALL LOT 3 &amp; PT LOT 2</v>
      </c>
      <c r="D10581" s="1">
        <v>410.37</v>
      </c>
    </row>
    <row r="10582" spans="1:4" x14ac:dyDescent="0.3">
      <c r="A10582" s="1" t="str">
        <f>"01007087100"</f>
        <v>01007087100</v>
      </c>
      <c r="B10582" s="1" t="str">
        <f>"ROBINSON ANTHONY J, ALLEN JEFFERY T TR, ALLEN CRYSTAL D TR"</f>
        <v>ROBINSON ANTHONY J, ALLEN JEFFERY T TR, ALLEN CRYSTAL D TR</v>
      </c>
      <c r="C10582" s="1" t="str">
        <f>"3025 CLEVELAND AVE EDDYSTONE PL LOT 16"</f>
        <v>3025 CLEVELAND AVE EDDYSTONE PL LOT 16</v>
      </c>
      <c r="D10582" s="1">
        <v>559.63</v>
      </c>
    </row>
    <row r="10583" spans="1:4" x14ac:dyDescent="0.3">
      <c r="A10583" s="1" t="str">
        <f>"01007087000"</f>
        <v>01007087000</v>
      </c>
      <c r="B10583" s="1" t="str">
        <f>"ROBINSON ANTHONY J, ALLEN JEFFERY T TR, ALLEN CRYSTAL D TR"</f>
        <v>ROBINSON ANTHONY J, ALLEN JEFFERY T TR, ALLEN CRYSTAL D TR</v>
      </c>
      <c r="C10583" s="1" t="str">
        <f>"3029-31CLEVELANDAVE EDDYSTONEPL LOT15"</f>
        <v>3029-31CLEVELANDAVE EDDYSTONEPL LOT15</v>
      </c>
      <c r="D10583" s="1">
        <v>4352.6899999999996</v>
      </c>
    </row>
    <row r="10584" spans="1:4" x14ac:dyDescent="0.3">
      <c r="A10584" s="1" t="str">
        <f>"17000012000"</f>
        <v>17000012000</v>
      </c>
      <c r="B10584" s="1" t="str">
        <f>"ROBINSON ANTHONY J, ROBINSON SHARON L"</f>
        <v>ROBINSON ANTHONY J, ROBINSON SHARON L</v>
      </c>
      <c r="C10584" s="1" t="str">
        <f>"8223 HAVENS RD R16 T1 1/4T1 11.4695 ACRES"</f>
        <v>8223 HAVENS RD R16 T1 1/4T1 11.4695 ACRES</v>
      </c>
      <c r="D10584" s="1">
        <v>1500</v>
      </c>
    </row>
    <row r="10585" spans="1:4" x14ac:dyDescent="0.3">
      <c r="A10585" s="1" t="str">
        <f>"01004491000"</f>
        <v>01004491000</v>
      </c>
      <c r="B10585" s="1" t="str">
        <f>"ROBINSON DEBORAH S, ROBINSON MICHAEL J"</f>
        <v>ROBINSON DEBORAH S, ROBINSON MICHAEL J</v>
      </c>
      <c r="C10585" s="1" t="str">
        <f>"1924 FLORAL AVE GLENWOOD HTS LOT 95"</f>
        <v>1924 FLORAL AVE GLENWOOD HTS LOT 95</v>
      </c>
      <c r="D10585" s="1">
        <v>68.97</v>
      </c>
    </row>
    <row r="10586" spans="1:4" x14ac:dyDescent="0.3">
      <c r="A10586" s="1" t="str">
        <f>"25415138200"</f>
        <v>25415138200</v>
      </c>
      <c r="B10586" s="1" t="str">
        <f>"ROBINSON ETHAN"</f>
        <v>ROBINSON ETHAN</v>
      </c>
      <c r="C10586" s="1" t="str">
        <f>"332 WESTVIEW AVE W 1/2 LOT 44 HOMEDALE"</f>
        <v>332 WESTVIEW AVE W 1/2 LOT 44 HOMEDALE</v>
      </c>
      <c r="D10586" s="1">
        <v>6206.93</v>
      </c>
    </row>
    <row r="10587" spans="1:4" x14ac:dyDescent="0.3">
      <c r="A10587" s="1" t="str">
        <f>"01016566700"</f>
        <v>01016566700</v>
      </c>
      <c r="B10587" s="1" t="str">
        <f>"ROBINSON FARYN"</f>
        <v>ROBINSON FARYN</v>
      </c>
      <c r="C10587" s="1" t="str">
        <f>"PLANTATION LAKES CONDOMINIUM BLDG 45 UNIT C"</f>
        <v>PLANTATION LAKES CONDOMINIUM BLDG 45 UNIT C</v>
      </c>
      <c r="D10587" s="1">
        <v>1728.95</v>
      </c>
    </row>
    <row r="10588" spans="1:4" x14ac:dyDescent="0.3">
      <c r="A10588" s="1" t="str">
        <f>"01011906600"</f>
        <v>01011906600</v>
      </c>
      <c r="B10588" s="1" t="str">
        <f>"ROBINSON FRANKLIN"</f>
        <v>ROBINSON FRANKLIN</v>
      </c>
      <c r="C10588" s="1" t="str">
        <f>"NUWAY RD SOUTHFIELD LOT 89"</f>
        <v>NUWAY RD SOUTHFIELD LOT 89</v>
      </c>
      <c r="D10588" s="1">
        <v>86.97</v>
      </c>
    </row>
    <row r="10589" spans="1:4" x14ac:dyDescent="0.3">
      <c r="A10589" s="1" t="str">
        <f>"01024935500"</f>
        <v>01024935500</v>
      </c>
      <c r="B10589" s="1" t="str">
        <f>"ROBINSON FREDRICK D"</f>
        <v>ROBINSON FREDRICK D</v>
      </c>
      <c r="C10589" s="1" t="str">
        <f>"KOLA WAY EASTVIEW ESTATES SECTION ONE LOT 30"</f>
        <v>KOLA WAY EASTVIEW ESTATES SECTION ONE LOT 30</v>
      </c>
      <c r="D10589" s="1">
        <v>4935.84</v>
      </c>
    </row>
    <row r="10590" spans="1:4" x14ac:dyDescent="0.3">
      <c r="A10590" s="1" t="str">
        <f>"01010421700"</f>
        <v>01010421700</v>
      </c>
      <c r="B10590" s="1" t="str">
        <f>"ROBINSON GLODEAN M"</f>
        <v>ROBINSON GLODEAN M</v>
      </c>
      <c r="C10590" s="1" t="str">
        <f>"MC CLOUD RD R.22 T.5 S.23 1/2 S .32 ACRES .458"</f>
        <v>MC CLOUD RD R.22 T.5 S.23 1/2 S .32 ACRES .458</v>
      </c>
      <c r="D10590" s="1">
        <v>13.5</v>
      </c>
    </row>
    <row r="10591" spans="1:4" x14ac:dyDescent="0.3">
      <c r="A10591" s="1" t="str">
        <f>"55025576000"</f>
        <v>55025576000</v>
      </c>
      <c r="B10591" s="1" t="str">
        <f>"ROBINSON INVESTMENTS LTD"</f>
        <v>ROBINSON INVESTMENTS LTD</v>
      </c>
      <c r="C10591" s="1" t="str">
        <f>"6560 TUSSING RD R21 T12 S24 1/4S41-42 11.00 ACRES"</f>
        <v>6560 TUSSING RD R21 T12 S24 1/4S41-42 11.00 ACRES</v>
      </c>
      <c r="D10591" s="1">
        <v>538.9</v>
      </c>
    </row>
    <row r="10592" spans="1:4" x14ac:dyDescent="0.3">
      <c r="A10592" s="1" t="str">
        <f>"01000342500"</f>
        <v>01000342500</v>
      </c>
      <c r="B10592" s="1" t="str">
        <f>"ROBINSON JEREMIAH"</f>
        <v>ROBINSON JEREMIAH</v>
      </c>
      <c r="C10592" s="1" t="str">
        <f>"426 GLENWOOD AVE SEE DUP FOR DESC AVONDALE LT 159-60"</f>
        <v>426 GLENWOOD AVE SEE DUP FOR DESC AVONDALE LT 159-60</v>
      </c>
      <c r="D10592" s="1">
        <v>1006.69</v>
      </c>
    </row>
    <row r="10593" spans="1:4" x14ac:dyDescent="0.3">
      <c r="A10593" s="1" t="str">
        <f>"01012636800"</f>
        <v>01012636800</v>
      </c>
      <c r="B10593" s="1" t="str">
        <f>"ROBINSON JOAN"</f>
        <v>ROBINSON JOAN</v>
      </c>
      <c r="C10593" s="1" t="str">
        <f>"1787 WOODFORD AVE AMERICAN ADDN. LOT 228"</f>
        <v>1787 WOODFORD AVE AMERICAN ADDN. LOT 228</v>
      </c>
      <c r="D10593" s="1">
        <v>996.75</v>
      </c>
    </row>
    <row r="10594" spans="1:4" x14ac:dyDescent="0.3">
      <c r="A10594" s="1" t="str">
        <f>"01003030200"</f>
        <v>01003030200</v>
      </c>
      <c r="B10594" s="1" t="str">
        <f>"ROBINSON JOAN, ROBINSON MARCEIA"</f>
        <v>ROBINSON JOAN, ROBINSON MARCEIA</v>
      </c>
      <c r="C10594" s="1" t="str">
        <f>"62 N 17TH ST BAKER LOT 11"</f>
        <v>62 N 17TH ST BAKER LOT 11</v>
      </c>
      <c r="D10594" s="1">
        <v>2979.36</v>
      </c>
    </row>
    <row r="10595" spans="1:4" x14ac:dyDescent="0.3">
      <c r="A10595" s="1" t="str">
        <f>"01008047700"</f>
        <v>01008047700</v>
      </c>
      <c r="B10595" s="1" t="str">
        <f>"ROBINSON JOAN, ROBINSON MARCEIA"</f>
        <v>ROBINSON JOAN, ROBINSON MARCEIA</v>
      </c>
      <c r="C10595" s="1" t="str">
        <f>"90 FT SS WINNER 1 ST LOT 8"</f>
        <v>90 FT SS WINNER 1 ST LOT 8</v>
      </c>
      <c r="D10595" s="1">
        <v>585.44000000000005</v>
      </c>
    </row>
    <row r="10596" spans="1:4" x14ac:dyDescent="0.3">
      <c r="A10596" s="1" t="str">
        <f>"01000999800"</f>
        <v>01000999800</v>
      </c>
      <c r="B10596" s="1" t="str">
        <f>"ROBINSON JOAN, ROBINSON MARCEIA"</f>
        <v>ROBINSON JOAN, ROBINSON MARCEIA</v>
      </c>
      <c r="C10596" s="1" t="str">
        <f>"153 ( OHIO AVE WINNERS 1ST LOT 25"</f>
        <v>153 ( OHIO AVE WINNERS 1ST LOT 25</v>
      </c>
      <c r="D10596" s="1">
        <v>1838.86</v>
      </c>
    </row>
    <row r="10597" spans="1:4" x14ac:dyDescent="0.3">
      <c r="A10597" s="1" t="str">
        <f>"01005023900"</f>
        <v>01005023900</v>
      </c>
      <c r="B10597" s="1" t="str">
        <f>"ROBINSON JOAN, ROBINSON MARCEIA"</f>
        <v>ROBINSON JOAN, ROBINSON MARCEIA</v>
      </c>
      <c r="C10597" s="1" t="str">
        <f>"56 N 17TH ST BAKER LOT10"</f>
        <v>56 N 17TH ST BAKER LOT10</v>
      </c>
      <c r="D10597" s="1">
        <v>1875.32</v>
      </c>
    </row>
    <row r="10598" spans="1:4" x14ac:dyDescent="0.3">
      <c r="A10598" s="1" t="str">
        <f>"01002245200"</f>
        <v>01002245200</v>
      </c>
      <c r="B10598" s="1" t="str">
        <f>"ROBINSON JOYCE"</f>
        <v>ROBINSON JOYCE</v>
      </c>
      <c r="C10598" s="1" t="str">
        <f>"1037 STUDER AVE S1-3 246&amp;ALL 247 STUDER AMD LOT 246-7"</f>
        <v>1037 STUDER AVE S1-3 246&amp;ALL 247 STUDER AMD LOT 246-7</v>
      </c>
      <c r="D10598" s="1">
        <v>3785.42</v>
      </c>
    </row>
    <row r="10599" spans="1:4" x14ac:dyDescent="0.3">
      <c r="A10599" s="1" t="str">
        <f>"01004824000"</f>
        <v>01004824000</v>
      </c>
      <c r="B10599" s="1" t="str">
        <f>"ROBINSON JOYCE, ROBINSON LEROY"</f>
        <v>ROBINSON JOYCE, ROBINSON LEROY</v>
      </c>
      <c r="C10599" s="1" t="str">
        <f>"864 ANN ST THOMPSONS ANN ST LOT 6"</f>
        <v>864 ANN ST THOMPSONS ANN ST LOT 6</v>
      </c>
      <c r="D10599" s="1">
        <v>3171.42</v>
      </c>
    </row>
    <row r="10600" spans="1:4" x14ac:dyDescent="0.3">
      <c r="A10600" s="1" t="str">
        <f>"01028288600"</f>
        <v>01028288600</v>
      </c>
      <c r="B10600" s="1" t="str">
        <f>"ROBINSON KYRA"</f>
        <v>ROBINSON KYRA</v>
      </c>
      <c r="C10600" s="1" t="str">
        <f>"WEYBRIDGE CONDOMINIUM UNIT 1237"</f>
        <v>WEYBRIDGE CONDOMINIUM UNIT 1237</v>
      </c>
      <c r="D10600" s="1">
        <v>1555.99</v>
      </c>
    </row>
    <row r="10601" spans="1:4" x14ac:dyDescent="0.3">
      <c r="A10601" s="1" t="str">
        <f>"01017893700"</f>
        <v>01017893700</v>
      </c>
      <c r="B10601" s="1" t="str">
        <f>"ROBINSON LYNDA S"</f>
        <v>ROBINSON LYNDA S</v>
      </c>
      <c r="C10601" s="1" t="str">
        <f>"GENTRY LANDING COND UNIT 40 "</f>
        <v xml:space="preserve">GENTRY LANDING COND UNIT 40 </v>
      </c>
      <c r="D10601" s="1">
        <v>1444.8</v>
      </c>
    </row>
    <row r="10602" spans="1:4" x14ac:dyDescent="0.3">
      <c r="A10602" s="1" t="str">
        <f>"01016743700"</f>
        <v>01016743700</v>
      </c>
      <c r="B10602" s="1" t="str">
        <f>"ROBINSON REGINA"</f>
        <v>ROBINSON REGINA</v>
      </c>
      <c r="C10602" s="1" t="str">
        <f>"MIDDLEHURST DR AMVET HOMESTEAD 2 LOT 34 BLK T"</f>
        <v>MIDDLEHURST DR AMVET HOMESTEAD 2 LOT 34 BLK T</v>
      </c>
      <c r="D10602" s="1">
        <v>1725.06</v>
      </c>
    </row>
    <row r="10603" spans="1:4" x14ac:dyDescent="0.3">
      <c r="A10603" s="1" t="str">
        <f>"01008906900"</f>
        <v>01008906900</v>
      </c>
      <c r="B10603" s="1" t="str">
        <f>"ROBINSON REGINA"</f>
        <v>ROBINSON REGINA</v>
      </c>
      <c r="C10603" s="1" t="str">
        <f>"BROADLEIGH EAST LOT 18 19 PT OF EACH "</f>
        <v xml:space="preserve">BROADLEIGH EAST LOT 18 19 PT OF EACH </v>
      </c>
      <c r="D10603" s="1">
        <v>2044.16</v>
      </c>
    </row>
    <row r="10604" spans="1:4" x14ac:dyDescent="0.3">
      <c r="A10604" s="1" t="str">
        <f>"01002883800"</f>
        <v>01002883800</v>
      </c>
      <c r="B10604" s="1" t="str">
        <f>"ROBINSON ROBERT L JR, ROBINSON JERRY D"</f>
        <v>ROBINSON ROBERT L JR, ROBINSON JERRY D</v>
      </c>
      <c r="C10604" s="1" t="str">
        <f>"1687 LEONARD AVE LEONARD 2ND LOT 34"</f>
        <v>1687 LEONARD AVE LEONARD 2ND LOT 34</v>
      </c>
      <c r="D10604" s="1">
        <v>2270.66</v>
      </c>
    </row>
    <row r="10605" spans="1:4" x14ac:dyDescent="0.3">
      <c r="A10605" s="1" t="str">
        <f>"01004220900"</f>
        <v>01004220900</v>
      </c>
      <c r="B10605" s="1" t="str">
        <f>"ROBINSON ROBERT L JR, ROBINSON JERRY D"</f>
        <v>ROBINSON ROBERT L JR, ROBINSON JERRY D</v>
      </c>
      <c r="C10605" s="1" t="str">
        <f>"1687 LEONARD AVE LEONARD 2ND LOT 33"</f>
        <v>1687 LEONARD AVE LEONARD 2ND LOT 33</v>
      </c>
      <c r="D10605" s="1">
        <v>215.64</v>
      </c>
    </row>
    <row r="10606" spans="1:4" x14ac:dyDescent="0.3">
      <c r="A10606" s="1" t="str">
        <f>"06000273500"</f>
        <v>06000273500</v>
      </c>
      <c r="B10606" s="1" t="str">
        <f>"ROBINSON RUSSELL D, ROBINSON JOYCE A"</f>
        <v>ROBINSON RUSSELL D, ROBINSON JOYCE A</v>
      </c>
      <c r="C10606" s="1" t="str">
        <f>"1795 STECKEL RD H C HUBER PLAT 38 SEC 2 LOT 1158"</f>
        <v>1795 STECKEL RD H C HUBER PLAT 38 SEC 2 LOT 1158</v>
      </c>
      <c r="D10606" s="1">
        <v>3494.04</v>
      </c>
    </row>
    <row r="10607" spans="1:4" x14ac:dyDescent="0.3">
      <c r="A10607" s="1" t="str">
        <f>"01013846600"</f>
        <v>01013846600</v>
      </c>
      <c r="B10607" s="1" t="str">
        <f>"ROBINSON SHERRY L"</f>
        <v>ROBINSON SHERRY L</v>
      </c>
      <c r="C10607" s="1" t="str">
        <f>"MELWOOD DR HOLLY HILL 8 LOT 702"</f>
        <v>MELWOOD DR HOLLY HILL 8 LOT 702</v>
      </c>
      <c r="D10607" s="1">
        <v>481.99</v>
      </c>
    </row>
    <row r="10608" spans="1:4" x14ac:dyDescent="0.3">
      <c r="A10608" s="1" t="str">
        <f>"01009617900"</f>
        <v>01009617900</v>
      </c>
      <c r="B10608" s="1" t="str">
        <f>"ROBINSON SUSAN"</f>
        <v>ROBINSON SUSAN</v>
      </c>
      <c r="C10608" s="1" t="str">
        <f>"E 7TH AVE CASSADYS 5TH AVE LOT 79"</f>
        <v>E 7TH AVE CASSADYS 5TH AVE LOT 79</v>
      </c>
      <c r="D10608" s="1">
        <v>192.16</v>
      </c>
    </row>
    <row r="10609" spans="1:4" x14ac:dyDescent="0.3">
      <c r="A10609" s="1" t="str">
        <f>"01007120600"</f>
        <v>01007120600</v>
      </c>
      <c r="B10609" s="1" t="str">
        <f>"ROBINSON SUSAN"</f>
        <v>ROBINSON SUSAN</v>
      </c>
      <c r="C10609" s="1" t="str">
        <f>"7TH AVE CASSADYS 5TH AVE LOT 78"</f>
        <v>7TH AVE CASSADYS 5TH AVE LOT 78</v>
      </c>
      <c r="D10609" s="1">
        <v>192.16</v>
      </c>
    </row>
    <row r="10610" spans="1:4" x14ac:dyDescent="0.3">
      <c r="A10610" s="1" t="str">
        <f>"01007073900"</f>
        <v>01007073900</v>
      </c>
      <c r="B10610" s="1" t="str">
        <f>"ROBINSON SUSAN"</f>
        <v>ROBINSON SUSAN</v>
      </c>
      <c r="C10610" s="1" t="str">
        <f>"7TH AV CASSADYS 5TH AVE LOT 77"</f>
        <v>7TH AV CASSADYS 5TH AVE LOT 77</v>
      </c>
      <c r="D10610" s="1">
        <v>192.16</v>
      </c>
    </row>
    <row r="10611" spans="1:4" x14ac:dyDescent="0.3">
      <c r="A10611" s="1" t="str">
        <f>"01010692100"</f>
        <v>01010692100</v>
      </c>
      <c r="B10611" s="1" t="str">
        <f>"ROBINSON-HARRIS GRACETINA, HARRIS RENALDO"</f>
        <v>ROBINSON-HARRIS GRACETINA, HARRIS RENALDO</v>
      </c>
      <c r="C10611" s="1" t="str">
        <f>"ASTOR AVE BARNETT HTS AMD LOT 15"</f>
        <v>ASTOR AVE BARNETT HTS AMD LOT 15</v>
      </c>
      <c r="D10611" s="1">
        <v>1343.24</v>
      </c>
    </row>
    <row r="10612" spans="1:4" x14ac:dyDescent="0.3">
      <c r="A10612" s="1" t="str">
        <f>"17000397400"</f>
        <v>17000397400</v>
      </c>
      <c r="B10612" s="1" t="str">
        <f>"ROBITAILLE KEVIN M, ROBITAILLE LISA"</f>
        <v>ROBITAILLE KEVIN M, ROBITAILLE LISA</v>
      </c>
      <c r="C10612" s="1" t="str">
        <f>"PINECREST SECTION 3 LOT 63"</f>
        <v>PINECREST SECTION 3 LOT 63</v>
      </c>
      <c r="D10612" s="1">
        <v>7651.32</v>
      </c>
    </row>
    <row r="10613" spans="1:4" x14ac:dyDescent="0.3">
      <c r="A10613" s="1" t="str">
        <f>"01004493000"</f>
        <v>01004493000</v>
      </c>
      <c r="B10613" s="1" t="str">
        <f>"ROBSON JENNIE A"</f>
        <v>ROBSON JENNIE A</v>
      </c>
      <c r="C10613" s="1" t="str">
        <f>"DOREN AVE EX. 1 FT WS LOT 262 GLENWOOD HTS LOT 262"</f>
        <v>DOREN AVE EX. 1 FT WS LOT 262 GLENWOOD HTS LOT 262</v>
      </c>
      <c r="D10613" s="1">
        <v>145.13</v>
      </c>
    </row>
    <row r="10614" spans="1:4" x14ac:dyDescent="0.3">
      <c r="A10614" s="1" t="str">
        <f>"01003195600"</f>
        <v>01003195600</v>
      </c>
      <c r="B10614" s="1" t="str">
        <f>"ROBSON JENNIE A"</f>
        <v>ROBSON JENNIE A</v>
      </c>
      <c r="C10614" s="1" t="str">
        <f>"1944 FAIRMONT AVE GLENWOOD HTS LOT61"</f>
        <v>1944 FAIRMONT AVE GLENWOOD HTS LOT61</v>
      </c>
      <c r="D10614" s="1">
        <v>124.63</v>
      </c>
    </row>
    <row r="10615" spans="1:4" x14ac:dyDescent="0.3">
      <c r="A10615" s="1" t="str">
        <f>"01006434200"</f>
        <v>01006434200</v>
      </c>
      <c r="B10615" s="1" t="str">
        <f>"ROBSON JOHN A"</f>
        <v>ROBSON JOHN A</v>
      </c>
      <c r="C10615" s="1" t="str">
        <f>"273 POWELL AVE CAMP CHASE HGTS LOT 265-6"</f>
        <v>273 POWELL AVE CAMP CHASE HGTS LOT 265-6</v>
      </c>
      <c r="D10615" s="1">
        <v>1063.3399999999999</v>
      </c>
    </row>
    <row r="10616" spans="1:4" x14ac:dyDescent="0.3">
      <c r="A10616" s="1" t="str">
        <f>"27300556300"</f>
        <v>27300556300</v>
      </c>
      <c r="B10616" s="1" t="str">
        <f>"ROBY JEFFREY A, ROBY BONNIE J"</f>
        <v>ROBY JEFFREY A, ROBY BONNIE J</v>
      </c>
      <c r="C10616" s="1" t="str">
        <f>"MUIRFIELD DR  INDIAN RUN MEADOWS SEC 5 PT RES C=0.744 ACRE"</f>
        <v>MUIRFIELD DR  INDIAN RUN MEADOWS SEC 5 PT RES C=0.744 ACRE</v>
      </c>
      <c r="D10616" s="1">
        <v>1478.19</v>
      </c>
    </row>
    <row r="10617" spans="1:4" x14ac:dyDescent="0.3">
      <c r="A10617" s="1" t="str">
        <f>"05001098100"</f>
        <v>05001098100</v>
      </c>
      <c r="B10617" s="1" t="str">
        <f>"ROCK JAMES, ROCK LINDA"</f>
        <v>ROCK JAMES, ROCK LINDA</v>
      </c>
      <c r="C10617" s="1" t="str">
        <f>"COSGRAY ROAD TRAIL EDGE LOT 9"</f>
        <v>COSGRAY ROAD TRAIL EDGE LOT 9</v>
      </c>
      <c r="D10617" s="1">
        <v>6381.56</v>
      </c>
    </row>
    <row r="10618" spans="1:4" x14ac:dyDescent="0.3">
      <c r="A10618" s="1" t="str">
        <f>"53016354300"</f>
        <v>53016354300</v>
      </c>
      <c r="B10618" s="1" t="str">
        <f>"ROCK STAR REALTY LLC"</f>
        <v>ROCK STAR REALTY LLC</v>
      </c>
      <c r="C10618" s="1" t="str">
        <f>"VALLEY GREEN CONDO NO 1 UNIT H-1"</f>
        <v>VALLEY GREEN CONDO NO 1 UNIT H-1</v>
      </c>
      <c r="D10618" s="1">
        <v>512.22</v>
      </c>
    </row>
    <row r="10619" spans="1:4" x14ac:dyDescent="0.3">
      <c r="A10619" s="1" t="str">
        <f>"01012097100"</f>
        <v>01012097100</v>
      </c>
      <c r="B10619" s="1" t="str">
        <f>"ROCK STAR REALTY LLC"</f>
        <v>ROCK STAR REALTY LLC</v>
      </c>
      <c r="C10619" s="1" t="str">
        <f>"MARKHAM RD HILLGATE 2 LOT 74"</f>
        <v>MARKHAM RD HILLGATE 2 LOT 74</v>
      </c>
      <c r="D10619" s="1">
        <v>1335.57</v>
      </c>
    </row>
    <row r="10620" spans="1:4" x14ac:dyDescent="0.3">
      <c r="A10620" s="1" t="str">
        <f>"01010253100"</f>
        <v>01010253100</v>
      </c>
      <c r="B10620" s="1" t="str">
        <f>"ROCK STAR REALTY LLC"</f>
        <v>ROCK STAR REALTY LLC</v>
      </c>
      <c r="C10620" s="1" t="str">
        <f>".40 ACRE SEC 13 URP LOT 17-18-19"</f>
        <v>.40 ACRE SEC 13 URP LOT 17-18-19</v>
      </c>
      <c r="D10620" s="1">
        <v>1956.93</v>
      </c>
    </row>
    <row r="10621" spans="1:4" x14ac:dyDescent="0.3">
      <c r="A10621" s="1" t="str">
        <f>"01012383900"</f>
        <v>01012383900</v>
      </c>
      <c r="B10621" s="1" t="str">
        <f>"ROCK STAR REALTY LLC"</f>
        <v>ROCK STAR REALTY LLC</v>
      </c>
      <c r="C10621" s="1" t="str">
        <f>"ALCOTT RD HILLGATE 3 LOT 69"</f>
        <v>ALCOTT RD HILLGATE 3 LOT 69</v>
      </c>
      <c r="D10621" s="1">
        <v>1124.8599999999999</v>
      </c>
    </row>
    <row r="10622" spans="1:4" x14ac:dyDescent="0.3">
      <c r="A10622" s="1" t="str">
        <f>"01011226000"</f>
        <v>01011226000</v>
      </c>
      <c r="B10622" s="1" t="str">
        <f>"ROCK STAR REALTY LLC"</f>
        <v>ROCK STAR REALTY LLC</v>
      </c>
      <c r="C10622" s="1" t="str">
        <f>"3086 LEWIS RD 1.573 ACRES R22T4S10 FISHER TRACT"</f>
        <v>3086 LEWIS RD 1.573 ACRES R22T4S10 FISHER TRACT</v>
      </c>
      <c r="D10622" s="1">
        <v>2321.29</v>
      </c>
    </row>
    <row r="10623" spans="1:4" x14ac:dyDescent="0.3">
      <c r="A10623" s="1" t="str">
        <f>"01010076300"</f>
        <v>01010076300</v>
      </c>
      <c r="B10623" s="1" t="str">
        <f>"ROCK STAR REALTY LLC"</f>
        <v>ROCK STAR REALTY LLC</v>
      </c>
      <c r="C10623" s="1" t="str">
        <f>"ACRES .201 PAR 104082-LOT 4 SEC 10 103984-LOT 3 SEC 8"</f>
        <v>ACRES .201 PAR 104082-LOT 4 SEC 10 103984-LOT 3 SEC 8</v>
      </c>
      <c r="D10623" s="1">
        <v>1521.19</v>
      </c>
    </row>
    <row r="10624" spans="1:4" x14ac:dyDescent="0.3">
      <c r="A10624" s="1" t="str">
        <f>"51026116400"</f>
        <v>51026116400</v>
      </c>
      <c r="B10624" s="1" t="str">
        <f>"ROCK STAR REALTY LLC"</f>
        <v>ROCK STAR REALTY LLC</v>
      </c>
      <c r="C10624" s="1" t="str">
        <f>"UMIAK DRIVE HAMILTON LAKES NORTH SECTION 3 LOT 134"</f>
        <v>UMIAK DRIVE HAMILTON LAKES NORTH SECTION 3 LOT 134</v>
      </c>
      <c r="D10624" s="1">
        <v>1815.65</v>
      </c>
    </row>
    <row r="10625" spans="1:4" x14ac:dyDescent="0.3">
      <c r="A10625" s="1" t="str">
        <f>"53016753800"</f>
        <v>53016753800</v>
      </c>
      <c r="B10625" s="1" t="str">
        <f>"ROCK STAR REALTY LLC"</f>
        <v>ROCK STAR REALTY LLC</v>
      </c>
      <c r="C10625" s="1" t="str">
        <f>"VALLEY GREEN CONDO NO 2 UNIT F 4"</f>
        <v>VALLEY GREEN CONDO NO 2 UNIT F 4</v>
      </c>
      <c r="D10625" s="1">
        <v>1005.06</v>
      </c>
    </row>
    <row r="10626" spans="1:4" x14ac:dyDescent="0.3">
      <c r="A10626" s="1" t="str">
        <f>"51022946000"</f>
        <v>51022946000</v>
      </c>
      <c r="B10626" s="1" t="str">
        <f>"ROCK STAR REALTY LLC"</f>
        <v>ROCK STAR REALTY LLC</v>
      </c>
      <c r="C10626" s="1" t="str">
        <f>"HAMILTON HEIGHTS SECTION 2 PART 1 LOT 44"</f>
        <v>HAMILTON HEIGHTS SECTION 2 PART 1 LOT 44</v>
      </c>
      <c r="D10626" s="1">
        <v>1525.93</v>
      </c>
    </row>
    <row r="10627" spans="1:4" x14ac:dyDescent="0.3">
      <c r="A10627" s="1" t="str">
        <f>"51010372300"</f>
        <v>51010372300</v>
      </c>
      <c r="B10627" s="1" t="str">
        <f>"ROCK STAR REALTY LLC"</f>
        <v>ROCK STAR REALTY LLC</v>
      </c>
      <c r="C10627" s="1" t="str">
        <f>"4079 CLABBER RD .165 ACRE R22 T4 S15"</f>
        <v>4079 CLABBER RD .165 ACRE R22 T4 S15</v>
      </c>
      <c r="D10627" s="1">
        <v>1234.7</v>
      </c>
    </row>
    <row r="10628" spans="1:4" x14ac:dyDescent="0.3">
      <c r="A10628" s="1" t="str">
        <f>"51014600600"</f>
        <v>51014600600</v>
      </c>
      <c r="B10628" s="1" t="str">
        <f>"ROCK STAR REALTY LLC"</f>
        <v>ROCK STAR REALTY LLC</v>
      </c>
      <c r="C10628" s="1" t="str">
        <f>"3727 CHAMPION AVE SOUTHERN PINES SEC 8 LOT 525"</f>
        <v>3727 CHAMPION AVE SOUTHERN PINES SEC 8 LOT 525</v>
      </c>
      <c r="D10628" s="1">
        <v>1258.9000000000001</v>
      </c>
    </row>
    <row r="10629" spans="1:4" x14ac:dyDescent="0.3">
      <c r="A10629" s="1" t="str">
        <f>"01014285700"</f>
        <v>01014285700</v>
      </c>
      <c r="B10629" s="1" t="str">
        <f>"ROCK STAR REALTY LLC"</f>
        <v>ROCK STAR REALTY LLC</v>
      </c>
      <c r="C10629" s="1" t="str">
        <f>"CHRISTIE RD W SOUTHERN PINES SEC 5 LOT 390"</f>
        <v>CHRISTIE RD W SOUTHERN PINES SEC 5 LOT 390</v>
      </c>
      <c r="D10629" s="1">
        <v>1421.14</v>
      </c>
    </row>
    <row r="10630" spans="1:4" x14ac:dyDescent="0.3">
      <c r="A10630" s="1" t="str">
        <f>"01014286500"</f>
        <v>01014286500</v>
      </c>
      <c r="B10630" s="1" t="str">
        <f>"ROCK STAR REALTY LLC"</f>
        <v>ROCK STAR REALTY LLC</v>
      </c>
      <c r="C10630" s="1" t="str">
        <f>"CHRISTIE RD N SOUTHERN PINES SEC 5 LOT 398"</f>
        <v>CHRISTIE RD N SOUTHERN PINES SEC 5 LOT 398</v>
      </c>
      <c r="D10630" s="1">
        <v>1241.75</v>
      </c>
    </row>
    <row r="10631" spans="1:4" x14ac:dyDescent="0.3">
      <c r="A10631" s="1" t="str">
        <f>"01014287600"</f>
        <v>01014287600</v>
      </c>
      <c r="B10631" s="1" t="str">
        <f>"ROCK STAR REALTY LLC"</f>
        <v>ROCK STAR REALTY LLC</v>
      </c>
      <c r="C10631" s="1" t="str">
        <f>"SOUTHERN PINES SEC 5 LOT 409 "</f>
        <v xml:space="preserve">SOUTHERN PINES SEC 5 LOT 409 </v>
      </c>
      <c r="D10631" s="1">
        <v>1358.55</v>
      </c>
    </row>
    <row r="10632" spans="1:4" x14ac:dyDescent="0.3">
      <c r="A10632" s="1" t="str">
        <f>"01013956800"</f>
        <v>01013956800</v>
      </c>
      <c r="B10632" s="1" t="str">
        <f>"ROCK STAR REALTY LLC"</f>
        <v>ROCK STAR REALTY LLC</v>
      </c>
      <c r="C10632" s="1" t="str">
        <f>"HARLAND CT SOUTHERN PINES SEC 2 LOT 144"</f>
        <v>HARLAND CT SOUTHERN PINES SEC 2 LOT 144</v>
      </c>
      <c r="D10632" s="1">
        <v>1406.51</v>
      </c>
    </row>
    <row r="10633" spans="1:4" x14ac:dyDescent="0.3">
      <c r="A10633" s="1" t="str">
        <f>"01014057200"</f>
        <v>01014057200</v>
      </c>
      <c r="B10633" s="1" t="str">
        <f>"ROCK STAR REALTY LLC"</f>
        <v>ROCK STAR REALTY LLC</v>
      </c>
      <c r="C10633" s="1" t="str">
        <f>"HILLMAN RD E SOUTHERN PINES SEC 3 LOT 265"</f>
        <v>HILLMAN RD E SOUTHERN PINES SEC 3 LOT 265</v>
      </c>
      <c r="D10633" s="1">
        <v>1512.52</v>
      </c>
    </row>
    <row r="10634" spans="1:4" x14ac:dyDescent="0.3">
      <c r="A10634" s="1" t="str">
        <f>"01015582800"</f>
        <v>01015582800</v>
      </c>
      <c r="B10634" s="1" t="str">
        <f>"ROCK STAR REALTY LLC"</f>
        <v>ROCK STAR REALTY LLC</v>
      </c>
      <c r="C10634" s="1" t="str">
        <f>"TELLEGA AVE SOUTHERN PINES SEC NO 12 LOT 772"</f>
        <v>TELLEGA AVE SOUTHERN PINES SEC NO 12 LOT 772</v>
      </c>
      <c r="D10634" s="1">
        <v>1353.24</v>
      </c>
    </row>
    <row r="10635" spans="1:4" x14ac:dyDescent="0.3">
      <c r="A10635" s="1" t="str">
        <f>"01013765500"</f>
        <v>01013765500</v>
      </c>
      <c r="B10635" s="1" t="str">
        <f>"ROCK STAR REALTY LLC"</f>
        <v>ROCK STAR REALTY LLC</v>
      </c>
      <c r="C10635" s="1" t="str">
        <f>"GLENDORA RD. SOUTHERN PINES SEC1 LOT 42"</f>
        <v>GLENDORA RD. SOUTHERN PINES SEC1 LOT 42</v>
      </c>
      <c r="D10635" s="1">
        <v>1254.1300000000001</v>
      </c>
    </row>
    <row r="10636" spans="1:4" x14ac:dyDescent="0.3">
      <c r="A10636" s="1" t="str">
        <f>"01013765600"</f>
        <v>01013765600</v>
      </c>
      <c r="B10636" s="1" t="str">
        <f>"ROCK STAR REALTY LLC"</f>
        <v>ROCK STAR REALTY LLC</v>
      </c>
      <c r="C10636" s="1" t="str">
        <f>"GLENDORA RD SOUTHERN PINESSEC1 LOT 43"</f>
        <v>GLENDORA RD SOUTHERN PINESSEC1 LOT 43</v>
      </c>
      <c r="D10636" s="1">
        <v>1336.57</v>
      </c>
    </row>
    <row r="10637" spans="1:4" x14ac:dyDescent="0.3">
      <c r="A10637" s="1" t="str">
        <f>"01013768500"</f>
        <v>01013768500</v>
      </c>
      <c r="B10637" s="1" t="str">
        <f>"ROCK STAR REALTY LLC"</f>
        <v>ROCK STAR REALTY LLC</v>
      </c>
      <c r="C10637" s="1" t="str">
        <f>"EDENDALE RD SOUTHERN PINES SEC 1 LOT 72"</f>
        <v>EDENDALE RD SOUTHERN PINES SEC 1 LOT 72</v>
      </c>
      <c r="D10637" s="1">
        <v>1130.6099999999999</v>
      </c>
    </row>
    <row r="10638" spans="1:4" x14ac:dyDescent="0.3">
      <c r="A10638" s="1" t="str">
        <f>"01013769000"</f>
        <v>01013769000</v>
      </c>
      <c r="B10638" s="1" t="str">
        <f>"ROCK STAR REALTY LLC"</f>
        <v>ROCK STAR REALTY LLC</v>
      </c>
      <c r="C10638" s="1" t="str">
        <f>"EDENSALE RD SOUTHERN PINES SEC 1 LOT 77"</f>
        <v>EDENSALE RD SOUTHERN PINES SEC 1 LOT 77</v>
      </c>
      <c r="D10638" s="1">
        <v>1583.33</v>
      </c>
    </row>
    <row r="10639" spans="1:4" x14ac:dyDescent="0.3">
      <c r="A10639" s="1" t="str">
        <f>"01016260100"</f>
        <v>01016260100</v>
      </c>
      <c r="B10639" s="1" t="str">
        <f>"ROCK STAR REALTY LLC"</f>
        <v>ROCK STAR REALTY LLC</v>
      </c>
      <c r="C10639" s="1" t="str">
        <f>"LEACH DRIVE RUSSELL LEACH SUBDIV LOT 56"</f>
        <v>LEACH DRIVE RUSSELL LEACH SUBDIV LOT 56</v>
      </c>
      <c r="D10639" s="1">
        <v>1442.74</v>
      </c>
    </row>
    <row r="10640" spans="1:4" x14ac:dyDescent="0.3">
      <c r="A10640" s="1" t="str">
        <f>"01013770900"</f>
        <v>01013770900</v>
      </c>
      <c r="B10640" s="1" t="str">
        <f>"ROCK STAR REALTY LLC"</f>
        <v>ROCK STAR REALTY LLC</v>
      </c>
      <c r="C10640" s="1" t="str">
        <f>"FRAZIER RD E 30FT NS 96 25FT SS 95 SOUTHERN PINES SEC 1"</f>
        <v>FRAZIER RD E 30FT NS 96 25FT SS 95 SOUTHERN PINES SEC 1</v>
      </c>
      <c r="D10640" s="1">
        <v>1506.46</v>
      </c>
    </row>
    <row r="10641" spans="1:4" x14ac:dyDescent="0.3">
      <c r="A10641" s="1" t="str">
        <f>"01014325800"</f>
        <v>01014325800</v>
      </c>
      <c r="B10641" s="1" t="str">
        <f>"ROCK STAR REALTY LLC"</f>
        <v>ROCK STAR REALTY LLC</v>
      </c>
      <c r="C10641" s="1" t="str">
        <f>"HIGBEE DR N SOUTHERN PINES 7 LOT 501"</f>
        <v>HIGBEE DR N SOUTHERN PINES 7 LOT 501</v>
      </c>
      <c r="D10641" s="1">
        <v>1058.26</v>
      </c>
    </row>
    <row r="10642" spans="1:4" x14ac:dyDescent="0.3">
      <c r="A10642" s="1" t="str">
        <f>"07000681700"</f>
        <v>07000681700</v>
      </c>
      <c r="B10642" s="1" t="str">
        <f>"ROCKEY DEVON"</f>
        <v>ROCKEY DEVON</v>
      </c>
      <c r="C10642" s="1" t="str">
        <f>"CRANFORD RD RIVER RIDGE 14 BLK 29"</f>
        <v>CRANFORD RD RIVER RIDGE 14 BLK 29</v>
      </c>
      <c r="D10642" s="1">
        <v>1020.79</v>
      </c>
    </row>
    <row r="10643" spans="1:4" x14ac:dyDescent="0.3">
      <c r="A10643" s="1" t="str">
        <f>"04001380300"</f>
        <v>04001380300</v>
      </c>
      <c r="B10643" s="1" t="str">
        <f>"ROCKFORD HOMES INC"</f>
        <v>ROCKFORD HOMES INC</v>
      </c>
      <c r="C10643" s="1" t="str">
        <f>"1639 HARTIG DRIVE         PINNACLE CLUB SECTION 5   LOT 485                  "</f>
        <v xml:space="preserve">1639 HARTIG DRIVE         PINNACLE CLUB SECTION 5   LOT 485                  </v>
      </c>
      <c r="D10643" s="1">
        <v>1965.26</v>
      </c>
    </row>
    <row r="10644" spans="1:4" x14ac:dyDescent="0.3">
      <c r="A10644" s="1" t="str">
        <f>"01009737200"</f>
        <v>01009737200</v>
      </c>
      <c r="B10644" s="1" t="str">
        <f>"ROCKWELL JAMES WILLIAM"</f>
        <v>ROCKWELL JAMES WILLIAM</v>
      </c>
      <c r="C10644" s="1" t="str">
        <f>"228 CERAMIC DRIVE CERAMIC PARK LOT 18"</f>
        <v>228 CERAMIC DRIVE CERAMIC PARK LOT 18</v>
      </c>
      <c r="D10644" s="1">
        <v>8201.11</v>
      </c>
    </row>
    <row r="10645" spans="1:4" x14ac:dyDescent="0.3">
      <c r="A10645" s="1" t="str">
        <f>"01011876700"</f>
        <v>01011876700</v>
      </c>
      <c r="B10645" s="1" t="str">
        <f>"ROCKY ROAD DEVELOPMENT LLC"</f>
        <v>ROCKY ROAD DEVELOPMENT LLC</v>
      </c>
      <c r="C10645" s="1" t="str">
        <f>"CATALPA DR CATALPA PARK 2 LOT 51 52"</f>
        <v>CATALPA DR CATALPA PARK 2 LOT 51 52</v>
      </c>
      <c r="D10645" s="1">
        <v>33.630000000000003</v>
      </c>
    </row>
    <row r="10646" spans="1:4" x14ac:dyDescent="0.3">
      <c r="A10646" s="1" t="str">
        <f>"01011876600"</f>
        <v>01011876600</v>
      </c>
      <c r="B10646" s="1" t="str">
        <f>"ROCKY ROAD DEVELOPMENT LLC"</f>
        <v>ROCKY ROAD DEVELOPMENT LLC</v>
      </c>
      <c r="C10646" s="1" t="str">
        <f>"WALNUT RD CATALPA PARK 2 LOT 50"</f>
        <v>WALNUT RD CATALPA PARK 2 LOT 50</v>
      </c>
      <c r="D10646" s="1">
        <v>16.93</v>
      </c>
    </row>
    <row r="10647" spans="1:4" x14ac:dyDescent="0.3">
      <c r="A10647" s="1" t="str">
        <f>"01013619400"</f>
        <v>01013619400</v>
      </c>
      <c r="B10647" s="1" t="str">
        <f>"RODGERS FRED L"</f>
        <v>RODGERS FRED L</v>
      </c>
      <c r="C10647" s="1" t="str">
        <f>"MAYBURY RD WALNUT BLUFF 2 LOT 695"</f>
        <v>MAYBURY RD WALNUT BLUFF 2 LOT 695</v>
      </c>
      <c r="D10647" s="1">
        <v>1239.49</v>
      </c>
    </row>
    <row r="10648" spans="1:4" x14ac:dyDescent="0.3">
      <c r="A10648" s="1" t="str">
        <f>"01007118700"</f>
        <v>01007118700</v>
      </c>
      <c r="B10648" s="1" t="str">
        <f>"RODGERS KATHLEEN"</f>
        <v>RODGERS KATHLEEN</v>
      </c>
      <c r="C10648" s="1" t="str">
        <f>"1780 KENWORTH ROAD NORTH LAWN LOT 36"</f>
        <v>1780 KENWORTH ROAD NORTH LAWN LOT 36</v>
      </c>
      <c r="D10648" s="1">
        <v>2407.9699999999998</v>
      </c>
    </row>
    <row r="10649" spans="1:4" x14ac:dyDescent="0.3">
      <c r="A10649" s="1" t="str">
        <f>"01013517500"</f>
        <v>01013517500</v>
      </c>
      <c r="B10649" s="1" t="str">
        <f>"RODRIGUEZ BRENDA K"</f>
        <v>RODRIGUEZ BRENDA K</v>
      </c>
      <c r="C10649" s="1" t="str">
        <f>"NICHOLAS AVE BROOKSHIRE S LOT 206"</f>
        <v>NICHOLAS AVE BROOKSHIRE S LOT 206</v>
      </c>
      <c r="D10649" s="1">
        <v>3112.49</v>
      </c>
    </row>
    <row r="10650" spans="1:4" x14ac:dyDescent="0.3">
      <c r="A10650" s="1" t="str">
        <f>"07000295800"</f>
        <v>07000295800</v>
      </c>
      <c r="B10650" s="1" t="str">
        <f>"RODRIGUEZ GARCIA ADRIAN, ELIAS GARCIA ANN"</f>
        <v>RODRIGUEZ GARCIA ADRIAN, ELIAS GARCIA ANN</v>
      </c>
      <c r="C10650" s="1" t="str">
        <f>"2492 ONANDAGA DR UPPER ARLINGTON LOT 4 BLK 251"</f>
        <v>2492 ONANDAGA DR UPPER ARLINGTON LOT 4 BLK 251</v>
      </c>
      <c r="D10650" s="1">
        <v>30557.13</v>
      </c>
    </row>
    <row r="10651" spans="1:4" x14ac:dyDescent="0.3">
      <c r="A10651" s="1" t="str">
        <f>"01012565400"</f>
        <v>01012565400</v>
      </c>
      <c r="B10651" s="1" t="str">
        <f>"RODRIGUEZ OSMAN A"</f>
        <v>RODRIGUEZ OSMAN A</v>
      </c>
      <c r="C10651" s="1" t="str">
        <f>"BLUE SPRUCE PLACE BLENDON PARK LOT 5"</f>
        <v>BLUE SPRUCE PLACE BLENDON PARK LOT 5</v>
      </c>
      <c r="D10651" s="1">
        <v>1376.3</v>
      </c>
    </row>
    <row r="10652" spans="1:4" x14ac:dyDescent="0.3">
      <c r="A10652" s="1" t="str">
        <f>"01006102600"</f>
        <v>01006102600</v>
      </c>
      <c r="B10652" s="1" t="str">
        <f>"RODRIGUEZ SERGIO"</f>
        <v>RODRIGUEZ SERGIO</v>
      </c>
      <c r="C10652" s="1" t="str">
        <f>"1640 KOHR PL E INNISCREST SUBD LOT 371"</f>
        <v>1640 KOHR PL E INNISCREST SUBD LOT 371</v>
      </c>
      <c r="D10652" s="1">
        <v>938.66</v>
      </c>
    </row>
    <row r="10653" spans="1:4" x14ac:dyDescent="0.3">
      <c r="A10653" s="1" t="str">
        <f>"01013056100"</f>
        <v>01013056100</v>
      </c>
      <c r="B10653" s="1" t="str">
        <f>"RODRIQUEZ LIBORIO, REYES SOFIA S"</f>
        <v>RODRIQUEZ LIBORIO, REYES SOFIA S</v>
      </c>
      <c r="C10653" s="1" t="str">
        <f>"HALSEY PLACE HOLLY HILL 3 LOT 388"</f>
        <v>HALSEY PLACE HOLLY HILL 3 LOT 388</v>
      </c>
      <c r="D10653" s="1">
        <v>125.83</v>
      </c>
    </row>
    <row r="10654" spans="1:4" x14ac:dyDescent="0.3">
      <c r="A10654" s="1" t="str">
        <f>"19000145600"</f>
        <v>19000145600</v>
      </c>
      <c r="B10654" s="1" t="str">
        <f>"RODRIQUEZ MARVIN, JOHNSON CHARLENE"</f>
        <v>RODRIQUEZ MARVIN, JOHNSON CHARLENE</v>
      </c>
      <c r="C10654" s="1" t="str">
        <f>"REPUBLIC &amp; RANKIN AVE 44FT E S GREENDALE PL 102"</f>
        <v>REPUBLIC &amp; RANKIN AVE 44FT E S GREENDALE PL 102</v>
      </c>
      <c r="D10654" s="1">
        <v>3137.33</v>
      </c>
    </row>
    <row r="10655" spans="1:4" x14ac:dyDescent="0.3">
      <c r="A10655" s="1" t="str">
        <f>"01021329400"</f>
        <v>01021329400</v>
      </c>
      <c r="B10655" s="1" t="str">
        <f>"ROE KATHY C"</f>
        <v>ROE KATHY C</v>
      </c>
      <c r="C10655" s="1" t="str">
        <f>"NORTHLAND SENIOR VILLAGE CONDO IV UNIT 123"</f>
        <v>NORTHLAND SENIOR VILLAGE CONDO IV UNIT 123</v>
      </c>
      <c r="D10655" s="1">
        <v>845.99</v>
      </c>
    </row>
    <row r="10656" spans="1:4" x14ac:dyDescent="0.3">
      <c r="A10656" s="1" t="str">
        <f>"27300776500"</f>
        <v>27300776500</v>
      </c>
      <c r="B10656" s="1" t="str">
        <f>"ROECKELEIN JON, ROECKELEIN RENEE"</f>
        <v>ROECKELEIN JON, ROECKELEIN RENEE</v>
      </c>
      <c r="C10656" s="1" t="str">
        <f>"MUIRFIELD VILLAGE PHASE 44 SECTION 2 LOT 2147"</f>
        <v>MUIRFIELD VILLAGE PHASE 44 SECTION 2 LOT 2147</v>
      </c>
      <c r="D10656" s="1">
        <v>8783.98</v>
      </c>
    </row>
    <row r="10657" spans="1:4" x14ac:dyDescent="0.3">
      <c r="A10657" s="1" t="str">
        <f>"01003654500"</f>
        <v>01003654500</v>
      </c>
      <c r="B10657" s="1" t="str">
        <f>"ROEHLL TRENT, ROEHLL MEGHAN"</f>
        <v>ROEHLL TRENT, ROEHLL MEGHAN</v>
      </c>
      <c r="C10657" s="1" t="str">
        <f>"2248 INDIANA AVE INDIANOLA HTS LOT 52"</f>
        <v>2248 INDIANA AVE INDIANOLA HTS LOT 52</v>
      </c>
      <c r="D10657" s="1">
        <v>2125.85</v>
      </c>
    </row>
    <row r="10658" spans="1:4" x14ac:dyDescent="0.3">
      <c r="A10658" s="1" t="str">
        <f>"01027700800"</f>
        <v>01027700800</v>
      </c>
      <c r="B10658" s="1" t="str">
        <f>"ROESKY ROBERT J JR, ERIKSEN THERESA D"</f>
        <v>ROESKY ROBERT J JR, ERIKSEN THERESA D</v>
      </c>
      <c r="C10658" s="1" t="str">
        <f>"COBBLESTONE AT THE PRESERVE CONDOMINIUM 1ST AMD UNIT 34-4127"</f>
        <v>COBBLESTONE AT THE PRESERVE CONDOMINIUM 1ST AMD UNIT 34-4127</v>
      </c>
      <c r="D10658" s="1">
        <v>575.01</v>
      </c>
    </row>
    <row r="10659" spans="1:4" x14ac:dyDescent="0.3">
      <c r="A10659" s="1" t="str">
        <f>"01014294300"</f>
        <v>01014294300</v>
      </c>
      <c r="B10659" s="1" t="str">
        <f>"ROGERS CHARLES H JR"</f>
        <v>ROGERS CHARLES H JR</v>
      </c>
      <c r="C10659" s="1" t="str">
        <f>"SAGECREST DR WOODWARD PARK WEST LOT 1"</f>
        <v>SAGECREST DR WOODWARD PARK WEST LOT 1</v>
      </c>
      <c r="D10659" s="1">
        <v>259.7</v>
      </c>
    </row>
    <row r="10660" spans="1:4" x14ac:dyDescent="0.3">
      <c r="A10660" s="1" t="str">
        <f>"01007731700"</f>
        <v>01007731700</v>
      </c>
      <c r="B10660" s="1" t="str">
        <f>"ROGERS CHELSEA"</f>
        <v>ROGERS CHELSEA</v>
      </c>
      <c r="C10660" s="1" t="str">
        <f>"688-90 MILLER AVE T MILLER LOT 94-93"</f>
        <v>688-90 MILLER AVE T MILLER LOT 94-93</v>
      </c>
      <c r="D10660" s="1">
        <v>1648.34</v>
      </c>
    </row>
    <row r="10661" spans="1:4" x14ac:dyDescent="0.3">
      <c r="A10661" s="1" t="str">
        <f>"01010241100"</f>
        <v>01010241100</v>
      </c>
      <c r="B10661" s="1" t="str">
        <f>"ROGERS EVAN, ROGERS TREVOR"</f>
        <v>ROGERS EVAN, ROGERS TREVOR</v>
      </c>
      <c r="C10661" s="1" t="str">
        <f>"FENTON ST BEAUMONT LOT 171"</f>
        <v>FENTON ST BEAUMONT LOT 171</v>
      </c>
      <c r="D10661" s="1">
        <v>3090.67</v>
      </c>
    </row>
    <row r="10662" spans="1:4" x14ac:dyDescent="0.3">
      <c r="A10662" s="1" t="str">
        <f>"01010090900"</f>
        <v>01010090900</v>
      </c>
      <c r="B10662" s="1" t="str">
        <f>"ROGERS FRANCES LE, ROGERS MOESHA LYNN 1/2 RMDR (IF LAMONT PREDECEASES FRANCES), ROGERS TRINAYSHIA 1/2 RMDR (IF LAMONT PREDECEASES FRANCES), HOWARD LAMONT RMDR"</f>
        <v>ROGERS FRANCES LE, ROGERS MOESHA LYNN 1/2 RMDR (IF LAMONT PREDECEASES FRANCES), ROGERS TRINAYSHIA 1/2 RMDR (IF LAMONT PREDECEASES FRANCES), HOWARD LAMONT RMDR</v>
      </c>
      <c r="C10662" s="1" t="str">
        <f>"MORTHRIDGE RD OAK PARK ADN 11 LOT 42"</f>
        <v>MORTHRIDGE RD OAK PARK ADN 11 LOT 42</v>
      </c>
      <c r="D10662" s="1">
        <v>2727.3</v>
      </c>
    </row>
    <row r="10663" spans="1:4" x14ac:dyDescent="0.3">
      <c r="A10663" s="1" t="str">
        <f>"01027072400"</f>
        <v>01027072400</v>
      </c>
      <c r="B10663" s="1" t="str">
        <f>"ROGERS JONATHAN N"</f>
        <v>ROGERS JONATHAN N</v>
      </c>
      <c r="C10663" s="1" t="str">
        <f>"THE STERLING CONDOMINIUM UNIT S4 (STORAGE UNIT)"</f>
        <v>THE STERLING CONDOMINIUM UNIT S4 (STORAGE UNIT)</v>
      </c>
      <c r="D10663" s="1">
        <v>28.14</v>
      </c>
    </row>
    <row r="10664" spans="1:4" x14ac:dyDescent="0.3">
      <c r="A10664" s="1" t="str">
        <f>"08000618400"</f>
        <v>08000618400</v>
      </c>
      <c r="B10664" s="1" t="str">
        <f>"ROGERS LARRY L, ROGERS CLAUDIA L"</f>
        <v>ROGERS LARRY L, ROGERS CLAUDIA L</v>
      </c>
      <c r="C10664" s="1" t="str">
        <f>"SPRING GROVE EXT S1 CORBIN COURT LOT 261"</f>
        <v>SPRING GROVE EXT S1 CORBIN COURT LOT 261</v>
      </c>
      <c r="D10664" s="1">
        <v>3731.87</v>
      </c>
    </row>
    <row r="10665" spans="1:4" x14ac:dyDescent="0.3">
      <c r="A10665" s="1" t="str">
        <f>"08000544200"</f>
        <v>08000544200</v>
      </c>
      <c r="B10665" s="1" t="str">
        <f>"ROGERS LARRY L, ROGERS CLAUDIA L"</f>
        <v>ROGERS LARRY L, ROGERS CLAUDIA L</v>
      </c>
      <c r="C10665" s="1" t="str">
        <f>"HERITAGE CONDOMINIUM BLDG 14 UNIT 4-E"</f>
        <v>HERITAGE CONDOMINIUM BLDG 14 UNIT 4-E</v>
      </c>
      <c r="D10665" s="1">
        <v>1695.72</v>
      </c>
    </row>
    <row r="10666" spans="1:4" x14ac:dyDescent="0.3">
      <c r="A10666" s="1" t="str">
        <f>"01001439400"</f>
        <v>01001439400</v>
      </c>
      <c r="B10666" s="1" t="str">
        <f>"ROGERS LAURA LEE"</f>
        <v>ROGERS LAURA LEE</v>
      </c>
      <c r="C10666" s="1" t="str">
        <f>"355 S GLENWOOD AVE HAMILTON PL LOT 4-5"</f>
        <v>355 S GLENWOOD AVE HAMILTON PL LOT 4-5</v>
      </c>
      <c r="D10666" s="1">
        <v>2390.5100000000002</v>
      </c>
    </row>
    <row r="10667" spans="1:4" x14ac:dyDescent="0.3">
      <c r="A10667" s="1" t="str">
        <f>"02500096700"</f>
        <v>02500096700</v>
      </c>
      <c r="B10667" s="1" t="str">
        <f>"ROGERS MICHAEL"</f>
        <v>ROGERS MICHAEL</v>
      </c>
      <c r="C10667" s="1" t="str">
        <f>"52 PRICE RD 4.5 ACRES R17 T1 1-4T 4"</f>
        <v>52 PRICE RD 4.5 ACRES R17 T1 1-4T 4</v>
      </c>
      <c r="D10667" s="1">
        <v>501.43</v>
      </c>
    </row>
    <row r="10668" spans="1:4" x14ac:dyDescent="0.3">
      <c r="A10668" s="1" t="str">
        <f>"61017837900"</f>
        <v>61017837900</v>
      </c>
      <c r="B10668" s="1" t="str">
        <f>"ROGERS PETER F, ROGERS MARY E"</f>
        <v>ROGERS PETER F, ROGERS MARY E</v>
      </c>
      <c r="C10668" s="1" t="str">
        <f>"WERNER WAY OLENTANGY HIGHLNDS 6 LOT 373"</f>
        <v>WERNER WAY OLENTANGY HIGHLNDS 6 LOT 373</v>
      </c>
      <c r="D10668" s="1">
        <v>486.12</v>
      </c>
    </row>
    <row r="10669" spans="1:4" x14ac:dyDescent="0.3">
      <c r="A10669" s="1" t="str">
        <f>"01007441400"</f>
        <v>01007441400</v>
      </c>
      <c r="B10669" s="1" t="str">
        <f>"ROGERS ROSIE M"</f>
        <v>ROGERS ROSIE M</v>
      </c>
      <c r="C10669" s="1" t="str">
        <f>"GREENWICH FICKELLS RES B &amp; PT AL CREST LINDEN 47'SE L35-8"</f>
        <v>GREENWICH FICKELLS RES B &amp; PT AL CREST LINDEN 47'SE L35-8</v>
      </c>
      <c r="D10669" s="1">
        <v>643.52</v>
      </c>
    </row>
    <row r="10670" spans="1:4" x14ac:dyDescent="0.3">
      <c r="A10670" s="1" t="str">
        <f>"01007441300"</f>
        <v>01007441300</v>
      </c>
      <c r="B10670" s="1" t="str">
        <f>"ROGERS ROSIE M"</f>
        <v>ROGERS ROSIE M</v>
      </c>
      <c r="C10670" s="1" t="str">
        <f>"2873 CLEVELAND AVE HC FICKELLS RES A"</f>
        <v>2873 CLEVELAND AVE HC FICKELLS RES A</v>
      </c>
      <c r="D10670" s="1">
        <v>5689.46</v>
      </c>
    </row>
    <row r="10671" spans="1:4" x14ac:dyDescent="0.3">
      <c r="A10671" s="1" t="str">
        <f>"01001858100"</f>
        <v>01001858100</v>
      </c>
      <c r="B10671" s="1" t="str">
        <f>"ROGERS SARAH ALYSSA"</f>
        <v>ROGERS SARAH ALYSSA</v>
      </c>
      <c r="C10671" s="1" t="str">
        <f>"411 ARCADIA AVENUE INDIANOLA PK VIEW 2 LT232-4&amp;21'NS LT231"</f>
        <v>411 ARCADIA AVENUE INDIANOLA PK VIEW 2 LT232-4&amp;21'NS LT231</v>
      </c>
      <c r="D10671" s="1">
        <v>4479.62</v>
      </c>
    </row>
    <row r="10672" spans="1:4" x14ac:dyDescent="0.3">
      <c r="A10672" s="1" t="str">
        <f>"19000396900"</f>
        <v>19000396900</v>
      </c>
      <c r="B10672" s="1" t="str">
        <f>"ROGERS VIRGINIA"</f>
        <v>ROGERS VIRGINIA</v>
      </c>
      <c r="C10672" s="1" t="str">
        <f>"PARK COURT NORTHGLEN LOT 209"</f>
        <v>PARK COURT NORTHGLEN LOT 209</v>
      </c>
      <c r="D10672" s="1">
        <v>1403.49</v>
      </c>
    </row>
    <row r="10673" spans="1:4" x14ac:dyDescent="0.3">
      <c r="A10673" s="1" t="str">
        <f>"01012867200"</f>
        <v>01012867200</v>
      </c>
      <c r="B10673" s="1" t="str">
        <f>"ROHLAND MICHAEL"</f>
        <v>ROHLAND MICHAEL</v>
      </c>
      <c r="C10673" s="1" t="str">
        <f>"ROCHE COURT W 5423 SALEM VILLAGE LOT 60"</f>
        <v>ROCHE COURT W 5423 SALEM VILLAGE LOT 60</v>
      </c>
      <c r="D10673" s="1">
        <v>3822.86</v>
      </c>
    </row>
    <row r="10674" spans="1:4" x14ac:dyDescent="0.3">
      <c r="A10674" s="1" t="str">
        <f>"16000019300"</f>
        <v>16000019300</v>
      </c>
      <c r="B10674" s="1" t="str">
        <f>"ROHRBACHER TIMOTHY, ROHRBACHER BARBARA"</f>
        <v>ROHRBACHER TIMOTHY, ROHRBACHER BARBARA</v>
      </c>
      <c r="C10674" s="1" t="str">
        <f>"4331 RENSCH RD OQ 2222 ENTRY 1383 1.130 ACRES"</f>
        <v>4331 RENSCH RD OQ 2222 ENTRY 1383 1.130 ACRES</v>
      </c>
      <c r="D10674" s="1">
        <v>857.45</v>
      </c>
    </row>
    <row r="10675" spans="1:4" x14ac:dyDescent="0.3">
      <c r="A10675" s="1" t="str">
        <f>"01016149600"</f>
        <v>01016149600</v>
      </c>
      <c r="B10675" s="1" t="str">
        <f>"ROJO PEREZ GUSTAVO"</f>
        <v>ROJO PEREZ GUSTAVO</v>
      </c>
      <c r="C10675" s="1" t="str">
        <f>"2884 WHITLOW RD CHATTERTON GARDENS LOT 119"</f>
        <v>2884 WHITLOW RD CHATTERTON GARDENS LOT 119</v>
      </c>
      <c r="D10675" s="1">
        <v>1374.69</v>
      </c>
    </row>
    <row r="10676" spans="1:4" x14ac:dyDescent="0.3">
      <c r="A10676" s="1" t="str">
        <f>"59020076100"</f>
        <v>59020076100</v>
      </c>
      <c r="B10676" s="1" t="str">
        <f>"ROLL DIANNA L TTEE"</f>
        <v>ROLL DIANNA L TTEE</v>
      </c>
      <c r="C10676" s="1" t="str">
        <f>"SEDGEBROOK CT OLDE SAWMILL SEC 13 LOT 1230"</f>
        <v>SEDGEBROOK CT OLDE SAWMILL SEC 13 LOT 1230</v>
      </c>
      <c r="D10676" s="1">
        <v>4390</v>
      </c>
    </row>
    <row r="10677" spans="1:4" x14ac:dyDescent="0.3">
      <c r="A10677" s="1" t="str">
        <f>"01008065400"</f>
        <v>01008065400</v>
      </c>
      <c r="B10677" s="1" t="str">
        <f>"ROLLINS DANIEL J"</f>
        <v>ROLLINS DANIEL J</v>
      </c>
      <c r="C10677" s="1" t="str">
        <f>"LILLEY AVE DRIVING PARK LOT 155"</f>
        <v>LILLEY AVE DRIVING PARK LOT 155</v>
      </c>
      <c r="D10677" s="1">
        <v>815.78</v>
      </c>
    </row>
    <row r="10678" spans="1:4" x14ac:dyDescent="0.3">
      <c r="A10678" s="1" t="str">
        <f>"18000221600"</f>
        <v>18000221600</v>
      </c>
      <c r="B10678" s="1" t="str">
        <f>"ROLLINS FRANK JR, ROLLINS VIRGINIA G"</f>
        <v>ROLLINS FRANK JR, ROLLINS VIRGINIA G</v>
      </c>
      <c r="C10678" s="1" t="str">
        <f>"EWALD DR BLACKLICK ESTATES 1 358"</f>
        <v>EWALD DR BLACKLICK ESTATES 1 358</v>
      </c>
      <c r="D10678" s="1">
        <v>155.78</v>
      </c>
    </row>
    <row r="10679" spans="1:4" x14ac:dyDescent="0.3">
      <c r="A10679" s="1" t="str">
        <f>"01010816200"</f>
        <v>01010816200</v>
      </c>
      <c r="B10679" s="1" t="str">
        <f>"ROLLINS PIERRE A"</f>
        <v>ROLLINS PIERRE A</v>
      </c>
      <c r="C10679" s="1" t="str">
        <f>"BERKELEY RD 77FT WS OF EACH FJ MOELLERS NEW ADDN LOT 21-22"</f>
        <v>BERKELEY RD 77FT WS OF EACH FJ MOELLERS NEW ADDN LOT 21-22</v>
      </c>
      <c r="D10679" s="1">
        <v>1618.43</v>
      </c>
    </row>
    <row r="10680" spans="1:4" x14ac:dyDescent="0.3">
      <c r="A10680" s="1" t="str">
        <f>"07001262900"</f>
        <v>07001262900</v>
      </c>
      <c r="B10680" s="1" t="str">
        <f>"ROLLINS TIMOTHY, ROLLINS JENNIFER"</f>
        <v>ROLLINS TIMOTHY, ROLLINS JENNIFER</v>
      </c>
      <c r="C10680" s="1" t="str">
        <f>"KENBROOK HILLS CONDOMINIUM BLDG 1 UNIT 5"</f>
        <v>KENBROOK HILLS CONDOMINIUM BLDG 1 UNIT 5</v>
      </c>
      <c r="D10680" s="1">
        <v>6324.33</v>
      </c>
    </row>
    <row r="10681" spans="1:4" x14ac:dyDescent="0.3">
      <c r="A10681" s="1" t="str">
        <f>"06000040900"</f>
        <v>06000040900</v>
      </c>
      <c r="B10681" s="1" t="str">
        <f>"ROLWING RICHARD J TR, ROLWING PATRICIA A TR"</f>
        <v>ROLWING RICHARD J TR, ROLWING PATRICIA A TR</v>
      </c>
      <c r="C10681" s="1" t="str">
        <f>"BURKEY AVE MARABAR HTS 2 84 "</f>
        <v xml:space="preserve">BURKEY AVE MARABAR HTS 2 84 </v>
      </c>
      <c r="D10681" s="1">
        <v>175.35</v>
      </c>
    </row>
    <row r="10682" spans="1:4" x14ac:dyDescent="0.3">
      <c r="A10682" s="1" t="str">
        <f>"01013607600"</f>
        <v>01013607600</v>
      </c>
      <c r="B10682" s="1" t="str">
        <f>"ROMAN BARBARA A"</f>
        <v>ROMAN BARBARA A</v>
      </c>
      <c r="C10682" s="1" t="str">
        <f>"JAMESON DR WALNUT BLUFF 2 LOT 577"</f>
        <v>JAMESON DR WALNUT BLUFF 2 LOT 577</v>
      </c>
      <c r="D10682" s="1">
        <v>1124.73</v>
      </c>
    </row>
    <row r="10683" spans="1:4" x14ac:dyDescent="0.3">
      <c r="A10683" s="1" t="str">
        <f>"01003719800"</f>
        <v>01003719800</v>
      </c>
      <c r="B10683" s="1" t="str">
        <f>"ROMANCZUK BARBARA L"</f>
        <v>ROMANCZUK BARBARA L</v>
      </c>
      <c r="C10683" s="1" t="str">
        <f>"380 REINHARD AVE BLESCH&amp;KREMER LOT 42"</f>
        <v>380 REINHARD AVE BLESCH&amp;KREMER LOT 42</v>
      </c>
      <c r="D10683" s="1">
        <v>351.45</v>
      </c>
    </row>
    <row r="10684" spans="1:4" x14ac:dyDescent="0.3">
      <c r="A10684" s="1" t="str">
        <f>"04000523100"</f>
        <v>04000523100</v>
      </c>
      <c r="B10684" s="1" t="str">
        <f>"ROMANS 7 LLC"</f>
        <v>ROMANS 7 LLC</v>
      </c>
      <c r="C10684" s="1" t="str">
        <f>"5474 HOOVER ROAD ENTRY 6840 0.713 ACRE"</f>
        <v>5474 HOOVER ROAD ENTRY 6840 0.713 ACRE</v>
      </c>
      <c r="D10684" s="1">
        <v>5466.57</v>
      </c>
    </row>
    <row r="10685" spans="1:4" x14ac:dyDescent="0.3">
      <c r="A10685" s="1" t="str">
        <f>"04000660200"</f>
        <v>04000660200</v>
      </c>
      <c r="B10685" s="1" t="str">
        <f>"ROMANS 7 LLC"</f>
        <v>ROMANS 7 LLC</v>
      </c>
      <c r="C10685" s="1" t="str">
        <f>"BLUEGRASS LANE MEADOW GROVE SEC 4 RESERVE A .078 ACRES"</f>
        <v>BLUEGRASS LANE MEADOW GROVE SEC 4 RESERVE A .078 ACRES</v>
      </c>
      <c r="D10685" s="1">
        <v>157.88999999999999</v>
      </c>
    </row>
    <row r="10686" spans="1:4" x14ac:dyDescent="0.3">
      <c r="A10686" s="1" t="str">
        <f>"06000806900"</f>
        <v>06000806900</v>
      </c>
      <c r="B10686" s="1" t="str">
        <f>"ROMANYAK JOHN A, ROMANYAK JERRI L"</f>
        <v>ROMANYAK JOHN A, ROMANYAK JERRI L</v>
      </c>
      <c r="C10686" s="1" t="str">
        <f>"BURKEY COURT BURKEY RIDGE LOT 8"</f>
        <v>BURKEY COURT BURKEY RIDGE LOT 8</v>
      </c>
      <c r="D10686" s="1">
        <v>5402.98</v>
      </c>
    </row>
    <row r="10687" spans="1:4" x14ac:dyDescent="0.3">
      <c r="A10687" s="1" t="str">
        <f>"01005110100"</f>
        <v>01005110100</v>
      </c>
      <c r="B10687" s="1" t="str">
        <f>"ROME PROPERTIES REALTY LLC"</f>
        <v>ROME PROPERTIES REALTY LLC</v>
      </c>
      <c r="C10687" s="1" t="str">
        <f>"BURGESS AVE BRONX 63 "</f>
        <v xml:space="preserve">BURGESS AVE BRONX 63 </v>
      </c>
      <c r="D10687" s="1">
        <v>1660.24</v>
      </c>
    </row>
    <row r="10688" spans="1:4" x14ac:dyDescent="0.3">
      <c r="A10688" s="1" t="str">
        <f>"01015332500"</f>
        <v>01015332500</v>
      </c>
      <c r="B10688" s="1" t="str">
        <f>"ROMERO CALDERON DILMA NORBERTA"</f>
        <v>ROMERO CALDERON DILMA NORBERTA</v>
      </c>
      <c r="C10688" s="1" t="str">
        <f>"HANBY SQUARE S GRANVILLE MANOR N LOT 98"</f>
        <v>HANBY SQUARE S GRANVILLE MANOR N LOT 98</v>
      </c>
      <c r="D10688" s="1">
        <v>164.53</v>
      </c>
    </row>
    <row r="10689" spans="1:4" x14ac:dyDescent="0.3">
      <c r="A10689" s="1" t="str">
        <f>"17000311100"</f>
        <v>17000311100</v>
      </c>
      <c r="B10689" s="1" t="str">
        <f>"ROMERO THOMAS L, ROMERO CHRISTINA M"</f>
        <v>ROMERO THOMAS L, ROMERO CHRISTINA M</v>
      </c>
      <c r="C10689" s="1" t="str">
        <f>"CRYSTAL TREE COURT JEFFERSON MEADOWS SECTION 4 LOT 177"</f>
        <v>CRYSTAL TREE COURT JEFFERSON MEADOWS SECTION 4 LOT 177</v>
      </c>
      <c r="D10689" s="1">
        <v>18043.48</v>
      </c>
    </row>
    <row r="10690" spans="1:4" x14ac:dyDescent="0.3">
      <c r="A10690" s="1" t="str">
        <f>"02501312200"</f>
        <v>02501312200</v>
      </c>
      <c r="B10690" s="1" t="str">
        <f>"RONAN LLC"</f>
        <v>RONAN LLC</v>
      </c>
      <c r="C10690" s="1" t="str">
        <f>"GAHANNA GROVE CONDOMINIUM 2ND AMD BLDG 26 UNIT 2606"</f>
        <v>GAHANNA GROVE CONDOMINIUM 2ND AMD BLDG 26 UNIT 2606</v>
      </c>
      <c r="D10690" s="1">
        <v>2112.59</v>
      </c>
    </row>
    <row r="10691" spans="1:4" x14ac:dyDescent="0.3">
      <c r="A10691" s="1" t="str">
        <f>"01002555600"</f>
        <v>01002555600</v>
      </c>
      <c r="B10691" s="1" t="str">
        <f>"RONSHER CO"</f>
        <v>RONSHER CO</v>
      </c>
      <c r="C10691" s="1" t="str">
        <f>"28 W DUNCAN ST NORTH COLUMBUS LOT 7"</f>
        <v>28 W DUNCAN ST NORTH COLUMBUS LOT 7</v>
      </c>
      <c r="D10691" s="1">
        <v>4.5</v>
      </c>
    </row>
    <row r="10692" spans="1:4" x14ac:dyDescent="0.3">
      <c r="A10692" s="1" t="str">
        <f>"01019393100"</f>
        <v>01019393100</v>
      </c>
      <c r="B10692" s="1" t="str">
        <f>"ROONEY JENNIFER"</f>
        <v>ROONEY JENNIFER</v>
      </c>
      <c r="C10692" s="1" t="str">
        <f>"1478C CLIFF CT HIDDEN LAKE CONDO 1 UNIT 12 BLDG 1"</f>
        <v>1478C CLIFF CT HIDDEN LAKE CONDO 1 UNIT 12 BLDG 1</v>
      </c>
      <c r="D10692" s="1">
        <v>2892.03</v>
      </c>
    </row>
    <row r="10693" spans="1:4" x14ac:dyDescent="0.3">
      <c r="A10693" s="1" t="str">
        <f>"08000692500"</f>
        <v>08000692500</v>
      </c>
      <c r="B10693" s="1" t="str">
        <f>"ROOSE CAROL A TOD"</f>
        <v>ROOSE CAROL A TOD</v>
      </c>
      <c r="C10693" s="1" t="str">
        <f>"1013 BRYAN DR SPRNG GRV NO 4 SEC 1 LOT 502"</f>
        <v>1013 BRYAN DR SPRNG GRV NO 4 SEC 1 LOT 502</v>
      </c>
      <c r="D10693" s="1">
        <v>7538.25</v>
      </c>
    </row>
    <row r="10694" spans="1:4" x14ac:dyDescent="0.3">
      <c r="A10694" s="1" t="str">
        <f>"01019522600"</f>
        <v>01019522600</v>
      </c>
      <c r="B10694" s="1" t="str">
        <f>"ROOTES MATTHEW"</f>
        <v>ROOTES MATTHEW</v>
      </c>
      <c r="C10694" s="1" t="str">
        <f>"E BROAD ST PARK TOWERS CONDO UNIT 907"</f>
        <v>E BROAD ST PARK TOWERS CONDO UNIT 907</v>
      </c>
      <c r="D10694" s="1">
        <v>3360.13</v>
      </c>
    </row>
    <row r="10695" spans="1:4" x14ac:dyDescent="0.3">
      <c r="A10695" s="1" t="str">
        <f>"60017034700"</f>
        <v>60017034700</v>
      </c>
      <c r="B10695" s="1" t="str">
        <f>"ROPER JOSHUA M, ROPER TWANNA M"</f>
        <v>ROPER JOSHUA M, ROPER TWANNA M</v>
      </c>
      <c r="C10695" s="1" t="str">
        <f>"ALS CT COOPER WOODS SEC 2 LOT 146"</f>
        <v>ALS CT COOPER WOODS SEC 2 LOT 146</v>
      </c>
      <c r="D10695" s="1">
        <v>2391.9499999999998</v>
      </c>
    </row>
    <row r="10696" spans="1:4" x14ac:dyDescent="0.3">
      <c r="A10696" s="1" t="str">
        <f>"01008443600"</f>
        <v>01008443600</v>
      </c>
      <c r="B10696" s="1" t="str">
        <f>"ROSARIO MIGUEL A MEDINA"</f>
        <v>ROSARIO MIGUEL A MEDINA</v>
      </c>
      <c r="C10696" s="1" t="str">
        <f>"MORRIS AVE EAST COLUMBUS ADDN 60'SE LTS 552-553"</f>
        <v>MORRIS AVE EAST COLUMBUS ADDN 60'SE LTS 552-553</v>
      </c>
      <c r="D10696" s="1">
        <v>407.23</v>
      </c>
    </row>
    <row r="10697" spans="1:4" x14ac:dyDescent="0.3">
      <c r="A10697" s="1" t="str">
        <f>"60015350500"</f>
        <v>60015350500</v>
      </c>
      <c r="B10697" s="1" t="str">
        <f>"ROSAS FERNANDO V, RODGRIQUEZ ROMO"</f>
        <v>ROSAS FERNANDO V, RODGRIQUEZ ROMO</v>
      </c>
      <c r="C10697" s="1" t="str">
        <f>"PARKLANE AVE PARKRIDGE VILLAGE LOT 15-16"</f>
        <v>PARKLANE AVE PARKRIDGE VILLAGE LOT 15-16</v>
      </c>
      <c r="D10697" s="1">
        <v>172.34</v>
      </c>
    </row>
    <row r="10698" spans="1:4" x14ac:dyDescent="0.3">
      <c r="A10698" s="1" t="str">
        <f>"01005671600"</f>
        <v>01005671600</v>
      </c>
      <c r="B10698" s="1" t="str">
        <f>"ROSAS JORGE D"</f>
        <v>ROSAS JORGE D</v>
      </c>
      <c r="C10698" s="1" t="str">
        <f>"329 E 12TH AVE 37FT E E 101 &amp; 37X30 FT NE 102 DENNI SUMM"</f>
        <v>329 E 12TH AVE 37FT E E 101 &amp; 37X30 FT NE 102 DENNI SUMM</v>
      </c>
      <c r="D10698" s="1">
        <v>232.51</v>
      </c>
    </row>
    <row r="10699" spans="1:4" x14ac:dyDescent="0.3">
      <c r="A10699" s="1" t="str">
        <f>"16100032000"</f>
        <v>16100032000</v>
      </c>
      <c r="B10699" s="1" t="str">
        <f>"ROSAS JORGE DELGADO"</f>
        <v>ROSAS JORGE DELGADO</v>
      </c>
      <c r="C10699" s="1" t="str">
        <f>"CENTRAL AVE URBANCREST 17 BLK 3"</f>
        <v>CENTRAL AVE URBANCREST 17 BLK 3</v>
      </c>
      <c r="D10699" s="1">
        <v>2.7</v>
      </c>
    </row>
    <row r="10700" spans="1:4" x14ac:dyDescent="0.3">
      <c r="A10700" s="1" t="str">
        <f>"16100085700"</f>
        <v>16100085700</v>
      </c>
      <c r="B10700" s="1" t="str">
        <f>"ROSAS JORGE DELGADO"</f>
        <v>ROSAS JORGE DELGADO</v>
      </c>
      <c r="C10700" s="1" t="str">
        <f>"CENTRAL AVE URBANCREST 18 BLK 3"</f>
        <v>CENTRAL AVE URBANCREST 18 BLK 3</v>
      </c>
      <c r="D10700" s="1">
        <v>2.7</v>
      </c>
    </row>
    <row r="10701" spans="1:4" x14ac:dyDescent="0.3">
      <c r="A10701" s="1" t="str">
        <f>"16100085800"</f>
        <v>16100085800</v>
      </c>
      <c r="B10701" s="1" t="str">
        <f>"ROSAS JORGE DELGADO"</f>
        <v>ROSAS JORGE DELGADO</v>
      </c>
      <c r="C10701" s="1" t="str">
        <f>"CENTRAL AVE URBANCREST 19 BLK 3"</f>
        <v>CENTRAL AVE URBANCREST 19 BLK 3</v>
      </c>
      <c r="D10701" s="1">
        <v>2.7</v>
      </c>
    </row>
    <row r="10702" spans="1:4" x14ac:dyDescent="0.3">
      <c r="A10702" s="1" t="str">
        <f>"10000469400"</f>
        <v>10000469400</v>
      </c>
      <c r="B10702" s="1" t="str">
        <f>"ROSATI ANTHONY, ROSATI BIANCA"</f>
        <v>ROSATI ANTHONY, ROSATI BIANCA</v>
      </c>
      <c r="C10702" s="1" t="str">
        <f>"912 MIDDLEBURY DR SHAKER SQUARE LOT 53"</f>
        <v>912 MIDDLEBURY DR SHAKER SQUARE LOT 53</v>
      </c>
      <c r="D10702" s="1">
        <v>395.91</v>
      </c>
    </row>
    <row r="10703" spans="1:4" x14ac:dyDescent="0.3">
      <c r="A10703" s="1" t="str">
        <f>"05300026800"</f>
        <v>05300026800</v>
      </c>
      <c r="B10703" s="1" t="str">
        <f>"ROSE BRYAN KEITH, ROSE RHONDA L"</f>
        <v>ROSE BRYAN KEITH, ROSE RHONDA L</v>
      </c>
      <c r="C10703" s="1" t="str">
        <f>"HERITAGE PRESERVE SECTION 2 PHASE 3 LOT 190"</f>
        <v>HERITAGE PRESERVE SECTION 2 PHASE 3 LOT 190</v>
      </c>
      <c r="D10703" s="1">
        <v>5980.48</v>
      </c>
    </row>
    <row r="10704" spans="1:4" x14ac:dyDescent="0.3">
      <c r="A10704" s="1" t="str">
        <f>"57015405500"</f>
        <v>57015405500</v>
      </c>
      <c r="B10704" s="1" t="str">
        <f>"ROSE DAVID E"</f>
        <v>ROSE DAVID E</v>
      </c>
      <c r="C10704" s="1" t="str">
        <f>"WEST WIND LANE RIVER BEND SEC 4 LOT 472"</f>
        <v>WEST WIND LANE RIVER BEND SEC 4 LOT 472</v>
      </c>
      <c r="D10704" s="1">
        <v>2694.62</v>
      </c>
    </row>
    <row r="10705" spans="1:4" x14ac:dyDescent="0.3">
      <c r="A10705" s="1" t="str">
        <f>"01016434400"</f>
        <v>01016434400</v>
      </c>
      <c r="B10705" s="1" t="str">
        <f>"ROSE HEATHER"</f>
        <v>ROSE HEATHER</v>
      </c>
      <c r="C10705" s="1" t="str">
        <f>"RITTENHOUSE SQUARE CONDOMINIUM NO 3 BLDG 14 UNIT 65"</f>
        <v>RITTENHOUSE SQUARE CONDOMINIUM NO 3 BLDG 14 UNIT 65</v>
      </c>
      <c r="D10705" s="1">
        <v>3736.47</v>
      </c>
    </row>
    <row r="10706" spans="1:4" x14ac:dyDescent="0.3">
      <c r="A10706" s="1" t="str">
        <f>"19100048400"</f>
        <v>19100048400</v>
      </c>
      <c r="B10706" s="1" t="str">
        <f>"ROSE KYLE"</f>
        <v>ROSE KYLE</v>
      </c>
      <c r="C10706" s="1" t="str">
        <f>"3717GENESSEE AVE LEONARD PARK 9BLK E"</f>
        <v>3717GENESSEE AVE LEONARD PARK 9BLK E</v>
      </c>
      <c r="D10706" s="1">
        <v>3485.08</v>
      </c>
    </row>
    <row r="10707" spans="1:4" x14ac:dyDescent="0.3">
      <c r="A10707" s="1" t="str">
        <f>"19100048300"</f>
        <v>19100048300</v>
      </c>
      <c r="B10707" s="1" t="str">
        <f>"ROSE KYLE"</f>
        <v>ROSE KYLE</v>
      </c>
      <c r="C10707" s="1" t="str">
        <f>"GENESSEE AVE 45FT ES LEONARD PARK 8 BLK E"</f>
        <v>GENESSEE AVE 45FT ES LEONARD PARK 8 BLK E</v>
      </c>
      <c r="D10707" s="1">
        <v>704.85</v>
      </c>
    </row>
    <row r="10708" spans="1:4" x14ac:dyDescent="0.3">
      <c r="A10708" s="1" t="str">
        <f>"01013515800"</f>
        <v>01013515800</v>
      </c>
      <c r="B10708" s="1" t="str">
        <f>"ROSE LATOYIA D"</f>
        <v>ROSE LATOYIA D</v>
      </c>
      <c r="C10708" s="1" t="str">
        <f>"BRIGGSTON AVE BROOKSHIRE SOUTH LOT 189"</f>
        <v>BRIGGSTON AVE BROOKSHIRE SOUTH LOT 189</v>
      </c>
      <c r="D10708" s="1">
        <v>3671</v>
      </c>
    </row>
    <row r="10709" spans="1:4" x14ac:dyDescent="0.3">
      <c r="A10709" s="1" t="str">
        <f>"25300290000"</f>
        <v>25300290000</v>
      </c>
      <c r="B10709" s="1" t="str">
        <f>"ROSE MARY L TTEE"</f>
        <v>ROSE MARY L TTEE</v>
      </c>
      <c r="C10709" s="1" t="str">
        <f>"OLENTANGY BLVD VAN DE BOE HAGER CO 11 LOT 240"</f>
        <v>OLENTANGY BLVD VAN DE BOE HAGER CO 11 LOT 240</v>
      </c>
      <c r="D10709" s="1">
        <v>9845.67</v>
      </c>
    </row>
    <row r="10710" spans="1:4" x14ac:dyDescent="0.3">
      <c r="A10710" s="1" t="str">
        <f>"01013081000"</f>
        <v>01013081000</v>
      </c>
      <c r="B10710" s="1" t="str">
        <f>"ROSE RENEE"</f>
        <v>ROSE RENEE</v>
      </c>
      <c r="C10710" s="1" t="str">
        <f>"KENNINGTON AVE KENDALE SEC 1 LOT 108"</f>
        <v>KENNINGTON AVE KENDALE SEC 1 LOT 108</v>
      </c>
      <c r="D10710" s="1">
        <v>1696.01</v>
      </c>
    </row>
    <row r="10711" spans="1:4" x14ac:dyDescent="0.3">
      <c r="A10711" s="1" t="str">
        <f>"01001584200"</f>
        <v>01001584200</v>
      </c>
      <c r="B10711" s="1" t="str">
        <f>"ROSE WALDO B, ROSE NANCY P"</f>
        <v>ROSE WALDO B, ROSE NANCY P</v>
      </c>
      <c r="C10711" s="1" t="str">
        <f>"592 E N BROADWAY PT LOT 66 OAKLAND "</f>
        <v xml:space="preserve">592 E N BROADWAY PT LOT 66 OAKLAND </v>
      </c>
      <c r="D10711" s="1">
        <v>3683.1</v>
      </c>
    </row>
    <row r="10712" spans="1:4" x14ac:dyDescent="0.3">
      <c r="A10712" s="1" t="str">
        <f>"01001674500"</f>
        <v>01001674500</v>
      </c>
      <c r="B10712" s="1" t="str">
        <f>"ROSE WILLIAM T, ROSE RHONDA M"</f>
        <v>ROSE WILLIAM T, ROSE RHONDA M</v>
      </c>
      <c r="C10712" s="1" t="str">
        <f>"1724 WARD RD R18 T1 1/4T1 .149 ACRE NE QR"</f>
        <v>1724 WARD RD R18 T1 1/4T1 .149 ACRE NE QR</v>
      </c>
      <c r="D10712" s="1">
        <v>121.18</v>
      </c>
    </row>
    <row r="10713" spans="1:4" x14ac:dyDescent="0.3">
      <c r="A10713" s="1" t="str">
        <f>"01015423900"</f>
        <v>01015423900</v>
      </c>
      <c r="B10713" s="1" t="str">
        <f>"ROSE WILLIAM T, ROSE RHONDA M"</f>
        <v>ROSE WILLIAM T, ROSE RHONDA M</v>
      </c>
      <c r="C10713" s="1" t="str">
        <f>"PARKVILLE ST GRANVILLE PARK LOT 58"</f>
        <v>PARKVILLE ST GRANVILLE PARK LOT 58</v>
      </c>
      <c r="D10713" s="1">
        <v>127.65</v>
      </c>
    </row>
    <row r="10714" spans="1:4" x14ac:dyDescent="0.3">
      <c r="A10714" s="1" t="str">
        <f>"01008994200"</f>
        <v>01008994200</v>
      </c>
      <c r="B10714" s="1" t="str">
        <f>"ROSEE LLC"</f>
        <v>ROSEE LLC</v>
      </c>
      <c r="C10714" s="1" t="str">
        <f>"GOULD RD BROADLEIGH LOT 206"</f>
        <v>GOULD RD BROADLEIGH LOT 206</v>
      </c>
      <c r="D10714" s="1">
        <v>185.37</v>
      </c>
    </row>
    <row r="10715" spans="1:4" x14ac:dyDescent="0.3">
      <c r="A10715" s="1" t="str">
        <f>"03000259900"</f>
        <v>03000259900</v>
      </c>
      <c r="B10715" s="1" t="str">
        <f>"ROSEN SANFORD, ROSEN RICKI W"</f>
        <v>ROSEN SANFORD, ROSEN RICKI W</v>
      </c>
      <c r="C10715" s="1" t="str">
        <f>"1000 URLIN AV SUMMIT CHASE CONDO UNIT 10"</f>
        <v>1000 URLIN AV SUMMIT CHASE CONDO UNIT 10</v>
      </c>
      <c r="D10715" s="1">
        <v>229.76</v>
      </c>
    </row>
    <row r="10716" spans="1:4" x14ac:dyDescent="0.3">
      <c r="A10716" s="1" t="str">
        <f>"02500579400"</f>
        <v>02500579400</v>
      </c>
      <c r="B10716" s="1" t="str">
        <f>"ROSENTHAL LEE S, ROSENTHAL STACY L"</f>
        <v>ROSENTHAL LEE S, ROSENTHAL STACY L</v>
      </c>
      <c r="C10716" s="1" t="str">
        <f>"146 WALCREEK DRIVE CHERRY BOT GARD SEC1 LOT 7"</f>
        <v>146 WALCREEK DRIVE CHERRY BOT GARD SEC1 LOT 7</v>
      </c>
      <c r="D10716" s="1">
        <v>396.72</v>
      </c>
    </row>
    <row r="10717" spans="1:4" x14ac:dyDescent="0.3">
      <c r="A10717" s="1" t="str">
        <f>"06000816600"</f>
        <v>06000816600</v>
      </c>
      <c r="B10717" s="1" t="str">
        <f>"ROSENTHAL PEGGY G"</f>
        <v>ROSENTHAL PEGGY G</v>
      </c>
      <c r="C10717" s="1" t="str">
        <f>"FARMINGTON MEADOWS CONDOMINIUM BLDG 12 UNIT 7835"</f>
        <v>FARMINGTON MEADOWS CONDOMINIUM BLDG 12 UNIT 7835</v>
      </c>
      <c r="D10717" s="1">
        <v>550</v>
      </c>
    </row>
    <row r="10718" spans="1:4" x14ac:dyDescent="0.3">
      <c r="A10718" s="1" t="str">
        <f>"05000639700"</f>
        <v>05000639700</v>
      </c>
      <c r="B10718" s="1" t="str">
        <f>"ROSHEN WASEEM A, ROSHEN UZMA B"</f>
        <v>ROSHEN WASEEM A, ROSHEN UZMA B</v>
      </c>
      <c r="C10718" s="1" t="str">
        <f>"0000 HUNTWICKE DR BRITTON FARMS SEC 2 PHASE 1 LOT 104"</f>
        <v>0000 HUNTWICKE DR BRITTON FARMS SEC 2 PHASE 1 LOT 104</v>
      </c>
      <c r="D10718" s="1">
        <v>12959.54</v>
      </c>
    </row>
    <row r="10719" spans="1:4" x14ac:dyDescent="0.3">
      <c r="A10719" s="1" t="str">
        <f>"06000159600"</f>
        <v>06000159600</v>
      </c>
      <c r="B10719" s="1" t="str">
        <f>"ROSHON PHILLIP W, ROSHON BARBARA A"</f>
        <v>ROSHON PHILLIP W, ROSHON BARBARA A</v>
      </c>
      <c r="C10719" s="1" t="str">
        <f>"MARLAN AVE BROOKSIDE PK 3 560 "</f>
        <v xml:space="preserve">MARLAN AVE BROOKSIDE PK 3 560 </v>
      </c>
      <c r="D10719" s="1">
        <v>3804.3</v>
      </c>
    </row>
    <row r="10720" spans="1:4" x14ac:dyDescent="0.3">
      <c r="A10720" s="1" t="str">
        <f>"01006659100"</f>
        <v>01006659100</v>
      </c>
      <c r="B10720" s="1" t="str">
        <f>"ROSIE II LLC"</f>
        <v>ROSIE II LLC</v>
      </c>
      <c r="C10720" s="1" t="str">
        <f>"4TH ST &amp; ALLEY VAC .19 ACRE "</f>
        <v xml:space="preserve">4TH ST &amp; ALLEY VAC .19 ACRE </v>
      </c>
      <c r="D10720" s="1">
        <v>197.46</v>
      </c>
    </row>
    <row r="10721" spans="1:4" x14ac:dyDescent="0.3">
      <c r="A10721" s="1" t="str">
        <f>"01001278900"</f>
        <v>01001278900</v>
      </c>
      <c r="B10721" s="1" t="str">
        <f>"ROSIE RENTALS LLC"</f>
        <v>ROSIE RENTALS LLC</v>
      </c>
      <c r="C10721" s="1" t="str">
        <f>"923SULLIVANT AVE OSBORN PLACE LOT 80"</f>
        <v>923SULLIVANT AVE OSBORN PLACE LOT 80</v>
      </c>
      <c r="D10721" s="1">
        <v>1238.42</v>
      </c>
    </row>
    <row r="10722" spans="1:4" x14ac:dyDescent="0.3">
      <c r="A10722" s="1" t="str">
        <f>"01014843100"</f>
        <v>01014843100</v>
      </c>
      <c r="B10722" s="1" t="str">
        <f>"ROSS ALICE"</f>
        <v>ROSS ALICE</v>
      </c>
      <c r="C10722" s="1" t="str">
        <f>"NORTHTOWNE BLVD NORTHLAND PARK SEC 3 LOT 180"</f>
        <v>NORTHTOWNE BLVD NORTHLAND PARK SEC 3 LOT 180</v>
      </c>
      <c r="D10722" s="1">
        <v>3864.42</v>
      </c>
    </row>
    <row r="10723" spans="1:4" x14ac:dyDescent="0.3">
      <c r="A10723" s="1" t="str">
        <f>"01003241000"</f>
        <v>01003241000</v>
      </c>
      <c r="B10723" s="1" t="str">
        <f>"ROSS DAREN L"</f>
        <v>ROSS DAREN L</v>
      </c>
      <c r="C10723" s="1" t="str">
        <f>"1263 OAKWOOD AVE ROSE HILL LOT 162"</f>
        <v>1263 OAKWOOD AVE ROSE HILL LOT 162</v>
      </c>
      <c r="D10723" s="1">
        <v>3982.4</v>
      </c>
    </row>
    <row r="10724" spans="1:4" x14ac:dyDescent="0.3">
      <c r="A10724" s="1" t="str">
        <f>"01012897300"</f>
        <v>01012897300</v>
      </c>
      <c r="B10724" s="1" t="str">
        <f>"ROSS DOCK"</f>
        <v>ROSS DOCK</v>
      </c>
      <c r="C10724" s="1" t="str">
        <f>"MILLBROOK LOT 111 "</f>
        <v xml:space="preserve">MILLBROOK LOT 111 </v>
      </c>
      <c r="D10724" s="1">
        <v>1480.04</v>
      </c>
    </row>
    <row r="10725" spans="1:4" x14ac:dyDescent="0.3">
      <c r="A10725" s="1" t="str">
        <f>"02501185900"</f>
        <v>02501185900</v>
      </c>
      <c r="B10725" s="1" t="str">
        <f>"ROSS JAMES III"</f>
        <v>ROSS JAMES III</v>
      </c>
      <c r="C10725" s="1" t="s">
        <v>16</v>
      </c>
      <c r="D10725" s="1">
        <v>16700.54</v>
      </c>
    </row>
    <row r="10726" spans="1:4" x14ac:dyDescent="0.3">
      <c r="A10726" s="1" t="str">
        <f>"01003783400"</f>
        <v>01003783400</v>
      </c>
      <c r="B10726" s="1" t="str">
        <f>"ROSS JAMES, DYKSTRA RICK"</f>
        <v>ROSS JAMES, DYKSTRA RICK</v>
      </c>
      <c r="C10726" s="1" t="str">
        <f>"233 SCHULTZ AVE BELMONT LOT 153 "</f>
        <v xml:space="preserve">233 SCHULTZ AVE BELMONT LOT 153 </v>
      </c>
      <c r="D10726" s="1">
        <v>332.92</v>
      </c>
    </row>
    <row r="10727" spans="1:4" x14ac:dyDescent="0.3">
      <c r="A10727" s="1" t="str">
        <f>"01006139100"</f>
        <v>01006139100</v>
      </c>
      <c r="B10727" s="1" t="str">
        <f>"ROSS MARY A"</f>
        <v>ROSS MARY A</v>
      </c>
      <c r="C10727" s="1" t="str">
        <f>"REPUBLIC AVE HIGHWAY PARK LOT 263"</f>
        <v>REPUBLIC AVE HIGHWAY PARK LOT 263</v>
      </c>
      <c r="D10727" s="1">
        <v>258.26</v>
      </c>
    </row>
    <row r="10728" spans="1:4" x14ac:dyDescent="0.3">
      <c r="A10728" s="1" t="str">
        <f>"01006139300"</f>
        <v>01006139300</v>
      </c>
      <c r="B10728" s="1" t="str">
        <f>"ROSS TIMMY A"</f>
        <v>ROSS TIMMY A</v>
      </c>
      <c r="C10728" s="1" t="str">
        <f>"1406 REPUBLIC AVE HIGHWAY PARK LOT 265"</f>
        <v>1406 REPUBLIC AVE HIGHWAY PARK LOT 265</v>
      </c>
      <c r="D10728" s="1">
        <v>305.10000000000002</v>
      </c>
    </row>
    <row r="10729" spans="1:4" x14ac:dyDescent="0.3">
      <c r="A10729" s="1" t="str">
        <f>"01007440700"</f>
        <v>01007440700</v>
      </c>
      <c r="B10729" s="1" t="str">
        <f>"ROSS TIMMY A SR"</f>
        <v>ROSS TIMMY A SR</v>
      </c>
      <c r="C10729" s="1" t="str">
        <f>"E LAKEVIEW AVE H C FICKELLS LOT 38"</f>
        <v>E LAKEVIEW AVE H C FICKELLS LOT 38</v>
      </c>
      <c r="D10729" s="1">
        <v>227.32</v>
      </c>
    </row>
    <row r="10730" spans="1:4" x14ac:dyDescent="0.3">
      <c r="A10730" s="1" t="str">
        <f>"01007951400"</f>
        <v>01007951400</v>
      </c>
      <c r="B10730" s="1" t="str">
        <f>"ROSS TRACY"</f>
        <v>ROSS TRACY</v>
      </c>
      <c r="C10730" s="1" t="str">
        <f>"1337-9 24TH AVE CLEVEMONT LOT 12"</f>
        <v>1337-9 24TH AVE CLEVEMONT LOT 12</v>
      </c>
      <c r="D10730" s="1">
        <v>1471.69</v>
      </c>
    </row>
    <row r="10731" spans="1:4" x14ac:dyDescent="0.3">
      <c r="A10731" s="1" t="str">
        <f>"01000199000"</f>
        <v>01000199000</v>
      </c>
      <c r="B10731" s="1" t="str">
        <f>"ROSSELOT JASON W"</f>
        <v>ROSSELOT JASON W</v>
      </c>
      <c r="C10731" s="1" t="str">
        <f>"198 S 22ND ST HOFFMAN &amp; MCGREW LOT 126"</f>
        <v>198 S 22ND ST HOFFMAN &amp; MCGREW LOT 126</v>
      </c>
      <c r="D10731" s="1">
        <v>1302.96</v>
      </c>
    </row>
    <row r="10732" spans="1:4" x14ac:dyDescent="0.3">
      <c r="A10732" s="1" t="str">
        <f>"01010066600"</f>
        <v>01010066600</v>
      </c>
      <c r="B10732" s="1" t="str">
        <f>"ROSSER KIYANA M"</f>
        <v>ROSSER KIYANA M</v>
      </c>
      <c r="C10732" s="1" t="str">
        <f>"ELDERWOOD AVE LIVINGSTON GARDENS LOT 99"</f>
        <v>ELDERWOOD AVE LIVINGSTON GARDENS LOT 99</v>
      </c>
      <c r="D10732" s="1">
        <v>298.68</v>
      </c>
    </row>
    <row r="10733" spans="1:4" x14ac:dyDescent="0.3">
      <c r="A10733" s="1" t="str">
        <f>"01011077900"</f>
        <v>01011077900</v>
      </c>
      <c r="B10733" s="1" t="str">
        <f>"ROSSLYNNHIGH.LLC"</f>
        <v>ROSSLYNNHIGH.LLC</v>
      </c>
      <c r="C10733" s="1" t="str">
        <f>"HIGH ST COR ROSSLYN TREMONT GARDENS 2 LO T 200"</f>
        <v>HIGH ST COR ROSSLYN TREMONT GARDENS 2 LO T 200</v>
      </c>
      <c r="D10733" s="1">
        <v>338.69</v>
      </c>
    </row>
    <row r="10734" spans="1:4" x14ac:dyDescent="0.3">
      <c r="A10734" s="1" t="str">
        <f>"06000193400"</f>
        <v>06000193400</v>
      </c>
      <c r="B10734" s="1" t="str">
        <f>"ROSSOLL WILLIAM L, ROSSOLL SHELLEY U"</f>
        <v>ROSSOLL WILLIAM L, ROSSOLL SHELLEY U</v>
      </c>
      <c r="C10734" s="1" t="str">
        <f>"EASTWOOD ST MARABAR HTS 3 58 "</f>
        <v xml:space="preserve">EASTWOOD ST MARABAR HTS 3 58 </v>
      </c>
      <c r="D10734" s="1">
        <v>2257.64</v>
      </c>
    </row>
    <row r="10735" spans="1:4" x14ac:dyDescent="0.3">
      <c r="A10735" s="1" t="str">
        <f>"54523620000"</f>
        <v>54523620000</v>
      </c>
      <c r="B10735" s="1" t="str">
        <f>"ROTELLA CHRISTOPHER M, ROTELLA LINDSAY M"</f>
        <v>ROTELLA CHRISTOPHER M, ROTELLA LINDSAY M</v>
      </c>
      <c r="C10735" s="1" t="str">
        <f>"STONHOPE ROAD HAMPSTED VILLAGE SECTION 5 LOT 237"</f>
        <v>STONHOPE ROAD HAMPSTED VILLAGE SECTION 5 LOT 237</v>
      </c>
      <c r="D10735" s="1">
        <v>280.33999999999997</v>
      </c>
    </row>
    <row r="10736" spans="1:4" x14ac:dyDescent="0.3">
      <c r="A10736" s="1" t="str">
        <f>"17100164000"</f>
        <v>17100164000</v>
      </c>
      <c r="B10736" s="1" t="str">
        <f>"ROTHE MICHAEL K, ROTHE ERNA O"</f>
        <v>ROTHE MICHAEL K, ROTHE ERNA O</v>
      </c>
      <c r="C10736" s="1" t="str">
        <f>"NARROWLEAF DRIVE MORRISON FARMS SECTION 4 LOT 152"</f>
        <v>NARROWLEAF DRIVE MORRISON FARMS SECTION 4 LOT 152</v>
      </c>
      <c r="D10736" s="1">
        <v>314.11</v>
      </c>
    </row>
    <row r="10737" spans="1:4" x14ac:dyDescent="0.3">
      <c r="A10737" s="1" t="str">
        <f>"03000271500"</f>
        <v>03000271500</v>
      </c>
      <c r="B10737" s="1" t="str">
        <f>"ROTOLO MARGARET"</f>
        <v>ROTOLO MARGARET</v>
      </c>
      <c r="C10737" s="1" t="str">
        <f>"1000 URLIN AVE SUMMIT CHASE CONDO UNIT 1520"</f>
        <v>1000 URLIN AVE SUMMIT CHASE CONDO UNIT 1520</v>
      </c>
      <c r="D10737" s="1">
        <v>2717.1</v>
      </c>
    </row>
    <row r="10738" spans="1:4" x14ac:dyDescent="0.3">
      <c r="A10738" s="1" t="str">
        <f>"03000266200"</f>
        <v>03000266200</v>
      </c>
      <c r="B10738" s="1" t="str">
        <f>"ROTOLO SEAN CHARLES"</f>
        <v>ROTOLO SEAN CHARLES</v>
      </c>
      <c r="C10738" s="1" t="str">
        <f>"1000 URLIN AVE SUMMIT CHASE CONDO UNIT 902"</f>
        <v>1000 URLIN AVE SUMMIT CHASE CONDO UNIT 902</v>
      </c>
      <c r="D10738" s="1">
        <v>1100</v>
      </c>
    </row>
    <row r="10739" spans="1:4" x14ac:dyDescent="0.3">
      <c r="A10739" s="1" t="str">
        <f>"01014435300"</f>
        <v>01014435300</v>
      </c>
      <c r="B10739" s="1" t="str">
        <f>"ROTONDO ANN T"</f>
        <v>ROTONDO ANN T</v>
      </c>
      <c r="C10739" s="1" t="str">
        <f>"MARSHLYN COURT PERRY HTS 2 LOT 12"</f>
        <v>MARSHLYN COURT PERRY HTS 2 LOT 12</v>
      </c>
      <c r="D10739" s="1">
        <v>226.42</v>
      </c>
    </row>
    <row r="10740" spans="1:4" x14ac:dyDescent="0.3">
      <c r="A10740" s="1" t="str">
        <f>"01001296100"</f>
        <v>01001296100</v>
      </c>
      <c r="B10740" s="1" t="str">
        <f>"ROTONDO ERIC P"</f>
        <v>ROTONDO ERIC P</v>
      </c>
      <c r="C10740" s="1" t="str">
        <f>"150-52 LINCOLN ST         43.6X165FT COR            LINCOLN &amp; HAMLET ST      "</f>
        <v xml:space="preserve">150-52 LINCOLN ST         43.6X165FT COR            LINCOLN &amp; HAMLET ST      </v>
      </c>
      <c r="D10740" s="1">
        <v>4970.3</v>
      </c>
    </row>
    <row r="10741" spans="1:4" x14ac:dyDescent="0.3">
      <c r="A10741" s="1" t="str">
        <f>"04001421000"</f>
        <v>04001421000</v>
      </c>
      <c r="B10741" s="1" t="str">
        <f>"ROUNDTREE MICHAEL A"</f>
        <v>ROUNDTREE MICHAEL A</v>
      </c>
      <c r="C10741" s="1" t="str">
        <f>"PEBBLE BEACH DRIVE PINNACLE CLUB SECTION 2 PHASE 3 LOT 715"</f>
        <v>PEBBLE BEACH DRIVE PINNACLE CLUB SECTION 2 PHASE 3 LOT 715</v>
      </c>
      <c r="D10741" s="1">
        <v>2359.9299999999998</v>
      </c>
    </row>
    <row r="10742" spans="1:4" x14ac:dyDescent="0.3">
      <c r="A10742" s="1" t="str">
        <f>"02501222400"</f>
        <v>02501222400</v>
      </c>
      <c r="B10742" s="1" t="str">
        <f>"ROUTTE FAMILY INVESTMENTS LLC"</f>
        <v>ROUTTE FAMILY INVESTMENTS LLC</v>
      </c>
      <c r="C10742" s="1" t="str">
        <f>"TAYLOR STATION COMMERCE   CENTER CONDOMINIUMS       UNIT 1020 G              "</f>
        <v xml:space="preserve">TAYLOR STATION COMMERCE   CENTER CONDOMINIUMS       UNIT 1020 G              </v>
      </c>
      <c r="D10742" s="1">
        <v>5656.99</v>
      </c>
    </row>
    <row r="10743" spans="1:4" x14ac:dyDescent="0.3">
      <c r="A10743" s="1" t="str">
        <f>"10000084600"</f>
        <v>10000084600</v>
      </c>
      <c r="B10743" s="1" t="str">
        <f>"ROVTAR SHERYL L"</f>
        <v>ROVTAR SHERYL L</v>
      </c>
      <c r="C10743" s="1" t="str">
        <f>"128 ORCHARD DR PARK HIGHLANDS LOT 65"</f>
        <v>128 ORCHARD DR PARK HIGHLANDS LOT 65</v>
      </c>
      <c r="D10743" s="1">
        <v>305.86</v>
      </c>
    </row>
    <row r="10744" spans="1:4" x14ac:dyDescent="0.3">
      <c r="A10744" s="1" t="str">
        <f>"10000084700"</f>
        <v>10000084700</v>
      </c>
      <c r="B10744" s="1" t="str">
        <f>"ROVTAR SHERYL L"</f>
        <v>ROVTAR SHERYL L</v>
      </c>
      <c r="C10744" s="1" t="str">
        <f>"122 ORCHARD DR PARK HIGHLANDS LOT 66"</f>
        <v>122 ORCHARD DR PARK HIGHLANDS LOT 66</v>
      </c>
      <c r="D10744" s="1">
        <v>325.20999999999998</v>
      </c>
    </row>
    <row r="10745" spans="1:4" x14ac:dyDescent="0.3">
      <c r="A10745" s="1" t="str">
        <f>"04000734700"</f>
        <v>04000734700</v>
      </c>
      <c r="B10745" s="1" t="str">
        <f>"ROWE DREMA K"</f>
        <v>ROWE DREMA K</v>
      </c>
      <c r="C10745" s="1" t="str">
        <f>"4284 HOOVER RD LEWIS E KELLER 275'ES LOTS 8 &amp; 9"</f>
        <v>4284 HOOVER RD LEWIS E KELLER 275'ES LOTS 8 &amp; 9</v>
      </c>
      <c r="D10745" s="1">
        <v>402.49</v>
      </c>
    </row>
    <row r="10746" spans="1:4" x14ac:dyDescent="0.3">
      <c r="A10746" s="1" t="str">
        <f>"04000098100"</f>
        <v>04000098100</v>
      </c>
      <c r="B10746" s="1" t="str">
        <f>"ROWE DREMA K"</f>
        <v>ROWE DREMA K</v>
      </c>
      <c r="C10746" s="1" t="str">
        <f>"4274 ELEANOR AVE PATZERS SUB LOT 63 &amp; N 1/2 62"</f>
        <v>4274 ELEANOR AVE PATZERS SUB LOT 63 &amp; N 1/2 62</v>
      </c>
      <c r="D10746" s="1">
        <v>176.58</v>
      </c>
    </row>
    <row r="10747" spans="1:4" x14ac:dyDescent="0.3">
      <c r="A10747" s="1" t="str">
        <f>"04001551800"</f>
        <v>04001551800</v>
      </c>
      <c r="B10747" s="1" t="str">
        <f>"ROWE DREMA K"</f>
        <v>ROWE DREMA K</v>
      </c>
      <c r="C10747" s="1" t="str">
        <f>"N HAUGHN RD .6869 ACRE ENTRY 1383"</f>
        <v>N HAUGHN RD .6869 ACRE ENTRY 1383</v>
      </c>
      <c r="D10747" s="1">
        <v>286.33999999999997</v>
      </c>
    </row>
    <row r="10748" spans="1:4" x14ac:dyDescent="0.3">
      <c r="A10748" s="1" t="str">
        <f>"04000260500"</f>
        <v>04000260500</v>
      </c>
      <c r="B10748" s="1" t="str">
        <f>"ROWE DREMA K TOD"</f>
        <v>ROWE DREMA K TOD</v>
      </c>
      <c r="C10748" s="1" t="str">
        <f>"3901 HOMECOMER DRIVE JACKSON HOMES SEC 2 LOT 25"</f>
        <v>3901 HOMECOMER DRIVE JACKSON HOMES SEC 2 LOT 25</v>
      </c>
      <c r="D10748" s="1">
        <v>165.27</v>
      </c>
    </row>
    <row r="10749" spans="1:4" x14ac:dyDescent="0.3">
      <c r="A10749" s="1" t="str">
        <f>"04000231400"</f>
        <v>04000231400</v>
      </c>
      <c r="B10749" s="1" t="str">
        <f>"ROWE DREMA K TOD"</f>
        <v>ROWE DREMA K TOD</v>
      </c>
      <c r="C10749" s="1" t="str">
        <f>"2657 KINGSTON AVENUE GROVE CITY HTS PT LOT 129 &amp; 130"</f>
        <v>2657 KINGSTON AVENUE GROVE CITY HTS PT LOT 129 &amp; 130</v>
      </c>
      <c r="D10749" s="1">
        <v>188.07</v>
      </c>
    </row>
    <row r="10750" spans="1:4" x14ac:dyDescent="0.3">
      <c r="A10750" s="1" t="str">
        <f>"06000318500"</f>
        <v>06000318500</v>
      </c>
      <c r="B10750" s="1" t="str">
        <f>"ROY RICHARD A"</f>
        <v>ROY RICHARD A</v>
      </c>
      <c r="C10750" s="1" t="str">
        <f>"GREENBUSH DR H C HUBER PLAT 36 SEC 4 759"</f>
        <v>GREENBUSH DR H C HUBER PLAT 36 SEC 4 759</v>
      </c>
      <c r="D10750" s="1">
        <v>3218.68</v>
      </c>
    </row>
    <row r="10751" spans="1:4" x14ac:dyDescent="0.3">
      <c r="A10751" s="1" t="str">
        <f>"01012540500"</f>
        <v>01012540500</v>
      </c>
      <c r="B10751" s="1" t="str">
        <f>"ROYAL CALVIN B III"</f>
        <v>ROYAL CALVIN B III</v>
      </c>
      <c r="C10751" s="1" t="str">
        <f>"WEIRTON DR SOUTHFIELD 2ND LOT 210"</f>
        <v>WEIRTON DR SOUTHFIELD 2ND LOT 210</v>
      </c>
      <c r="D10751" s="1">
        <v>2609.6999999999998</v>
      </c>
    </row>
    <row r="10752" spans="1:4" x14ac:dyDescent="0.3">
      <c r="A10752" s="1" t="str">
        <f>"61021309800"</f>
        <v>61021309800</v>
      </c>
      <c r="B10752" s="1" t="str">
        <f>"ROYCHOWDHURY JOYDEEP"</f>
        <v>ROYCHOWDHURY JOYDEEP</v>
      </c>
      <c r="C10752" s="1" t="str">
        <f>"WORTHINGTON WOODS CONDO 10 3RD AMD BLDG 19 UNIT 63"</f>
        <v>WORTHINGTON WOODS CONDO 10 3RD AMD BLDG 19 UNIT 63</v>
      </c>
      <c r="D10752" s="1">
        <v>212.86</v>
      </c>
    </row>
    <row r="10753" spans="1:4" x14ac:dyDescent="0.3">
      <c r="A10753" s="1" t="str">
        <f>"01009979400"</f>
        <v>01009979400</v>
      </c>
      <c r="B10753" s="1" t="str">
        <f>"ROYNARD PATRICK"</f>
        <v>ROYNARD PATRICK</v>
      </c>
      <c r="C10753" s="1" t="str">
        <f>"BRICKER BLVD UNIVERSITY CITY HOME LOT 6"</f>
        <v>BRICKER BLVD UNIVERSITY CITY HOME LOT 6</v>
      </c>
      <c r="D10753" s="1">
        <v>2227.23</v>
      </c>
    </row>
    <row r="10754" spans="1:4" x14ac:dyDescent="0.3">
      <c r="A10754" s="1" t="str">
        <f>"01009244100"</f>
        <v>01009244100</v>
      </c>
      <c r="B10754" s="1" t="str">
        <f>"ROYSTER MATTHEW"</f>
        <v>ROYSTER MATTHEW</v>
      </c>
      <c r="C10754" s="1" t="str">
        <f>"CASSIDY PEAKE MEADOWS LOT 200 "</f>
        <v xml:space="preserve">CASSIDY PEAKE MEADOWS LOT 200 </v>
      </c>
      <c r="D10754" s="1">
        <v>849.05</v>
      </c>
    </row>
    <row r="10755" spans="1:4" x14ac:dyDescent="0.3">
      <c r="A10755" s="1" t="str">
        <f>"01023833400"</f>
        <v>01023833400</v>
      </c>
      <c r="B10755" s="1" t="str">
        <f>"ROZOVSKI GLEB TR"</f>
        <v>ROZOVSKI GLEB TR</v>
      </c>
      <c r="C10755" s="1" t="str">
        <f>"MCNEILL FARMS EAST CONDOMINIUM 24TH AMD UNIT 110D"</f>
        <v>MCNEILL FARMS EAST CONDOMINIUM 24TH AMD UNIT 110D</v>
      </c>
      <c r="D10755" s="1">
        <v>2542.64</v>
      </c>
    </row>
    <row r="10756" spans="1:4" x14ac:dyDescent="0.3">
      <c r="A10756" s="1" t="str">
        <f>"15300063500"</f>
        <v>15300063500</v>
      </c>
      <c r="B10756" s="1" t="str">
        <f>"RPS EQUITY LLC"</f>
        <v>RPS EQUITY LLC</v>
      </c>
      <c r="C10756" s="1" t="str">
        <f>"BRIDLEWOOD COURT BRIDLEWOOD SECTION 6 LOT 27"</f>
        <v>BRIDLEWOOD COURT BRIDLEWOOD SECTION 6 LOT 27</v>
      </c>
      <c r="D10756" s="1">
        <v>1935.3</v>
      </c>
    </row>
    <row r="10757" spans="1:4" x14ac:dyDescent="0.3">
      <c r="A10757" s="1" t="str">
        <f>"53018404700"</f>
        <v>53018404700</v>
      </c>
      <c r="B10757" s="1" t="str">
        <f>"RPS EQUITY LLC"</f>
        <v>RPS EQUITY LLC</v>
      </c>
      <c r="C10757" s="1" t="str">
        <f>"SPRINGTIME CT MADISON MILLS SEC 6 LOT 392"</f>
        <v>SPRINGTIME CT MADISON MILLS SEC 6 LOT 392</v>
      </c>
      <c r="D10757" s="1">
        <v>1507.58</v>
      </c>
    </row>
    <row r="10758" spans="1:4" x14ac:dyDescent="0.3">
      <c r="A10758" s="1" t="str">
        <f>"51023134600"</f>
        <v>51023134600</v>
      </c>
      <c r="B10758" s="1" t="str">
        <f>"RPS EQUITY LLC"</f>
        <v>RPS EQUITY LLC</v>
      </c>
      <c r="C10758" s="1" t="str">
        <f>"HACKWORTH ST HAMILTON HIGHLANDS PART 1 LOT 40"</f>
        <v>HACKWORTH ST HAMILTON HIGHLANDS PART 1 LOT 40</v>
      </c>
      <c r="D10758" s="1">
        <v>1582.5</v>
      </c>
    </row>
    <row r="10759" spans="1:4" x14ac:dyDescent="0.3">
      <c r="A10759" s="1" t="str">
        <f>"01027214700"</f>
        <v>01027214700</v>
      </c>
      <c r="B10759" s="1" t="str">
        <f>"RRR DEVELOPMENT HOLDINGS LLC"</f>
        <v>RRR DEVELOPMENT HOLDINGS LLC</v>
      </c>
      <c r="C10759" s="1" t="str">
        <f>"5300 N HAMILTON RD R16 T2 1/4T3 1.037 ACRES"</f>
        <v>5300 N HAMILTON RD R16 T2 1/4T3 1.037 ACRES</v>
      </c>
      <c r="D10759" s="1">
        <v>21112.18</v>
      </c>
    </row>
    <row r="10760" spans="1:4" x14ac:dyDescent="0.3">
      <c r="A10760" s="1" t="str">
        <f>"01011574100"</f>
        <v>01011574100</v>
      </c>
      <c r="B10760" s="1" t="str">
        <f>"RS XII COLUMBUS OWNER 1 LP"</f>
        <v>RS XII COLUMBUS OWNER 1 LP</v>
      </c>
      <c r="C10760" s="1" t="str">
        <f>"HILOCK RD .098 ACRE LOT 13 URP"</f>
        <v>HILOCK RD .098 ACRE LOT 13 URP</v>
      </c>
      <c r="D10760" s="1">
        <v>615.38</v>
      </c>
    </row>
    <row r="10761" spans="1:4" x14ac:dyDescent="0.3">
      <c r="A10761" s="1" t="str">
        <f>"01011574000"</f>
        <v>01011574000</v>
      </c>
      <c r="B10761" s="1" t="str">
        <f>"RS XII COLUMBUS OWNER 1 LP"</f>
        <v>RS XII COLUMBUS OWNER 1 LP</v>
      </c>
      <c r="C10761" s="1" t="str">
        <f>"HILOCK RD .098 ACRE LOT 12 URP"</f>
        <v>HILOCK RD .098 ACRE LOT 12 URP</v>
      </c>
      <c r="D10761" s="1">
        <v>1277.95</v>
      </c>
    </row>
    <row r="10762" spans="1:4" x14ac:dyDescent="0.3">
      <c r="A10762" s="1" t="str">
        <f>"01011306200"</f>
        <v>01011306200</v>
      </c>
      <c r="B10762" s="1" t="str">
        <f>"RS XII COLUMBUS OWNER 1 LP"</f>
        <v>RS XII COLUMBUS OWNER 1 LP</v>
      </c>
      <c r="C10762" s="1" t="str">
        <f>"DERING AVE SOUTH HIGH ST LOT 131"</f>
        <v>DERING AVE SOUTH HIGH ST LOT 131</v>
      </c>
      <c r="D10762" s="1">
        <v>440.7</v>
      </c>
    </row>
    <row r="10763" spans="1:4" x14ac:dyDescent="0.3">
      <c r="A10763" s="1" t="str">
        <f>"04000300500"</f>
        <v>04000300500</v>
      </c>
      <c r="B10763" s="1" t="str">
        <f>"RS XII COLUMBUS OWNER 1 LP"</f>
        <v>RS XII COLUMBUS OWNER 1 LP</v>
      </c>
      <c r="C10763" s="1" t="str">
        <f>"RICHARD AVE ACRES .066  ENTRY 1383-1388 2-3-4-5"</f>
        <v>RICHARD AVE ACRES .066  ENTRY 1383-1388 2-3-4-5</v>
      </c>
      <c r="D10763" s="1">
        <v>406.03</v>
      </c>
    </row>
    <row r="10764" spans="1:4" x14ac:dyDescent="0.3">
      <c r="A10764" s="1" t="str">
        <f>"06000070300"</f>
        <v>06000070300</v>
      </c>
      <c r="B10764" s="1" t="str">
        <f>"RUBEL THOMAS A"</f>
        <v>RUBEL THOMAS A</v>
      </c>
      <c r="C10764" s="1" t="str">
        <f>"GILMORE DR BROOKSIDE PK 2 279 "</f>
        <v xml:space="preserve">GILMORE DR BROOKSIDE PK 2 279 </v>
      </c>
      <c r="D10764" s="1">
        <v>2160.27</v>
      </c>
    </row>
    <row r="10765" spans="1:4" x14ac:dyDescent="0.3">
      <c r="A10765" s="1" t="str">
        <f>"01000034800"</f>
        <v>01000034800</v>
      </c>
      <c r="B10765" s="1" t="str">
        <f>"RUBIO PATRICIA"</f>
        <v>RUBIO PATRICIA</v>
      </c>
      <c r="C10765" s="1" t="str">
        <f>"2295 PARKWOOD AVE MUL-BUR HTS "</f>
        <v xml:space="preserve">2295 PARKWOOD AVE MUL-BUR HTS </v>
      </c>
      <c r="D10765" s="1">
        <v>1585.38</v>
      </c>
    </row>
    <row r="10766" spans="1:4" x14ac:dyDescent="0.3">
      <c r="A10766" s="1" t="str">
        <f>"01007080300"</f>
        <v>01007080300</v>
      </c>
      <c r="B10766" s="1" t="str">
        <f>"RUBIO PATRICIA"</f>
        <v>RUBIO PATRICIA</v>
      </c>
      <c r="C10766" s="1" t="str">
        <f>"PARKWOOD &amp; REPUBLIC NS LOT 35 &amp; SS MUL-BUR HTS"</f>
        <v>PARKWOOD &amp; REPUBLIC NS LOT 35 &amp; SS MUL-BUR HTS</v>
      </c>
      <c r="D10766" s="1">
        <v>85.47</v>
      </c>
    </row>
    <row r="10767" spans="1:4" x14ac:dyDescent="0.3">
      <c r="A10767" s="1" t="str">
        <f>"18100131700"</f>
        <v>18100131700</v>
      </c>
      <c r="B10767" s="1" t="str">
        <f>"RUBY DENNIS C, RUBY HEATHER R"</f>
        <v>RUBY DENNIS C, RUBY HEATHER R</v>
      </c>
      <c r="C10767" s="1" t="str">
        <f>"WINCHESTER PIKE R21 T10 S2 NE 1-4 10.0062 ACRES"</f>
        <v>WINCHESTER PIKE R21 T10 S2 NE 1-4 10.0062 ACRES</v>
      </c>
      <c r="D10767" s="1">
        <v>535.48</v>
      </c>
    </row>
    <row r="10768" spans="1:4" x14ac:dyDescent="0.3">
      <c r="A10768" s="1" t="str">
        <f>"54527656300"</f>
        <v>54527656300</v>
      </c>
      <c r="B10768" s="1" t="str">
        <f>"RUCINSKI STEPHANIE L"</f>
        <v>RUCINSKI STEPHANIE L</v>
      </c>
      <c r="C10768" s="1" t="str">
        <f>"THE VILLAGE AT CHESTNUT HILL CONDOMINIUM 2ND AMD UNIT 12-4030"</f>
        <v>THE VILLAGE AT CHESTNUT HILL CONDOMINIUM 2ND AMD UNIT 12-4030</v>
      </c>
      <c r="D10768" s="1">
        <v>2935.17</v>
      </c>
    </row>
    <row r="10769" spans="1:4" x14ac:dyDescent="0.3">
      <c r="A10769" s="1" t="str">
        <f>"21300250600"</f>
        <v>21300250600</v>
      </c>
      <c r="B10769" s="1" t="str">
        <f>"RUDELL THOMAS M, RUDELL LINDA K"</f>
        <v>RUDELL THOMAS M, RUDELL LINDA K</v>
      </c>
      <c r="C10769" s="1" t="str">
        <f>"TENNYSON COURT RESUB WRTHGTN HLLS N LOT 120"</f>
        <v>TENNYSON COURT RESUB WRTHGTN HLLS N LOT 120</v>
      </c>
      <c r="D10769" s="1">
        <v>532.44000000000005</v>
      </c>
    </row>
    <row r="10770" spans="1:4" x14ac:dyDescent="0.3">
      <c r="A10770" s="1" t="str">
        <f>"57022572800"</f>
        <v>57022572800</v>
      </c>
      <c r="B10770" s="1" t="str">
        <f>"RUDER MEGAN E, RUDER ZACHARY D"</f>
        <v>RUDER MEGAN E, RUDER ZACHARY D</v>
      </c>
      <c r="C10770" s="1" t="str">
        <f>"CHESAPEAKE FARMS SECTION 1 LOT 12"</f>
        <v>CHESAPEAKE FARMS SECTION 1 LOT 12</v>
      </c>
      <c r="D10770" s="1">
        <v>5228.54</v>
      </c>
    </row>
    <row r="10771" spans="1:4" x14ac:dyDescent="0.3">
      <c r="A10771" s="1" t="str">
        <f>"57017090700"</f>
        <v>57017090700</v>
      </c>
      <c r="B10771" s="1" t="str">
        <f>"RUDOLPH THOMAS E, RUDOLPH NANCY M"</f>
        <v>RUDOLPH THOMAS E, RUDOLPH NANCY M</v>
      </c>
      <c r="C10771" s="1" t="str">
        <f>"ROCK CREEK DR WILLOW CREEK SEC 4 LOT 295"</f>
        <v>ROCK CREEK DR WILLOW CREEK SEC 4 LOT 295</v>
      </c>
      <c r="D10771" s="1">
        <v>1495.26</v>
      </c>
    </row>
    <row r="10772" spans="1:4" x14ac:dyDescent="0.3">
      <c r="A10772" s="1" t="str">
        <f>"01028356200"</f>
        <v>01028356200</v>
      </c>
      <c r="B10772" s="1" t="str">
        <f>"RUE GAY 206 LLC"</f>
        <v>RUE GAY 206 LLC</v>
      </c>
      <c r="C10772" s="1" t="str">
        <f>"CARLYLE'S WATCH           CONDOMINIUM               UNIT 2C                  "</f>
        <v xml:space="preserve">CARLYLE'S WATCH           CONDOMINIUM               UNIT 2C                  </v>
      </c>
      <c r="D10772" s="1">
        <v>1951.38</v>
      </c>
    </row>
    <row r="10773" spans="1:4" x14ac:dyDescent="0.3">
      <c r="A10773" s="1" t="str">
        <f>"01009258700"</f>
        <v>01009258700</v>
      </c>
      <c r="B10773" s="1" t="str">
        <f>"RUFF STANTON V"</f>
        <v>RUFF STANTON V</v>
      </c>
      <c r="C10773" s="1" t="str">
        <f>"2717 WELLESLEY RD BERWICK LOT 650-651"</f>
        <v>2717 WELLESLEY RD BERWICK LOT 650-651</v>
      </c>
      <c r="D10773" s="1">
        <v>5062.8900000000003</v>
      </c>
    </row>
    <row r="10774" spans="1:4" x14ac:dyDescent="0.3">
      <c r="A10774" s="1" t="str">
        <f>"01015220900"</f>
        <v>01015220900</v>
      </c>
      <c r="B10774" s="1" t="str">
        <f>"RUFFIN LADAWNYA S"</f>
        <v>RUFFIN LADAWNYA S</v>
      </c>
      <c r="C10774" s="1" t="str">
        <f>"CASSADY AVE CUMBERLAND RIDGE SEC 1 LOT 88"</f>
        <v>CASSADY AVE CUMBERLAND RIDGE SEC 1 LOT 88</v>
      </c>
      <c r="D10774" s="1">
        <v>530.19000000000005</v>
      </c>
    </row>
    <row r="10775" spans="1:4" x14ac:dyDescent="0.3">
      <c r="A10775" s="1" t="str">
        <f>"05000304400"</f>
        <v>05000304400</v>
      </c>
      <c r="B10775" s="1" t="str">
        <f>"RUHE TODD A, RUHE JANELLE R"</f>
        <v>RUHE TODD A, RUHE JANELLE R</v>
      </c>
      <c r="C10775" s="1" t="str">
        <f>"4500 DUBLIN RD SCIOTO ESTATE PAR 6 1.145 ACRES"</f>
        <v>4500 DUBLIN RD SCIOTO ESTATE PAR 6 1.145 ACRES</v>
      </c>
      <c r="D10775" s="1">
        <v>13297.2</v>
      </c>
    </row>
    <row r="10776" spans="1:4" x14ac:dyDescent="0.3">
      <c r="A10776" s="1" t="str">
        <f>"24000451900"</f>
        <v>24000451900</v>
      </c>
      <c r="B10776" s="1" t="str">
        <f>"RUIZ CRESENCIO, RUIZ AGUSTINA"</f>
        <v>RUIZ CRESENCIO, RUIZ AGUSTINA</v>
      </c>
      <c r="C10776" s="1" t="str">
        <f>"HILER RD LINCOLN VILLAGE S LOT 356"</f>
        <v>HILER RD LINCOLN VILLAGE S LOT 356</v>
      </c>
      <c r="D10776" s="1">
        <v>2678.3</v>
      </c>
    </row>
    <row r="10777" spans="1:4" x14ac:dyDescent="0.3">
      <c r="A10777" s="1" t="str">
        <f>"01002756900"</f>
        <v>01002756900</v>
      </c>
      <c r="B10777" s="1" t="str">
        <f>"RUIZ DIRLA JULASSA MENDEZ"</f>
        <v>RUIZ DIRLA JULASSA MENDEZ</v>
      </c>
      <c r="C10777" s="1" t="str">
        <f>"PERDUE AVE DENUNE E LINDEN 5TH LOT 188"</f>
        <v>PERDUE AVE DENUNE E LINDEN 5TH LOT 188</v>
      </c>
      <c r="D10777" s="1">
        <v>2036.73</v>
      </c>
    </row>
    <row r="10778" spans="1:4" x14ac:dyDescent="0.3">
      <c r="A10778" s="1" t="str">
        <f>"01005940200"</f>
        <v>01005940200</v>
      </c>
      <c r="B10778" s="1" t="str">
        <f>"RUIZ DIRLA JULASSA MENDEZ"</f>
        <v>RUIZ DIRLA JULASSA MENDEZ</v>
      </c>
      <c r="C10778" s="1" t="str">
        <f>"1625 GENESEE AVE LINDEN LOT 897"</f>
        <v>1625 GENESEE AVE LINDEN LOT 897</v>
      </c>
      <c r="D10778" s="1">
        <v>2220.23</v>
      </c>
    </row>
    <row r="10779" spans="1:4" x14ac:dyDescent="0.3">
      <c r="A10779" s="1" t="str">
        <f>"12000099000"</f>
        <v>12000099000</v>
      </c>
      <c r="B10779" s="1" t="str">
        <f>"RUIZ ELAINE, RUIZ MICHAEL H"</f>
        <v>RUIZ ELAINE, RUIZ MICHAEL H</v>
      </c>
      <c r="C10779" s="1" t="str">
        <f>"AMITY PIKE ENTRY 882 4.699 ACRES"</f>
        <v>AMITY PIKE ENTRY 882 4.699 ACRES</v>
      </c>
      <c r="D10779" s="1">
        <v>750.98</v>
      </c>
    </row>
    <row r="10780" spans="1:4" x14ac:dyDescent="0.3">
      <c r="A10780" s="1" t="str">
        <f>"01006500000"</f>
        <v>01006500000</v>
      </c>
      <c r="B10780" s="1" t="str">
        <f>"RUIZ JOSE GUADALUPE ROBLES"</f>
        <v>RUIZ JOSE GUADALUPE ROBLES</v>
      </c>
      <c r="C10780" s="1" t="str">
        <f>"821 BASSETT AVE BYRNE &amp; PETERS LOT 17"</f>
        <v>821 BASSETT AVE BYRNE &amp; PETERS LOT 17</v>
      </c>
      <c r="D10780" s="1">
        <v>723.33</v>
      </c>
    </row>
    <row r="10781" spans="1:4" x14ac:dyDescent="0.3">
      <c r="A10781" s="1" t="str">
        <f>"14000587400"</f>
        <v>14000587400</v>
      </c>
      <c r="B10781" s="1" t="str">
        <f>"RUIZ NANCY"</f>
        <v>RUIZ NANCY</v>
      </c>
      <c r="C10781" s="1" t="str">
        <f>"1729 N EASTFIELD DR WESTBROOK 274 "</f>
        <v xml:space="preserve">1729 N EASTFIELD DR WESTBROOK 274 </v>
      </c>
      <c r="D10781" s="1">
        <v>2142.2199999999998</v>
      </c>
    </row>
    <row r="10782" spans="1:4" x14ac:dyDescent="0.3">
      <c r="A10782" s="1" t="str">
        <f>"07001241600"</f>
        <v>07001241600</v>
      </c>
      <c r="B10782" s="1" t="str">
        <f>"RUMA MARCIA L"</f>
        <v>RUMA MARCIA L</v>
      </c>
      <c r="C10782" s="1" t="str">
        <f>"2585 SLATE RUN RD SLATE RUN SUB LOT 14"</f>
        <v>2585 SLATE RUN RD SLATE RUN SUB LOT 14</v>
      </c>
      <c r="D10782" s="1">
        <v>2205.35</v>
      </c>
    </row>
    <row r="10783" spans="1:4" x14ac:dyDescent="0.3">
      <c r="A10783" s="1" t="str">
        <f>"01027011300"</f>
        <v>01027011300</v>
      </c>
      <c r="B10783" s="1" t="str">
        <f>"RUME TRINITY LAKES LLC"</f>
        <v>RUME TRINITY LAKES LLC</v>
      </c>
      <c r="C10783" s="1" t="str">
        <f>"CITATION CLUB CONDOMINIUMS BLDG 1 UNIT 570"</f>
        <v>CITATION CLUB CONDOMINIUMS BLDG 1 UNIT 570</v>
      </c>
      <c r="D10783" s="1">
        <v>562.1</v>
      </c>
    </row>
    <row r="10784" spans="1:4" x14ac:dyDescent="0.3">
      <c r="A10784" s="1" t="str">
        <f>"01007835400"</f>
        <v>01007835400</v>
      </c>
      <c r="B10784" s="1" t="str">
        <f>"RUMLEY ROSE M"</f>
        <v>RUMLEY ROSE M</v>
      </c>
      <c r="C10784" s="1" t="str">
        <f>"N KELLNER RD EASTVALE LOT 21"</f>
        <v>N KELLNER RD EASTVALE LOT 21</v>
      </c>
      <c r="D10784" s="1">
        <v>334.86</v>
      </c>
    </row>
    <row r="10785" spans="1:4" x14ac:dyDescent="0.3">
      <c r="A10785" s="1" t="str">
        <f>"04000117900"</f>
        <v>04000117900</v>
      </c>
      <c r="B10785" s="1" t="str">
        <f>"RUN VIRTOH, CHANN SORADI"</f>
        <v>RUN VIRTOH, CHANN SORADI</v>
      </c>
      <c r="C10785" s="1" t="str">
        <f>"3930 GLENNA AVENUE GLENN L LOTZ -GRVE CTY PT LOTS 18-19"</f>
        <v>3930 GLENNA AVENUE GLENN L LOTZ -GRVE CTY PT LOTS 18-19</v>
      </c>
      <c r="D10785" s="1">
        <v>1971.97</v>
      </c>
    </row>
    <row r="10786" spans="1:4" x14ac:dyDescent="0.3">
      <c r="A10786" s="1" t="str">
        <f>"06000170500"</f>
        <v>06000170500</v>
      </c>
      <c r="B10786" s="1" t="str">
        <f>"RUNYON RICHARD J"</f>
        <v>RUNYON RICHARD J</v>
      </c>
      <c r="C10786" s="1" t="str">
        <f>"SMITHFIELD AVE BROOKSIDE PK 3 669 "</f>
        <v xml:space="preserve">SMITHFIELD AVE BROOKSIDE PK 3 669 </v>
      </c>
      <c r="D10786" s="1">
        <v>82.06</v>
      </c>
    </row>
    <row r="10787" spans="1:4" x14ac:dyDescent="0.3">
      <c r="A10787" s="1" t="str">
        <f>"14000278900"</f>
        <v>14000278900</v>
      </c>
      <c r="B10787" s="1" t="str">
        <f>"RUPE KELLY J"</f>
        <v>RUPE KELLY J</v>
      </c>
      <c r="C10787" s="1" t="str">
        <f>"51 FLORENCE AVE BROAD-LAWN 78 "</f>
        <v xml:space="preserve">51 FLORENCE AVE BROAD-LAWN 78 </v>
      </c>
      <c r="D10787" s="1">
        <v>290.87</v>
      </c>
    </row>
    <row r="10788" spans="1:4" x14ac:dyDescent="0.3">
      <c r="A10788" s="1" t="str">
        <f>"06000783300"</f>
        <v>06000783300</v>
      </c>
      <c r="B10788" s="1" t="str">
        <f>"RUSH AMEE, DUTY GRANVILLE JR"</f>
        <v>RUSH AMEE, DUTY GRANVILLE JR</v>
      </c>
      <c r="C10788" s="1" t="str">
        <f>"V S R CONDOMINIUM UNIT 7684"</f>
        <v>V S R CONDOMINIUM UNIT 7684</v>
      </c>
      <c r="D10788" s="1">
        <v>3249.79</v>
      </c>
    </row>
    <row r="10789" spans="1:4" x14ac:dyDescent="0.3">
      <c r="A10789" s="1" t="str">
        <f>"08000183200"</f>
        <v>08000183200</v>
      </c>
      <c r="B10789" s="1" t="str">
        <f>"RUSH KEVIN D II TTEE"</f>
        <v>RUSH KEVIN D II TTEE</v>
      </c>
      <c r="C10789" s="1" t="str">
        <f>"CIRCLE COURT WALNUT HILLS 50"</f>
        <v>CIRCLE COURT WALNUT HILLS 50</v>
      </c>
      <c r="D10789" s="1">
        <v>6233.6</v>
      </c>
    </row>
    <row r="10790" spans="1:4" x14ac:dyDescent="0.3">
      <c r="A10790" s="1" t="str">
        <f>"01000847400"</f>
        <v>01000847400</v>
      </c>
      <c r="B10790" s="1" t="str">
        <f>"RUSH LEONARD"</f>
        <v>RUSH LEONARD</v>
      </c>
      <c r="C10790" s="1" t="str">
        <f>"2200 LEONARD AVE 50FT WE OF EA ST MARYS GATE L31-2"</f>
        <v>2200 LEONARD AVE 50FT WE OF EA ST MARYS GATE L31-2</v>
      </c>
      <c r="D10790" s="1">
        <v>2432.9699999999998</v>
      </c>
    </row>
    <row r="10791" spans="1:4" x14ac:dyDescent="0.3">
      <c r="A10791" s="1" t="str">
        <f>"54527656000"</f>
        <v>54527656000</v>
      </c>
      <c r="B10791" s="1" t="str">
        <f>"RUSH RACHEL"</f>
        <v>RUSH RACHEL</v>
      </c>
      <c r="C10791" s="1" t="str">
        <f>"THE VILLAGE AT CHESTNUT HILL CONDOMINIUM 2ND AMD UNIT 11-4016"</f>
        <v>THE VILLAGE AT CHESTNUT HILL CONDOMINIUM 2ND AMD UNIT 11-4016</v>
      </c>
      <c r="D10791" s="1">
        <v>2819.26</v>
      </c>
    </row>
    <row r="10792" spans="1:4" x14ac:dyDescent="0.3">
      <c r="A10792" s="1" t="str">
        <f>"01010010000"</f>
        <v>01010010000</v>
      </c>
      <c r="B10792" s="1" t="str">
        <f>"RUSHIA FREDRICK D"</f>
        <v>RUSHIA FREDRICK D</v>
      </c>
      <c r="C10792" s="1" t="str">
        <f>"SIMPSON DR SHADY LANE PK LOT 23"</f>
        <v>SIMPSON DR SHADY LANE PK LOT 23</v>
      </c>
      <c r="D10792" s="1">
        <v>2269.62</v>
      </c>
    </row>
    <row r="10793" spans="1:4" x14ac:dyDescent="0.3">
      <c r="A10793" s="1" t="str">
        <f>"08000898400"</f>
        <v>08000898400</v>
      </c>
      <c r="B10793" s="1" t="str">
        <f>"RUSS TRACY A, RUSS CARTER L"</f>
        <v>RUSS TRACY A, RUSS CARTER L</v>
      </c>
      <c r="C10793" s="1" t="str">
        <f>"277 CROSS COUNTRY S WESTERVILLE CONDO TOWNHMS XVI UNIT A"</f>
        <v>277 CROSS COUNTRY S WESTERVILLE CONDO TOWNHMS XVI UNIT A</v>
      </c>
      <c r="D10793" s="1">
        <v>276.69</v>
      </c>
    </row>
    <row r="10794" spans="1:4" x14ac:dyDescent="0.3">
      <c r="A10794" s="1" t="str">
        <f>"01002836400"</f>
        <v>01002836400</v>
      </c>
      <c r="B10794" s="1" t="str">
        <f>"RUSSELL ALBERT"</f>
        <v>RUSSELL ALBERT</v>
      </c>
      <c r="C10794" s="1" t="str">
        <f>"1048 E RICH ST R C HOFFMAN LOT SUB 2"</f>
        <v>1048 E RICH ST R C HOFFMAN LOT SUB 2</v>
      </c>
      <c r="D10794" s="1">
        <v>715.39</v>
      </c>
    </row>
    <row r="10795" spans="1:4" x14ac:dyDescent="0.3">
      <c r="A10795" s="1" t="str">
        <f>"01002202000"</f>
        <v>01002202000</v>
      </c>
      <c r="B10795" s="1" t="str">
        <f>"RUSSELL ALBERT"</f>
        <v>RUSSELL ALBERT</v>
      </c>
      <c r="C10795" s="1" t="str">
        <f>"518 TREVITT ST WETMORE LOT 24"</f>
        <v>518 TREVITT ST WETMORE LOT 24</v>
      </c>
      <c r="D10795" s="1">
        <v>651.96</v>
      </c>
    </row>
    <row r="10796" spans="1:4" x14ac:dyDescent="0.3">
      <c r="A10796" s="1" t="str">
        <f>"01000221200"</f>
        <v>01000221200</v>
      </c>
      <c r="B10796" s="1" t="str">
        <f>"RUSSELL ALBERT"</f>
        <v>RUSSELL ALBERT</v>
      </c>
      <c r="C10796" s="1" t="str">
        <f>"743 MILLER AVE T MILLER LOT 118-119-120"</f>
        <v>743 MILLER AVE T MILLER LOT 118-119-120</v>
      </c>
      <c r="D10796" s="1">
        <v>1562.82</v>
      </c>
    </row>
    <row r="10797" spans="1:4" x14ac:dyDescent="0.3">
      <c r="A10797" s="1" t="str">
        <f>"01001141300"</f>
        <v>01001141300</v>
      </c>
      <c r="B10797" s="1" t="str">
        <f>"RUSSELL ALBERT"</f>
        <v>RUSSELL ALBERT</v>
      </c>
      <c r="C10797" s="1" t="str">
        <f>"TREVITT ST WETMORE ADD LOT 25"</f>
        <v>TREVITT ST WETMORE ADD LOT 25</v>
      </c>
      <c r="D10797" s="1">
        <v>668.98</v>
      </c>
    </row>
    <row r="10798" spans="1:4" x14ac:dyDescent="0.3">
      <c r="A10798" s="1" t="str">
        <f>"01008056300"</f>
        <v>01008056300</v>
      </c>
      <c r="B10798" s="1" t="str">
        <f>"RUSSELL ALBERT, RUSSELL GRETA J"</f>
        <v>RUSSELL ALBERT, RUSSELL GRETA J</v>
      </c>
      <c r="C10798" s="1" t="str">
        <f>"967 GEERS AVE DRIVING PARK LOT 64"</f>
        <v>967 GEERS AVE DRIVING PARK LOT 64</v>
      </c>
      <c r="D10798" s="1">
        <v>1131.99</v>
      </c>
    </row>
    <row r="10799" spans="1:4" x14ac:dyDescent="0.3">
      <c r="A10799" s="1" t="str">
        <f>"57022359800"</f>
        <v>57022359800</v>
      </c>
      <c r="B10799" s="1" t="str">
        <f>"RUSSELL DEBRA D"</f>
        <v>RUSSELL DEBRA D</v>
      </c>
      <c r="C10799" s="1" t="str">
        <f>"0000 WALLINGER DR WESTCHESTER SEC4 PT1 LOT 194"</f>
        <v>0000 WALLINGER DR WESTCHESTER SEC4 PT1 LOT 194</v>
      </c>
      <c r="D10799" s="1">
        <v>984.09</v>
      </c>
    </row>
    <row r="10800" spans="1:4" x14ac:dyDescent="0.3">
      <c r="A10800" s="1" t="str">
        <f>"26000021900"</f>
        <v>26000021900</v>
      </c>
      <c r="B10800" s="1" t="str">
        <f>"RUSSELL KENT E"</f>
        <v>RUSSELL KENT E</v>
      </c>
      <c r="C10800" s="1" t="str">
        <f>"OSGOOD RD S QUALSTAN EAST 362 "</f>
        <v xml:space="preserve">OSGOOD RD S QUALSTAN EAST 362 </v>
      </c>
      <c r="D10800" s="1">
        <v>160</v>
      </c>
    </row>
    <row r="10801" spans="1:4" x14ac:dyDescent="0.3">
      <c r="A10801" s="1" t="str">
        <f>"18100020500"</f>
        <v>18100020500</v>
      </c>
      <c r="B10801" s="1" t="str">
        <f>"RUSSELL PAMELA J"</f>
        <v>RUSSELL PAMELA J</v>
      </c>
      <c r="C10801" s="1" t="str">
        <f>"WINCHESTER PIKE R21 T11 SEC14 0.728 ACRE"</f>
        <v>WINCHESTER PIKE R21 T11 SEC14 0.728 ACRE</v>
      </c>
      <c r="D10801" s="1">
        <v>295.42</v>
      </c>
    </row>
    <row r="10802" spans="1:4" x14ac:dyDescent="0.3">
      <c r="A10802" s="1" t="str">
        <f>"18100025900"</f>
        <v>18100025900</v>
      </c>
      <c r="B10802" s="1" t="str">
        <f>"RUSSELL PAMELA J"</f>
        <v>RUSSELL PAMELA J</v>
      </c>
      <c r="C10802" s="1" t="str">
        <f>"WINCHESTER PIKE R21 TU1 S14 0.991"</f>
        <v>WINCHESTER PIKE R21 TU1 S14 0.991</v>
      </c>
      <c r="D10802" s="1">
        <v>1687.68</v>
      </c>
    </row>
    <row r="10803" spans="1:4" x14ac:dyDescent="0.3">
      <c r="A10803" s="1" t="str">
        <f>"61017169000"</f>
        <v>61017169000</v>
      </c>
      <c r="B10803" s="1" t="str">
        <f>"RUSSELL PETER J"</f>
        <v>RUSSELL PETER J</v>
      </c>
      <c r="C10803" s="1" t="str">
        <f>"SUMMIT ROW BLVD SMOKY RIDGE ESTATES SEC ONE LOT 9"</f>
        <v>SUMMIT ROW BLVD SMOKY RIDGE ESTATES SEC ONE LOT 9</v>
      </c>
      <c r="D10803" s="1">
        <v>773.78</v>
      </c>
    </row>
    <row r="10804" spans="1:4" x14ac:dyDescent="0.3">
      <c r="A10804" s="1" t="str">
        <f>"05000480800"</f>
        <v>05000480800</v>
      </c>
      <c r="B10804" s="1" t="str">
        <f>"RUSSELL SANDRA"</f>
        <v>RUSSELL SANDRA</v>
      </c>
      <c r="C10804" s="1" t="str">
        <f>"BAYBERRY CREEK CONDOMINIUM BLDG 1 UNIT 4925"</f>
        <v>BAYBERRY CREEK CONDOMINIUM BLDG 1 UNIT 4925</v>
      </c>
      <c r="D10804" s="1">
        <v>192.4</v>
      </c>
    </row>
    <row r="10805" spans="1:4" x14ac:dyDescent="0.3">
      <c r="A10805" s="1" t="str">
        <f>"01021899000"</f>
        <v>01021899000</v>
      </c>
      <c r="B10805" s="1" t="str">
        <f>"RUSSELL SHELTON A, RUSSELL ALBERT"</f>
        <v>RUSSELL SHELTON A, RUSSELL ALBERT</v>
      </c>
      <c r="C10805" s="1" t="str">
        <f>"1634 CLIFTON AVENUE HANNA M TAYLORS SUB LT 18 &amp; 4.42'ES LT17"</f>
        <v>1634 CLIFTON AVENUE HANNA M TAYLORS SUB LT 18 &amp; 4.42'ES LT17</v>
      </c>
      <c r="D10805" s="1">
        <v>1408.36</v>
      </c>
    </row>
    <row r="10806" spans="1:4" x14ac:dyDescent="0.3">
      <c r="A10806" s="1" t="str">
        <f>"11300063500"</f>
        <v>11300063500</v>
      </c>
      <c r="B10806" s="1" t="str">
        <f>"RUSSELL SUSAN M TR"</f>
        <v>RUSSELL SUSAN M TR</v>
      </c>
      <c r="C10806" s="1" t="str">
        <f>"LAKEWOOD DR MINERVA PARK 145-146 "</f>
        <v xml:space="preserve">LAKEWOOD DR MINERVA PARK 145-146 </v>
      </c>
      <c r="D10806" s="1">
        <v>207.39</v>
      </c>
    </row>
    <row r="10807" spans="1:4" x14ac:dyDescent="0.3">
      <c r="A10807" s="1" t="str">
        <f>"01013954200"</f>
        <v>01013954200</v>
      </c>
      <c r="B10807" s="1" t="str">
        <f>"RUSSELL YOLANDA A"</f>
        <v>RUSSELL YOLANDA A</v>
      </c>
      <c r="C10807" s="1" t="str">
        <f>"1340 BENVUE FLORAVIEW HTS LOT 20"</f>
        <v>1340 BENVUE FLORAVIEW HTS LOT 20</v>
      </c>
      <c r="D10807" s="1">
        <v>1716.97</v>
      </c>
    </row>
    <row r="10808" spans="1:4" x14ac:dyDescent="0.3">
      <c r="A10808" s="1" t="str">
        <f>"05000974900"</f>
        <v>05000974900</v>
      </c>
      <c r="B10808" s="1" t="str">
        <f>"RUSSO JOHN M, RUSSO KARA A"</f>
        <v>RUSSO JOHN M, RUSSO KARA A</v>
      </c>
      <c r="C10808" s="1" t="str">
        <f>"KAYLYN LANE LAKEWOOD SECTION 5 LOT 329"</f>
        <v>KAYLYN LANE LAKEWOOD SECTION 5 LOT 329</v>
      </c>
      <c r="D10808" s="1">
        <v>6405.24</v>
      </c>
    </row>
    <row r="10809" spans="1:4" x14ac:dyDescent="0.3">
      <c r="A10809" s="1" t="str">
        <f>"01019911900"</f>
        <v>01019911900</v>
      </c>
      <c r="B10809" s="1" t="str">
        <f>"RUSSO NICHOLAS KYLE"</f>
        <v>RUSSO NICHOLAS KYLE</v>
      </c>
      <c r="C10809" s="1" t="str">
        <f>"STORNOWAY DR S MCNAUGHTEN COMM CONDO BLDG 5 UNIT 6226"</f>
        <v>STORNOWAY DR S MCNAUGHTEN COMM CONDO BLDG 5 UNIT 6226</v>
      </c>
      <c r="D10809" s="1">
        <v>105.28</v>
      </c>
    </row>
    <row r="10810" spans="1:4" x14ac:dyDescent="0.3">
      <c r="A10810" s="1" t="str">
        <f>"07001180900"</f>
        <v>07001180900</v>
      </c>
      <c r="B10810" s="1" t="str">
        <f>"RUST MICHAEL JON"</f>
        <v>RUST MICHAEL JON</v>
      </c>
      <c r="C10810" s="1" t="str">
        <f>"1548 SANDRINGHAM DR WESTMINSTER VILLAGE COND NO 1 LOT 1548"</f>
        <v>1548 SANDRINGHAM DR WESTMINSTER VILLAGE COND NO 1 LOT 1548</v>
      </c>
      <c r="D10810" s="1">
        <v>5728.23</v>
      </c>
    </row>
    <row r="10811" spans="1:4" x14ac:dyDescent="0.3">
      <c r="A10811" s="1" t="str">
        <f>"18500008800"</f>
        <v>18500008800</v>
      </c>
      <c r="B10811" s="1" t="str">
        <f>"RUTAN DANIELLE"</f>
        <v>RUTAN DANIELLE</v>
      </c>
      <c r="C10811" s="1" t="str">
        <f>"131 OAK ST REAR NE QR SEC 28 DILDINE TCT .328 ACR"</f>
        <v>131 OAK ST REAR NE QR SEC 28 DILDINE TCT .328 ACR</v>
      </c>
      <c r="D10811" s="1">
        <v>4442.33</v>
      </c>
    </row>
    <row r="10812" spans="1:4" x14ac:dyDescent="0.3">
      <c r="A10812" s="1" t="str">
        <f>"16000241900"</f>
        <v>16000241900</v>
      </c>
      <c r="B10812" s="1" t="str">
        <f>"RUTAN NANCY J, RUTAN THOMAS D"</f>
        <v>RUTAN NANCY J, RUTAN THOMAS D</v>
      </c>
      <c r="C10812" s="1" t="str">
        <f>"CHRISTY LANE ROBIN ESTATES NO 2 LOTS 18 &amp; 17"</f>
        <v>CHRISTY LANE ROBIN ESTATES NO 2 LOTS 18 &amp; 17</v>
      </c>
      <c r="D10812" s="1">
        <v>311.27999999999997</v>
      </c>
    </row>
    <row r="10813" spans="1:4" x14ac:dyDescent="0.3">
      <c r="A10813" s="1" t="str">
        <f>"01028907900"</f>
        <v>01028907900</v>
      </c>
      <c r="B10813" s="1" t="str">
        <f>"RUTGERS AND COMPANY LLC"</f>
        <v>RUTGERS AND COMPANY LLC</v>
      </c>
      <c r="C10813" s="1" t="str">
        <f>"UPPER ALBANY WEST SECTION 5 LOT 608"</f>
        <v>UPPER ALBANY WEST SECTION 5 LOT 608</v>
      </c>
      <c r="D10813" s="1">
        <v>325.83</v>
      </c>
    </row>
    <row r="10814" spans="1:4" x14ac:dyDescent="0.3">
      <c r="A10814" s="1" t="str">
        <f>"01023883700"</f>
        <v>01023883700</v>
      </c>
      <c r="B10814" s="1" t="str">
        <f>"RUTHERFORD JAMES L, RUTHERFORD MARCHIA"</f>
        <v>RUTHERFORD JAMES L, RUTHERFORD MARCHIA</v>
      </c>
      <c r="C10814" s="1" t="str">
        <f>"WALLCREST BOULEVARD WALTHAM PLACE SECTION 1 LOT 92"</f>
        <v>WALLCREST BOULEVARD WALTHAM PLACE SECTION 1 LOT 92</v>
      </c>
      <c r="D10814" s="1">
        <v>192.23</v>
      </c>
    </row>
    <row r="10815" spans="1:4" x14ac:dyDescent="0.3">
      <c r="A10815" s="1" t="str">
        <f>"27300899900"</f>
        <v>27300899900</v>
      </c>
      <c r="B10815" s="1" t="str">
        <f>"RUTHERFORD KATHLEEN C"</f>
        <v>RUTHERFORD KATHLEEN C</v>
      </c>
      <c r="C10815" s="1" t="str">
        <f>"VILLAGE AT INVERNESS CONDOMINIUM 2ND AMD UNIT 3875"</f>
        <v>VILLAGE AT INVERNESS CONDOMINIUM 2ND AMD UNIT 3875</v>
      </c>
      <c r="D10815" s="1">
        <v>3385.79</v>
      </c>
    </row>
    <row r="10816" spans="1:4" x14ac:dyDescent="0.3">
      <c r="A10816" s="1" t="str">
        <f>"22200313700"</f>
        <v>22200313700</v>
      </c>
      <c r="B10816" s="1" t="str">
        <f>"RUTHERFORD KATHLEEN C, RUTHERFORD JAMES A"</f>
        <v>RUTHERFORD KATHLEEN C, RUTHERFORD JAMES A</v>
      </c>
      <c r="C10816" s="1" t="str">
        <f>"KESWICK CONDOMINIUM UNIT 7"</f>
        <v>KESWICK CONDOMINIUM UNIT 7</v>
      </c>
      <c r="D10816" s="1">
        <v>12275.03</v>
      </c>
    </row>
    <row r="10817" spans="1:4" x14ac:dyDescent="0.3">
      <c r="A10817" s="1" t="str">
        <f>"01009922100"</f>
        <v>01009922100</v>
      </c>
      <c r="B10817" s="1" t="str">
        <f>"RUTLEDGE DARLENA M"</f>
        <v>RUTLEDGE DARLENA M</v>
      </c>
      <c r="C10817" s="1" t="str">
        <f>"ASHTON RD 0.2462 ACRE R21 T12 S171-4 S27"</f>
        <v>ASHTON RD 0.2462 ACRE R21 T12 S171-4 S27</v>
      </c>
      <c r="D10817" s="1">
        <v>204.7</v>
      </c>
    </row>
    <row r="10818" spans="1:4" x14ac:dyDescent="0.3">
      <c r="A10818" s="1" t="str">
        <f>"56017535900"</f>
        <v>56017535900</v>
      </c>
      <c r="B10818" s="1" t="str">
        <f>"RYAN HOMES INC"</f>
        <v>RYAN HOMES INC</v>
      </c>
      <c r="C10818" s="1" t="str">
        <f>"GRIMES DR REAR CIDER MILL PT S E LOT 77"</f>
        <v>GRIMES DR REAR CIDER MILL PT S E LOT 77</v>
      </c>
      <c r="D10818" s="1">
        <v>17.559999999999999</v>
      </c>
    </row>
    <row r="10819" spans="1:4" x14ac:dyDescent="0.3">
      <c r="A10819" s="1" t="str">
        <f>"01019397300"</f>
        <v>01019397300</v>
      </c>
      <c r="B10819" s="1" t="str">
        <f>"RYAN HUGH P, RYAN ELIZABETH C"</f>
        <v>RYAN HUGH P, RYAN ELIZABETH C</v>
      </c>
      <c r="C10819" s="1" t="str">
        <f>"1477C CLIFF CT HIDDEN LAKE CONDO 1 UNIT 54 BLDG 3"</f>
        <v>1477C CLIFF CT HIDDEN LAKE CONDO 1 UNIT 54 BLDG 3</v>
      </c>
      <c r="D10819" s="1">
        <v>2635.64</v>
      </c>
    </row>
    <row r="10820" spans="1:4" x14ac:dyDescent="0.3">
      <c r="A10820" s="1" t="str">
        <f>"07000088500"</f>
        <v>07000088500</v>
      </c>
      <c r="B10820" s="1" t="str">
        <f>"RYAN JAMES M, RYAN ANNE W"</f>
        <v>RYAN JAMES M, RYAN ANNE W</v>
      </c>
      <c r="C10820" s="1" t="str">
        <f>"2375 OXFORD RD MILLER FARM LOTS 6-9-12-14 PT 15"</f>
        <v>2375 OXFORD RD MILLER FARM LOTS 6-9-12-14 PT 15</v>
      </c>
      <c r="D10820" s="1">
        <v>1065.45</v>
      </c>
    </row>
    <row r="10821" spans="1:4" x14ac:dyDescent="0.3">
      <c r="A10821" s="1" t="str">
        <f>"55013701000"</f>
        <v>55013701000</v>
      </c>
      <c r="B10821" s="1" t="str">
        <f>"RYAN JANICE M AFDT"</f>
        <v>RYAN JANICE M AFDT</v>
      </c>
      <c r="C10821" s="1" t="str">
        <f>"6583 BALSAM DR RED FOX HOLLOW 2 LOT 148"</f>
        <v>6583 BALSAM DR RED FOX HOLLOW 2 LOT 148</v>
      </c>
      <c r="D10821" s="1">
        <v>56.16</v>
      </c>
    </row>
    <row r="10822" spans="1:4" x14ac:dyDescent="0.3">
      <c r="A10822" s="1" t="str">
        <f>"01018844500"</f>
        <v>01018844500</v>
      </c>
      <c r="B10822" s="1" t="str">
        <f>"RYAN JENNIFER G, RYAN PHILLIP C"</f>
        <v>RYAN JENNIFER G, RYAN PHILLIP C</v>
      </c>
      <c r="C10822" s="1" t="str">
        <f>"MERRIMAR CIR S HEARTHSTONE CONDO UNIT 1088-D BLDG 18"</f>
        <v>MERRIMAR CIR S HEARTHSTONE CONDO UNIT 1088-D BLDG 18</v>
      </c>
      <c r="D10822" s="1">
        <v>1647.24</v>
      </c>
    </row>
    <row r="10823" spans="1:4" x14ac:dyDescent="0.3">
      <c r="A10823" s="1" t="str">
        <f>"01002032300"</f>
        <v>01002032300</v>
      </c>
      <c r="B10823" s="1" t="str">
        <f>"RYAN JOSEPH P, RYAN NICOLE M"</f>
        <v>RYAN JOSEPH P, RYAN NICOLE M</v>
      </c>
      <c r="C10823" s="1" t="str">
        <f>"STARRET RD R18T1 1/4T2 1.0803 ACRE    LOT 2"</f>
        <v>STARRET RD R18T1 1/4T2 1.0803 ACRE    LOT 2</v>
      </c>
      <c r="D10823" s="1">
        <v>14245.03</v>
      </c>
    </row>
    <row r="10824" spans="1:4" x14ac:dyDescent="0.3">
      <c r="A10824" s="1" t="str">
        <f>"08001065600"</f>
        <v>08001065600</v>
      </c>
      <c r="B10824" s="1" t="str">
        <f>"RYAN KATHLEEN M"</f>
        <v>RYAN KATHLEEN M</v>
      </c>
      <c r="C10824" s="1" t="str">
        <f>"QUINCE COURT COLLEGE KNOLLS PH 2 AMENDED LOT 68"</f>
        <v>QUINCE COURT COLLEGE KNOLLS PH 2 AMENDED LOT 68</v>
      </c>
      <c r="D10824" s="1">
        <v>15</v>
      </c>
    </row>
    <row r="10825" spans="1:4" x14ac:dyDescent="0.3">
      <c r="A10825" s="1" t="str">
        <f>"25415174400"</f>
        <v>25415174400</v>
      </c>
      <c r="B10825" s="1" t="str">
        <f>"RYAN MARILYN C"</f>
        <v>RYAN MARILYN C</v>
      </c>
      <c r="C10825" s="1" t="str">
        <f>"5090 OLENTANGY RIVER RD R18 T2 1/4T3 1.2185 ACRES"</f>
        <v>5090 OLENTANGY RIVER RD R18 T2 1/4T3 1.2185 ACRES</v>
      </c>
      <c r="D10825" s="1">
        <v>1182.42</v>
      </c>
    </row>
    <row r="10826" spans="1:4" x14ac:dyDescent="0.3">
      <c r="A10826" s="1" t="str">
        <f>"05000964000"</f>
        <v>05000964000</v>
      </c>
      <c r="B10826" s="1" t="str">
        <f>"RYAN MICHAEL D, RYAN LOUANA"</f>
        <v>RYAN MICHAEL D, RYAN LOUANA</v>
      </c>
      <c r="C10826" s="1" t="str">
        <f>"COVENTRY MANOR CONDOMINIUM 14TH AMD BLDG 2 UNIT 4068"</f>
        <v>COVENTRY MANOR CONDOMINIUM 14TH AMD BLDG 2 UNIT 4068</v>
      </c>
      <c r="D10826" s="1">
        <v>2054.2600000000002</v>
      </c>
    </row>
    <row r="10827" spans="1:4" x14ac:dyDescent="0.3">
      <c r="A10827" s="1" t="str">
        <f>"07000881900"</f>
        <v>07000881900</v>
      </c>
      <c r="B10827" s="1" t="str">
        <f>"RYAN SCOTT A, RYAN BETH C"</f>
        <v>RYAN SCOTT A, RYAN BETH C</v>
      </c>
      <c r="C10827" s="1" t="str">
        <f>"3110 BEMBRIDGE RD WAKEFIELD FOREST LOT 4-5 BLK 305"</f>
        <v>3110 BEMBRIDGE RD WAKEFIELD FOREST LOT 4-5 BLK 305</v>
      </c>
      <c r="D10827" s="1">
        <v>6042.25</v>
      </c>
    </row>
    <row r="10828" spans="1:4" x14ac:dyDescent="0.3">
      <c r="A10828" s="1" t="str">
        <f>"24000387400"</f>
        <v>24000387400</v>
      </c>
      <c r="B10828" s="1" t="str">
        <f>"RYAN SHARON AFDT"</f>
        <v>RYAN SHARON AFDT</v>
      </c>
      <c r="C10828" s="1" t="str">
        <f>"N MURRAY HILL RD LINCOLN VILLAGE 734 "</f>
        <v xml:space="preserve">N MURRAY HILL RD LINCOLN VILLAGE 734 </v>
      </c>
      <c r="D10828" s="1">
        <v>2611.5100000000002</v>
      </c>
    </row>
    <row r="10829" spans="1:4" x14ac:dyDescent="0.3">
      <c r="A10829" s="1" t="str">
        <f>"01024988400"</f>
        <v>01024988400</v>
      </c>
      <c r="B10829" s="1" t="str">
        <f>"RYCKMAN JAMES D TR, RYCKMAN SALLY L TR"</f>
        <v>RYCKMAN JAMES D TR, RYCKMAN SALLY L TR</v>
      </c>
      <c r="C10829" s="1" t="str">
        <f>"5701 SANDERLING LANE BLENDON CHASE CONDOMINIUM UNIT 5701"</f>
        <v>5701 SANDERLING LANE BLENDON CHASE CONDOMINIUM UNIT 5701</v>
      </c>
      <c r="D10829" s="1">
        <v>179.15</v>
      </c>
    </row>
    <row r="10830" spans="1:4" x14ac:dyDescent="0.3">
      <c r="A10830" s="1" t="str">
        <f>"01010030500"</f>
        <v>01010030500</v>
      </c>
      <c r="B10830" s="1" t="str">
        <f>"RYLANCE TONI J, KRYSTYNAK JAMES, REITTER CAROL A, VISINTINE JOSEPHINE MARY, BLANTON DOLORES"</f>
        <v>RYLANCE TONI J, KRYSTYNAK JAMES, REITTER CAROL A, VISINTINE JOSEPHINE MARY, BLANTON DOLORES</v>
      </c>
      <c r="C10830" s="1" t="str">
        <f>"SIMPSON DR SHADY LANE PARK LOT 253"</f>
        <v>SIMPSON DR SHADY LANE PARK LOT 253</v>
      </c>
      <c r="D10830" s="1">
        <v>78.78</v>
      </c>
    </row>
    <row r="10831" spans="1:4" x14ac:dyDescent="0.3">
      <c r="A10831" s="1" t="str">
        <f>"57022475700"</f>
        <v>57022475700</v>
      </c>
      <c r="B10831" s="1" t="str">
        <f>"RYUMSHIN PETER P, RYUMSHIN NADIA"</f>
        <v>RYUMSHIN PETER P, RYUMSHIN NADIA</v>
      </c>
      <c r="C10831" s="1" t="str">
        <f>"ELLICOT COURT SENECA WOODS SEC 2 LOT 80"</f>
        <v>ELLICOT COURT SENECA WOODS SEC 2 LOT 80</v>
      </c>
      <c r="D10831" s="1">
        <v>170.83</v>
      </c>
    </row>
    <row r="10832" spans="1:4" x14ac:dyDescent="0.3">
      <c r="A10832" s="1" t="str">
        <f>"61021266300"</f>
        <v>61021266300</v>
      </c>
      <c r="B10832" s="1" t="str">
        <f>"S CHAUHAN REAL ESTATE H LLC"</f>
        <v>S CHAUHAN REAL ESTATE H LLC</v>
      </c>
      <c r="C10832" s="1" t="str">
        <f>"WORTHINGTON HIGHLANDS SECTION 3 LOT 167"</f>
        <v>WORTHINGTON HIGHLANDS SECTION 3 LOT 167</v>
      </c>
      <c r="D10832" s="1">
        <v>275.14999999999998</v>
      </c>
    </row>
    <row r="10833" spans="1:4" x14ac:dyDescent="0.3">
      <c r="A10833" s="1" t="str">
        <f>"06000892700"</f>
        <v>06000892700</v>
      </c>
      <c r="B10833" s="1" t="str">
        <f>"S HARPER REALTY HOLDINGS LLC"</f>
        <v>S HARPER REALTY HOLDINGS LLC</v>
      </c>
      <c r="C10833" s="1" t="str">
        <f>"FARMINGTON MEADOWS CONDOMINIUM 11TH AMD BLDG 35 UNIT 7923"</f>
        <v>FARMINGTON MEADOWS CONDOMINIUM 11TH AMD BLDG 35 UNIT 7923</v>
      </c>
      <c r="D10833" s="1">
        <v>228.19</v>
      </c>
    </row>
    <row r="10834" spans="1:4" x14ac:dyDescent="0.3">
      <c r="A10834" s="1" t="str">
        <f>"01005009400"</f>
        <v>01005009400</v>
      </c>
      <c r="B10834" s="1" t="str">
        <f>"S&amp;B VENTURE FUND I LLC"</f>
        <v>S&amp;B VENTURE FUND I LLC</v>
      </c>
      <c r="C10834" s="1" t="str">
        <f>"547 OAKWOOD AVE OAKWOODS LOT 88-9"</f>
        <v>547 OAKWOOD AVE OAKWOODS LOT 88-9</v>
      </c>
      <c r="D10834" s="1">
        <v>391.46</v>
      </c>
    </row>
    <row r="10835" spans="1:4" x14ac:dyDescent="0.3">
      <c r="A10835" s="1" t="str">
        <f>"01000907700"</f>
        <v>01000907700</v>
      </c>
      <c r="B10835" s="1" t="str">
        <f>"S&amp;B VENTURE FUND II LLC"</f>
        <v>S&amp;B VENTURE FUND II LLC</v>
      </c>
      <c r="C10835" s="1" t="str">
        <f>"707 LILLEY AVE A N COIT SUB 59"</f>
        <v>707 LILLEY AVE A N COIT SUB 59</v>
      </c>
      <c r="D10835" s="1">
        <v>219.99</v>
      </c>
    </row>
    <row r="10836" spans="1:4" x14ac:dyDescent="0.3">
      <c r="A10836" s="1" t="str">
        <f>"01004320000"</f>
        <v>01004320000</v>
      </c>
      <c r="B10836" s="1" t="str">
        <f>"S&amp;B VENTURE FUND II LLC"</f>
        <v>S&amp;B VENTURE FUND II LLC</v>
      </c>
      <c r="C10836" s="1" t="str">
        <f>"703 LILLEY AVE A B COIT SUB 58"</f>
        <v>703 LILLEY AVE A B COIT SUB 58</v>
      </c>
      <c r="D10836" s="1">
        <v>219.99</v>
      </c>
    </row>
    <row r="10837" spans="1:4" x14ac:dyDescent="0.3">
      <c r="A10837" s="1" t="str">
        <f>"01002556800"</f>
        <v>01002556800</v>
      </c>
      <c r="B10837" s="1" t="str">
        <f>"S&amp;B VENTURE FUND II LLC"</f>
        <v>S&amp;B VENTURE FUND II LLC</v>
      </c>
      <c r="C10837" s="1" t="str">
        <f>"407-409 S OHIO AVE 31.25X70FT &amp;5.25X30 FT KRUMM ET AL LT 14"</f>
        <v>407-409 S OHIO AVE 31.25X70FT &amp;5.25X30 FT KRUMM ET AL LT 14</v>
      </c>
      <c r="D10837" s="1">
        <v>361.27</v>
      </c>
    </row>
    <row r="10838" spans="1:4" x14ac:dyDescent="0.3">
      <c r="A10838" s="1" t="str">
        <f>"01004776900"</f>
        <v>01004776900</v>
      </c>
      <c r="B10838" s="1" t="str">
        <f>"S&amp;K RENOVATE LLC"</f>
        <v>S&amp;K RENOVATE LLC</v>
      </c>
      <c r="C10838" s="1" t="str">
        <f>"143 N CENTRAL VEE GUILFORD PK LOT 84"</f>
        <v>143 N CENTRAL VEE GUILFORD PK LOT 84</v>
      </c>
      <c r="D10838" s="1">
        <v>2531.7199999999998</v>
      </c>
    </row>
    <row r="10839" spans="1:4" x14ac:dyDescent="0.3">
      <c r="A10839" s="1" t="str">
        <f>"01012902600"</f>
        <v>01012902600</v>
      </c>
      <c r="B10839" s="1" t="str">
        <f>"S&amp;K RENOVATE LLC"</f>
        <v>S&amp;K RENOVATE LLC</v>
      </c>
      <c r="C10839" s="1" t="str">
        <f>"VALCON PLACE MILLBROOK LOT 164"</f>
        <v>VALCON PLACE MILLBROOK LOT 164</v>
      </c>
      <c r="D10839" s="1">
        <v>1213.25</v>
      </c>
    </row>
    <row r="10840" spans="1:4" x14ac:dyDescent="0.3">
      <c r="A10840" s="1" t="str">
        <f>"01007164600"</f>
        <v>01007164600</v>
      </c>
      <c r="B10840" s="1" t="str">
        <f>"S&amp;N RAFERT LLC"</f>
        <v>S&amp;N RAFERT LLC</v>
      </c>
      <c r="C10840" s="1" t="str">
        <f>"ARDEN ROAD DOMINION PARK LOT 408"</f>
        <v>ARDEN ROAD DOMINION PARK LOT 408</v>
      </c>
      <c r="D10840" s="1">
        <v>2771.82</v>
      </c>
    </row>
    <row r="10841" spans="1:4" x14ac:dyDescent="0.3">
      <c r="A10841" s="1" t="str">
        <f>"01010905300"</f>
        <v>01010905300</v>
      </c>
      <c r="B10841" s="1" t="str">
        <f>"S.D.G. HOLDINGS LLC"</f>
        <v>S.D.G. HOLDINGS LLC</v>
      </c>
      <c r="C10841" s="1" t="str">
        <f>"BRENTNELL BLVD ARLINGTON PK TRACT 2 LOT 9 BLK B"</f>
        <v>BRENTNELL BLVD ARLINGTON PK TRACT 2 LOT 9 BLK B</v>
      </c>
      <c r="D10841" s="1">
        <v>2221.67</v>
      </c>
    </row>
    <row r="10842" spans="1:4" x14ac:dyDescent="0.3">
      <c r="A10842" s="1" t="str">
        <f>"01007115900"</f>
        <v>01007115900</v>
      </c>
      <c r="B10842" s="1" t="str">
        <f>"S84 LLC"</f>
        <v>S84 LLC</v>
      </c>
      <c r="C10842" s="1" t="str">
        <f>"1784 MECCA RD NORTH LAWN LOT 8"</f>
        <v>1784 MECCA RD NORTH LAWN LOT 8</v>
      </c>
      <c r="D10842" s="1">
        <v>1949.64</v>
      </c>
    </row>
    <row r="10843" spans="1:4" x14ac:dyDescent="0.3">
      <c r="A10843" s="1" t="str">
        <f>"01031912900"</f>
        <v>01031912900</v>
      </c>
      <c r="B10843" s="1" t="str">
        <f>"SA COLUMBUS APARTMENTS LLC"</f>
        <v>SA COLUMBUS APARTMENTS LLC</v>
      </c>
      <c r="C10843" s="1" t="str">
        <f>"KING AVENUE N WALL STREET 0.005 ACRE"</f>
        <v>KING AVENUE N WALL STREET 0.005 ACRE</v>
      </c>
      <c r="D10843" s="1">
        <v>200.05</v>
      </c>
    </row>
    <row r="10844" spans="1:4" x14ac:dyDescent="0.3">
      <c r="A10844" s="1" t="str">
        <f>"03000190200"</f>
        <v>03000190200</v>
      </c>
      <c r="B10844" s="1" t="str">
        <f>"SAAD PATRICIA A"</f>
        <v>SAAD PATRICIA A</v>
      </c>
      <c r="C10844" s="1" t="str">
        <f>"1273 AVONDALE AVE LOT 106 FAIRDAY"</f>
        <v>1273 AVONDALE AVE LOT 106 FAIRDAY</v>
      </c>
      <c r="D10844" s="1">
        <v>4618.78</v>
      </c>
    </row>
    <row r="10845" spans="1:4" x14ac:dyDescent="0.3">
      <c r="A10845" s="1" t="str">
        <f>"56021635000"</f>
        <v>56021635000</v>
      </c>
      <c r="B10845" s="1" t="str">
        <f>"SAATCIU SILVI"</f>
        <v>SAATCIU SILVI</v>
      </c>
      <c r="C10845" s="1" t="str">
        <f>"HILLIARD HEIGHTS CONDOMINIUM 6TH AMD UNIT 25D"</f>
        <v>HILLIARD HEIGHTS CONDOMINIUM 6TH AMD UNIT 25D</v>
      </c>
      <c r="D10845" s="1">
        <v>72.459999999999994</v>
      </c>
    </row>
    <row r="10846" spans="1:4" x14ac:dyDescent="0.3">
      <c r="A10846" s="1" t="str">
        <f>"01004745100"</f>
        <v>01004745100</v>
      </c>
      <c r="B10846" s="1" t="str">
        <f>"SABABA HOMES OH LLC"</f>
        <v>SABABA HOMES OH LLC</v>
      </c>
      <c r="C10846" s="1" t="str">
        <f>"553-555 DESHLER AVE DOTTERS PARSONS AVE 34.5'WEST MID LTS28-29-30"</f>
        <v>553-555 DESHLER AVE DOTTERS PARSONS AVE 34.5'WEST MID LTS28-29-30</v>
      </c>
      <c r="D10846" s="1">
        <v>404.97</v>
      </c>
    </row>
    <row r="10847" spans="1:4" x14ac:dyDescent="0.3">
      <c r="A10847" s="1" t="str">
        <f>"23000093600"</f>
        <v>23000093600</v>
      </c>
      <c r="B10847" s="1" t="str">
        <f>"SABARNA QAIS"</f>
        <v>SABARNA QAIS</v>
      </c>
      <c r="C10847" s="1" t="str">
        <f>"6299 HARRISBURG- GEORGESVILLE RD ACRES 5.873"</f>
        <v>6299 HARRISBURG- GEORGESVILLE RD ACRES 5.873</v>
      </c>
      <c r="D10847" s="1">
        <v>3933.29</v>
      </c>
    </row>
    <row r="10848" spans="1:4" x14ac:dyDescent="0.3">
      <c r="A10848" s="1" t="str">
        <f>"61016793700"</f>
        <v>61016793700</v>
      </c>
      <c r="B10848" s="1" t="str">
        <f>"SABEL GARY A TTEE"</f>
        <v>SABEL GARY A TTEE</v>
      </c>
      <c r="C10848" s="1" t="str">
        <f>"SMOKEY ROW MANOR FINCASTLE COURT LOT 35"</f>
        <v>SMOKEY ROW MANOR FINCASTLE COURT LOT 35</v>
      </c>
      <c r="D10848" s="1">
        <v>255.15</v>
      </c>
    </row>
    <row r="10849" spans="1:4" x14ac:dyDescent="0.3">
      <c r="A10849" s="1" t="str">
        <f>"01016296900"</f>
        <v>01016296900</v>
      </c>
      <c r="B10849" s="1" t="str">
        <f>"SABIMANA MARIAM"</f>
        <v>SABIMANA MARIAM</v>
      </c>
      <c r="C10849" s="1" t="str">
        <f>"GLENBROOK GREEN CONDOMINIUM BLDG 9 UNIT D"</f>
        <v>GLENBROOK GREEN CONDOMINIUM BLDG 9 UNIT D</v>
      </c>
      <c r="D10849" s="1">
        <v>542.59</v>
      </c>
    </row>
    <row r="10850" spans="1:4" x14ac:dyDescent="0.3">
      <c r="A10850" s="1" t="str">
        <f>"20000336700"</f>
        <v>20000336700</v>
      </c>
      <c r="B10850" s="1" t="str">
        <f>"SABO DAVID V, SABO SANDRA G"</f>
        <v>SABO DAVID V, SABO SANDRA G</v>
      </c>
      <c r="C10850" s="1" t="str">
        <f>"SPINDLER RD RESUB OF PT OF TIMBERBROOK EXT LOT 142"</f>
        <v>SPINDLER RD RESUB OF PT OF TIMBERBROOK EXT LOT 142</v>
      </c>
      <c r="D10850" s="1">
        <v>322.51</v>
      </c>
    </row>
    <row r="10851" spans="1:4" x14ac:dyDescent="0.3">
      <c r="A10851" s="1" t="str">
        <f>"13000196200"</f>
        <v>13000196200</v>
      </c>
      <c r="B10851" s="1" t="str">
        <f>"SABOL DEBRA"</f>
        <v>SABOL DEBRA</v>
      </c>
      <c r="C10851" s="1" t="str">
        <f>"FERRIS ROAD NORTH LINDEN #1 LOT 329"</f>
        <v>FERRIS ROAD NORTH LINDEN #1 LOT 329</v>
      </c>
      <c r="D10851" s="1">
        <v>106.72</v>
      </c>
    </row>
    <row r="10852" spans="1:4" x14ac:dyDescent="0.3">
      <c r="A10852" s="1" t="str">
        <f>"01022344500"</f>
        <v>01022344500</v>
      </c>
      <c r="B10852" s="1" t="str">
        <f>"SABOL GARRY A"</f>
        <v>SABOL GARRY A</v>
      </c>
      <c r="C10852" s="1" t="str">
        <f>"1530 DEMOREST RD ENTRY 1389 1.116 ACRES"</f>
        <v>1530 DEMOREST RD ENTRY 1389 1.116 ACRES</v>
      </c>
      <c r="D10852" s="1">
        <v>200.14</v>
      </c>
    </row>
    <row r="10853" spans="1:4" x14ac:dyDescent="0.3">
      <c r="A10853" s="1" t="str">
        <f>"18100129200"</f>
        <v>18100129200</v>
      </c>
      <c r="B10853" s="1" t="str">
        <f>"SADESKI GEORGE R, SADESKI LINDA"</f>
        <v>SADESKI GEORGE R, SADESKI LINDA</v>
      </c>
      <c r="C10853" s="1" t="str">
        <f>"ELDER RD 0.946 ACRES "</f>
        <v xml:space="preserve">ELDER RD 0.946 ACRES </v>
      </c>
      <c r="D10853" s="1">
        <v>1602.13</v>
      </c>
    </row>
    <row r="10854" spans="1:4" x14ac:dyDescent="0.3">
      <c r="A10854" s="1" t="str">
        <f>"18100129300"</f>
        <v>18100129300</v>
      </c>
      <c r="B10854" s="1" t="str">
        <f>"SADESKI SONYA S TR"</f>
        <v>SADESKI SONYA S TR</v>
      </c>
      <c r="C10854" s="1" t="str">
        <f>"ELDER RD 0.581 ACRES "</f>
        <v xml:space="preserve">ELDER RD 0.581 ACRES </v>
      </c>
      <c r="D10854" s="1">
        <v>2721.92</v>
      </c>
    </row>
    <row r="10855" spans="1:4" x14ac:dyDescent="0.3">
      <c r="A10855" s="1" t="str">
        <f>"01011509400"</f>
        <v>01011509400</v>
      </c>
      <c r="B10855" s="1" t="str">
        <f>"SADI MASSINISSA"</f>
        <v>SADI MASSINISSA</v>
      </c>
      <c r="C10855" s="1" t="str">
        <f>"2820 GROVEPORT PK BAKER HTS LOT 119-20"</f>
        <v>2820 GROVEPORT PK BAKER HTS LOT 119-20</v>
      </c>
      <c r="D10855" s="1">
        <v>207.85</v>
      </c>
    </row>
    <row r="10856" spans="1:4" x14ac:dyDescent="0.3">
      <c r="A10856" s="1" t="str">
        <f>"01007067100"</f>
        <v>01007067100</v>
      </c>
      <c r="B10856" s="1" t="str">
        <f>"SADLER SARA R"</f>
        <v>SADLER SARA R</v>
      </c>
      <c r="C10856" s="1" t="str">
        <f>"257 BRINKER AVE WESTAGTE LOT 238"</f>
        <v>257 BRINKER AVE WESTAGTE LOT 238</v>
      </c>
      <c r="D10856" s="1">
        <v>4176.88</v>
      </c>
    </row>
    <row r="10857" spans="1:4" x14ac:dyDescent="0.3">
      <c r="A10857" s="1" t="str">
        <f>"08000101900"</f>
        <v>08000101900</v>
      </c>
      <c r="B10857" s="1" t="str">
        <f>"SAECHAO SAKAODUAN, SCHREIBER RICHARD"</f>
        <v>SAECHAO SAKAODUAN, SCHREIBER RICHARD</v>
      </c>
      <c r="C10857" s="1" t="str">
        <f>"196N STATE ST 57.5X 197.25FT ON STATE ST OUT LOT OLD 8"</f>
        <v>196N STATE ST 57.5X 197.25FT ON STATE ST OUT LOT OLD 8</v>
      </c>
      <c r="D10857" s="1">
        <v>392.09</v>
      </c>
    </row>
    <row r="10858" spans="1:4" x14ac:dyDescent="0.3">
      <c r="A10858" s="1" t="str">
        <f>"24000494900"</f>
        <v>24000494900</v>
      </c>
      <c r="B10858" s="1" t="str">
        <f>"SAEED SAYED ADNAN"</f>
        <v>SAEED SAYED ADNAN</v>
      </c>
      <c r="C10858" s="1" t="str">
        <f>"SMITH RD SARAH WOERNER .170 ACRE RES B"</f>
        <v>SMITH RD SARAH WOERNER .170 ACRE RES B</v>
      </c>
      <c r="D10858" s="1">
        <v>299.61</v>
      </c>
    </row>
    <row r="10859" spans="1:4" x14ac:dyDescent="0.3">
      <c r="A10859" s="1" t="str">
        <f>"07000336800"</f>
        <v>07000336800</v>
      </c>
      <c r="B10859" s="1" t="str">
        <f>"SAGARIA SABATO D"</f>
        <v>SAGARIA SABATO D</v>
      </c>
      <c r="C10859" s="1" t="str">
        <f>"3077 TREMONT RD NORTH MOUNTVIEW 5 BLK 281"</f>
        <v>3077 TREMONT RD NORTH MOUNTVIEW 5 BLK 281</v>
      </c>
      <c r="D10859" s="1">
        <v>431.88</v>
      </c>
    </row>
    <row r="10860" spans="1:4" x14ac:dyDescent="0.3">
      <c r="A10860" s="1" t="str">
        <f>"01000507600"</f>
        <v>01000507600</v>
      </c>
      <c r="B10860" s="1" t="str">
        <f>"SAGARIA SABATO D II"</f>
        <v>SAGARIA SABATO D II</v>
      </c>
      <c r="C10860" s="1" t="str">
        <f>"1590 GRANDVIEW AVE GYPSYLAND 20'NE LT 97 &amp; 30'SE LT 98"</f>
        <v>1590 GRANDVIEW AVE GYPSYLAND 20'NE LT 97 &amp; 30'SE LT 98</v>
      </c>
      <c r="D10860" s="1">
        <v>333.63</v>
      </c>
    </row>
    <row r="10861" spans="1:4" x14ac:dyDescent="0.3">
      <c r="A10861" s="1" t="str">
        <f>"52027760800"</f>
        <v>52027760800</v>
      </c>
      <c r="B10861" s="1" t="str">
        <f>"SAHAL ABDI B"</f>
        <v>SAHAL ABDI B</v>
      </c>
      <c r="C10861" s="1" t="str">
        <f>"CANICE AVENUEE TOWNE PARK SECTION 1 LOT 192"</f>
        <v>CANICE AVENUEE TOWNE PARK SECTION 1 LOT 192</v>
      </c>
      <c r="D10861" s="1">
        <v>3047.47</v>
      </c>
    </row>
    <row r="10862" spans="1:4" x14ac:dyDescent="0.3">
      <c r="A10862" s="1" t="str">
        <f>"11000230600"</f>
        <v>11000230600</v>
      </c>
      <c r="B10862" s="1" t="str">
        <f>"SAHAL SIDO ABDIKHADIR, SHIDE ABDIKHADAR N"</f>
        <v>SAHAL SIDO ABDIKHADIR, SHIDE ABDIKHADAR N</v>
      </c>
      <c r="C10862" s="1" t="str">
        <f>"2576 ADDA AVE BROOKLYN HTS LOTS 41 &amp; 42"</f>
        <v>2576 ADDA AVE BROOKLYN HTS LOTS 41 &amp; 42</v>
      </c>
      <c r="D10862" s="1">
        <v>5064.49</v>
      </c>
    </row>
    <row r="10863" spans="1:4" x14ac:dyDescent="0.3">
      <c r="A10863" s="1" t="str">
        <f>"01001012200"</f>
        <v>01001012200</v>
      </c>
      <c r="B10863" s="1" t="str">
        <f>"SAHAN PROPERTIES LLC"</f>
        <v>SAHAN PROPERTIES LLC</v>
      </c>
      <c r="C10863" s="1" t="str">
        <f>"962 E MOUND ST KIMBALL &amp; MILLERS 15.33'X93.75'SW PT LOT 14"</f>
        <v>962 E MOUND ST KIMBALL &amp; MILLERS 15.33'X93.75'SW PT LOT 14</v>
      </c>
      <c r="D10863" s="1">
        <v>90.58</v>
      </c>
    </row>
    <row r="10864" spans="1:4" x14ac:dyDescent="0.3">
      <c r="A10864" s="1" t="str">
        <f>"01004665800"</f>
        <v>01004665800</v>
      </c>
      <c r="B10864" s="1" t="str">
        <f>"SAHAN PROPERTIES LLC"</f>
        <v>SAHAN PROPERTIES LLC</v>
      </c>
      <c r="C10864" s="1" t="str">
        <f>"889-91-93-95 E FULTN ST 60FT NE OF EACH JESSING LOT 7-8"</f>
        <v>889-91-93-95 E FULTN ST 60FT NE OF EACH JESSING LOT 7-8</v>
      </c>
      <c r="D10864" s="1">
        <v>267.95</v>
      </c>
    </row>
    <row r="10865" spans="1:4" x14ac:dyDescent="0.3">
      <c r="A10865" s="1" t="str">
        <f>"01001051500"</f>
        <v>01001051500</v>
      </c>
      <c r="B10865" s="1" t="str">
        <f>"SAHAN PROPERTIES LLC"</f>
        <v>SAHAN PROPERTIES LLC</v>
      </c>
      <c r="C10865" s="1" t="str">
        <f>"964 E MOUND ST KIMBALL &amp; MILLERS 26.67'X93.75'SE PT LOT 14"</f>
        <v>964 E MOUND ST KIMBALL &amp; MILLERS 26.67'X93.75'SE PT LOT 14</v>
      </c>
      <c r="D10865" s="1">
        <v>106.12</v>
      </c>
    </row>
    <row r="10866" spans="1:4" x14ac:dyDescent="0.3">
      <c r="A10866" s="1" t="str">
        <f>"01006265000"</f>
        <v>01006265000</v>
      </c>
      <c r="B10866" s="1" t="str">
        <f>"SAHEEB HABIBAT T, SAHEEB KAZEEM O, SAHEEB QUADRI MG"</f>
        <v>SAHEEB HABIBAT T, SAHEEB KAZEEM O, SAHEEB QUADRI MG</v>
      </c>
      <c r="C10866" s="1" t="str">
        <f>"2726 FERN AVE EAST LINDEN LOT 13"</f>
        <v>2726 FERN AVE EAST LINDEN LOT 13</v>
      </c>
      <c r="D10866" s="1">
        <v>2736.95</v>
      </c>
    </row>
    <row r="10867" spans="1:4" x14ac:dyDescent="0.3">
      <c r="A10867" s="1" t="str">
        <f>"01000126300"</f>
        <v>01000126300</v>
      </c>
      <c r="B10867" s="1" t="str">
        <f>"SAHR DAVID A"</f>
        <v>SAHR DAVID A</v>
      </c>
      <c r="C10867" s="1" t="str">
        <f>"254 E COMO LONG VIEW LOT 34"</f>
        <v>254 E COMO LONG VIEW LOT 34</v>
      </c>
      <c r="D10867" s="1">
        <v>213.75</v>
      </c>
    </row>
    <row r="10868" spans="1:4" x14ac:dyDescent="0.3">
      <c r="A10868" s="1" t="str">
        <f>"01025589200"</f>
        <v>01025589200</v>
      </c>
      <c r="B10868" s="1" t="str">
        <f>"SAHR DAVID A"</f>
        <v>SAHR DAVID A</v>
      </c>
      <c r="C10868" s="1" t="str">
        <f>"BEECH HILL AVE LONGVIEW ADD 8'VAC ALLEY"</f>
        <v>BEECH HILL AVE LONGVIEW ADD 8'VAC ALLEY</v>
      </c>
      <c r="D10868" s="1">
        <v>3.15</v>
      </c>
    </row>
    <row r="10869" spans="1:4" x14ac:dyDescent="0.3">
      <c r="A10869" s="1" t="str">
        <f>"01020320800"</f>
        <v>01020320800</v>
      </c>
      <c r="B10869" s="1" t="str">
        <f>"SAI ALBANY PROPERTIES LLC"</f>
        <v>SAI ALBANY PROPERTIES LLC</v>
      </c>
      <c r="C10869" s="1" t="str">
        <f>"5973 SHADOW LAKE CIR SHADOW LAKES CONDO 1ST AMD BLDG 32"</f>
        <v>5973 SHADOW LAKE CIR SHADOW LAKES CONDO 1ST AMD BLDG 32</v>
      </c>
      <c r="D10869" s="1">
        <v>1589.32</v>
      </c>
    </row>
    <row r="10870" spans="1:4" x14ac:dyDescent="0.3">
      <c r="A10870" s="1" t="str">
        <f>"01020459300"</f>
        <v>01020459300</v>
      </c>
      <c r="B10870" s="1" t="str">
        <f>"SAI ALBANY PROPERTIES LLC"</f>
        <v>SAI ALBANY PROPERTIES LLC</v>
      </c>
      <c r="C10870" s="1" t="str">
        <f>"SHADOW LAKES CONDOMINIUM 2 AMD BLDG 25 UNIT 5852"</f>
        <v>SHADOW LAKES CONDOMINIUM 2 AMD BLDG 25 UNIT 5852</v>
      </c>
      <c r="D10870" s="1">
        <v>1589.32</v>
      </c>
    </row>
    <row r="10871" spans="1:4" x14ac:dyDescent="0.3">
      <c r="A10871" s="1" t="str">
        <f>"01020459500"</f>
        <v>01020459500</v>
      </c>
      <c r="B10871" s="1" t="str">
        <f>"SAI ALBANY PROPERTIES LLC"</f>
        <v>SAI ALBANY PROPERTIES LLC</v>
      </c>
      <c r="C10871" s="1" t="str">
        <f>"SHADOW LAKES CONDOMINIUM 2 AMD BLDG 25 UNIT 5856"</f>
        <v>SHADOW LAKES CONDOMINIUM 2 AMD BLDG 25 UNIT 5856</v>
      </c>
      <c r="D10871" s="1">
        <v>1589.32</v>
      </c>
    </row>
    <row r="10872" spans="1:4" x14ac:dyDescent="0.3">
      <c r="A10872" s="1" t="str">
        <f>"01020459600"</f>
        <v>01020459600</v>
      </c>
      <c r="B10872" s="1" t="str">
        <f>"SAI ALBANY PROPERTIES LLC"</f>
        <v>SAI ALBANY PROPERTIES LLC</v>
      </c>
      <c r="C10872" s="1" t="str">
        <f>"SHADOW LAKES CONDOMINIUM 2 AMD BLDG 25 UNIT 5858"</f>
        <v>SHADOW LAKES CONDOMINIUM 2 AMD BLDG 25 UNIT 5858</v>
      </c>
      <c r="D10872" s="1">
        <v>1589.32</v>
      </c>
    </row>
    <row r="10873" spans="1:4" x14ac:dyDescent="0.3">
      <c r="A10873" s="1" t="str">
        <f>"01020459700"</f>
        <v>01020459700</v>
      </c>
      <c r="B10873" s="1" t="str">
        <f>"SAI ALBANY PROPERTIES LLC"</f>
        <v>SAI ALBANY PROPERTIES LLC</v>
      </c>
      <c r="C10873" s="1" t="str">
        <f>"SHADOW LAKES CONDOMINIUM 2 AMD BLDG 25 UNIT 5860"</f>
        <v>SHADOW LAKES CONDOMINIUM 2 AMD BLDG 25 UNIT 5860</v>
      </c>
      <c r="D10873" s="1">
        <v>1599.17</v>
      </c>
    </row>
    <row r="10874" spans="1:4" x14ac:dyDescent="0.3">
      <c r="A10874" s="1" t="str">
        <f>"01020460300"</f>
        <v>01020460300</v>
      </c>
      <c r="B10874" s="1" t="str">
        <f>"SAI ALBANY PROPERTIES LLC"</f>
        <v>SAI ALBANY PROPERTIES LLC</v>
      </c>
      <c r="C10874" s="1" t="str">
        <f>"SHADOW LAKES CONDOMINIUM 2 AMD BLDG 27 UNIT 5897"</f>
        <v>SHADOW LAKES CONDOMINIUM 2 AMD BLDG 27 UNIT 5897</v>
      </c>
      <c r="D10874" s="1">
        <v>1589.32</v>
      </c>
    </row>
    <row r="10875" spans="1:4" x14ac:dyDescent="0.3">
      <c r="A10875" s="1" t="str">
        <f>"01020460800"</f>
        <v>01020460800</v>
      </c>
      <c r="B10875" s="1" t="str">
        <f>"SAI ALBANY PROPERTIES LLC"</f>
        <v>SAI ALBANY PROPERTIES LLC</v>
      </c>
      <c r="C10875" s="1" t="str">
        <f>"SHADOW LAKES CONDOMINIUM 2 AMD BLDG 28 UNIT 5909"</f>
        <v>SHADOW LAKES CONDOMINIUM 2 AMD BLDG 28 UNIT 5909</v>
      </c>
      <c r="D10875" s="1">
        <v>1599.17</v>
      </c>
    </row>
    <row r="10876" spans="1:4" x14ac:dyDescent="0.3">
      <c r="A10876" s="1" t="str">
        <f>"01020460900"</f>
        <v>01020460900</v>
      </c>
      <c r="B10876" s="1" t="str">
        <f>"SAI ALBANY PROPERTIES LLC"</f>
        <v>SAI ALBANY PROPERTIES LLC</v>
      </c>
      <c r="C10876" s="1" t="str">
        <f>"SHADOW LAKES CONDOMINIUM 2 AMD BLDG 28 UNIT 5911"</f>
        <v>SHADOW LAKES CONDOMINIUM 2 AMD BLDG 28 UNIT 5911</v>
      </c>
      <c r="D10876" s="1">
        <v>1589.32</v>
      </c>
    </row>
    <row r="10877" spans="1:4" x14ac:dyDescent="0.3">
      <c r="A10877" s="1" t="str">
        <f>"01020461000"</f>
        <v>01020461000</v>
      </c>
      <c r="B10877" s="1" t="str">
        <f>"SAI ALBANY PROPERTIES LLC"</f>
        <v>SAI ALBANY PROPERTIES LLC</v>
      </c>
      <c r="C10877" s="1" t="str">
        <f>"SHADOW LAKES CONDOMINIUM 2 AMD BLDG 28 UNIT 5913"</f>
        <v>SHADOW LAKES CONDOMINIUM 2 AMD BLDG 28 UNIT 5913</v>
      </c>
      <c r="D10877" s="1">
        <v>1589.32</v>
      </c>
    </row>
    <row r="10878" spans="1:4" x14ac:dyDescent="0.3">
      <c r="A10878" s="1" t="str">
        <f>"01020461100"</f>
        <v>01020461100</v>
      </c>
      <c r="B10878" s="1" t="str">
        <f>"SAI ALBANY PROPERTIES LLC"</f>
        <v>SAI ALBANY PROPERTIES LLC</v>
      </c>
      <c r="C10878" s="1" t="str">
        <f>"SHADOW LAKES CONDOMINIUM 2 AMD BLDG 28 UNIT 5915"</f>
        <v>SHADOW LAKES CONDOMINIUM 2 AMD BLDG 28 UNIT 5915</v>
      </c>
      <c r="D10878" s="1">
        <v>1589.32</v>
      </c>
    </row>
    <row r="10879" spans="1:4" x14ac:dyDescent="0.3">
      <c r="A10879" s="1" t="str">
        <f>"01020461200"</f>
        <v>01020461200</v>
      </c>
      <c r="B10879" s="1" t="str">
        <f>"SAI ALBANY PROPERTIES LLC"</f>
        <v>SAI ALBANY PROPERTIES LLC</v>
      </c>
      <c r="C10879" s="1" t="str">
        <f>"SHADOW LAKES CONDOMINIUM 2 AMD BLDG 28 UNIT 5917"</f>
        <v>SHADOW LAKES CONDOMINIUM 2 AMD BLDG 28 UNIT 5917</v>
      </c>
      <c r="D10879" s="1">
        <v>1589.32</v>
      </c>
    </row>
    <row r="10880" spans="1:4" x14ac:dyDescent="0.3">
      <c r="A10880" s="1" t="str">
        <f>"01020461400"</f>
        <v>01020461400</v>
      </c>
      <c r="B10880" s="1" t="str">
        <f>"SAI ALBANY PROPERTIES LLC"</f>
        <v>SAI ALBANY PROPERTIES LLC</v>
      </c>
      <c r="C10880" s="1" t="str">
        <f>"SHADOW LAKES CONDOMINIUM 2 AMD BLDG 29 UNIT 5925"</f>
        <v>SHADOW LAKES CONDOMINIUM 2 AMD BLDG 29 UNIT 5925</v>
      </c>
      <c r="D10880" s="1">
        <v>1599.17</v>
      </c>
    </row>
    <row r="10881" spans="1:4" x14ac:dyDescent="0.3">
      <c r="A10881" s="1" t="str">
        <f>"01020461600"</f>
        <v>01020461600</v>
      </c>
      <c r="B10881" s="1" t="str">
        <f>"SAI ALBANY PROPERTIES LLC"</f>
        <v>SAI ALBANY PROPERTIES LLC</v>
      </c>
      <c r="C10881" s="1" t="str">
        <f>"SHADOW LAKES CONDOMINIUM 2 AMD BLDG 29 UNIT 5929"</f>
        <v>SHADOW LAKES CONDOMINIUM 2 AMD BLDG 29 UNIT 5929</v>
      </c>
      <c r="D10881" s="1">
        <v>1589.32</v>
      </c>
    </row>
    <row r="10882" spans="1:4" x14ac:dyDescent="0.3">
      <c r="A10882" s="1" t="str">
        <f>"01020461700"</f>
        <v>01020461700</v>
      </c>
      <c r="B10882" s="1" t="str">
        <f>"SAI ALBANY PROPERTIES LLC"</f>
        <v>SAI ALBANY PROPERTIES LLC</v>
      </c>
      <c r="C10882" s="1" t="str">
        <f>"SHADOW LAKES CONDOMINIUM 2 AMD BLDG 29 UNIT 5931"</f>
        <v>SHADOW LAKES CONDOMINIUM 2 AMD BLDG 29 UNIT 5931</v>
      </c>
      <c r="D10882" s="1">
        <v>1615.11</v>
      </c>
    </row>
    <row r="10883" spans="1:4" x14ac:dyDescent="0.3">
      <c r="A10883" s="1" t="str">
        <f>"27301143100"</f>
        <v>27301143100</v>
      </c>
      <c r="B10883" s="1" t="str">
        <f>"SAI PORTLAND PROPERTIES LLC"</f>
        <v>SAI PORTLAND PROPERTIES LLC</v>
      </c>
      <c r="C10883" s="1" t="str">
        <f>"CAMDEN PROFESSIONAL       CENTER CONDOMINIUM        UNIT 6275                "</f>
        <v xml:space="preserve">CAMDEN PROFESSIONAL       CENTER CONDOMINIUM        UNIT 6275                </v>
      </c>
      <c r="D10883" s="1">
        <v>15286.11</v>
      </c>
    </row>
    <row r="10884" spans="1:4" x14ac:dyDescent="0.3">
      <c r="A10884" s="1" t="str">
        <f>"01000862400"</f>
        <v>01000862400</v>
      </c>
      <c r="B10884" s="1" t="str">
        <f>"SAICO GARCIA ANGEL"</f>
        <v>SAICO GARCIA ANGEL</v>
      </c>
      <c r="C10884" s="1" t="str">
        <f>"WEST PARK AVE MONETTS CENTRAL AVE LOT 183"</f>
        <v>WEST PARK AVE MONETTS CENTRAL AVE LOT 183</v>
      </c>
      <c r="D10884" s="1">
        <v>1106.79</v>
      </c>
    </row>
    <row r="10885" spans="1:4" x14ac:dyDescent="0.3">
      <c r="A10885" s="1" t="str">
        <f>"01012471000"</f>
        <v>01012471000</v>
      </c>
      <c r="B10885" s="1" t="str">
        <f>"SAICO RUTH, MORQUECHO SAICO TANYA L"</f>
        <v>SAICO RUTH, MORQUECHO SAICO TANYA L</v>
      </c>
      <c r="C10885" s="1" t="str">
        <f>"ST CECILIA DR BROOKSHIRE PARK 3 LOT 20"</f>
        <v>ST CECILIA DR BROOKSHIRE PARK 3 LOT 20</v>
      </c>
      <c r="D10885" s="1">
        <v>1354.63</v>
      </c>
    </row>
    <row r="10886" spans="1:4" x14ac:dyDescent="0.3">
      <c r="A10886" s="1" t="str">
        <f>"01013681700"</f>
        <v>01013681700</v>
      </c>
      <c r="B10886" s="1" t="str">
        <f>"SAID FAMILY LLC"</f>
        <v>SAID FAMILY LLC</v>
      </c>
      <c r="C10886" s="1" t="str">
        <f>"1085 RIDGE ST DES 92 FT WL100FT&amp;EL7FT FRT NE GRANDVIEW 2 L33"</f>
        <v>1085 RIDGE ST DES 92 FT WL100FT&amp;EL7FT FRT NE GRANDVIEW 2 L33</v>
      </c>
      <c r="D10886" s="1">
        <v>5708.81</v>
      </c>
    </row>
    <row r="10887" spans="1:4" x14ac:dyDescent="0.3">
      <c r="A10887" s="1" t="str">
        <f>"01007537500"</f>
        <v>01007537500</v>
      </c>
      <c r="B10887" s="1" t="str">
        <f>"SAID NEDAL F, SAID STACY R"</f>
        <v>SAID NEDAL F, SAID STACY R</v>
      </c>
      <c r="C10887" s="1" t="str">
        <f>"MEDINA AVE LINDEN GARDENS LOT 13"</f>
        <v>MEDINA AVE LINDEN GARDENS LOT 13</v>
      </c>
      <c r="D10887" s="1">
        <v>1579.79</v>
      </c>
    </row>
    <row r="10888" spans="1:4" x14ac:dyDescent="0.3">
      <c r="A10888" s="1" t="str">
        <f>"61022813100"</f>
        <v>61022813100</v>
      </c>
      <c r="B10888" s="1" t="str">
        <f>"SAID NEDAL F, SAID STACY R"</f>
        <v>SAID NEDAL F, SAID STACY R</v>
      </c>
      <c r="C10888" s="1" t="str">
        <f>"WORTHINGTON PARK PLACE SECTION 3 LOT 103"</f>
        <v>WORTHINGTON PARK PLACE SECTION 3 LOT 103</v>
      </c>
      <c r="D10888" s="1">
        <v>4748.6899999999996</v>
      </c>
    </row>
    <row r="10889" spans="1:4" x14ac:dyDescent="0.3">
      <c r="A10889" s="1" t="str">
        <f>"01019106000"</f>
        <v>01019106000</v>
      </c>
      <c r="B10889" s="1" t="str">
        <f>"SAID SAMATAR M"</f>
        <v>SAID SAMATAR M</v>
      </c>
      <c r="C10889" s="1" t="str">
        <f>"LAURELWOOD DR LAURELWOOD CONDO 2ND AMD UNIT 2257"</f>
        <v>LAURELWOOD DR LAURELWOOD CONDO 2ND AMD UNIT 2257</v>
      </c>
      <c r="D10889" s="1">
        <v>1801.69</v>
      </c>
    </row>
    <row r="10890" spans="1:4" x14ac:dyDescent="0.3">
      <c r="A10890" s="1" t="str">
        <f>"01016655000"</f>
        <v>01016655000</v>
      </c>
      <c r="B10890" s="1" t="str">
        <f>"SAITO ELIZABETH"</f>
        <v>SAITO ELIZABETH</v>
      </c>
      <c r="C10890" s="1" t="str">
        <f>"2101 WILLOWICK DR WILLOWICK CON PH II BLDG 12 UNIT B"</f>
        <v>2101 WILLOWICK DR WILLOWICK CON PH II BLDG 12 UNIT B</v>
      </c>
      <c r="D10890" s="1">
        <v>3736.47</v>
      </c>
    </row>
    <row r="10891" spans="1:4" x14ac:dyDescent="0.3">
      <c r="A10891" s="1" t="str">
        <f>"07000701000"</f>
        <v>07000701000</v>
      </c>
      <c r="B10891" s="1" t="str">
        <f>"SAKER THEODORE R JR TTEE"</f>
        <v>SAKER THEODORE R JR TTEE</v>
      </c>
      <c r="C10891" s="1" t="str">
        <f>"LEIGHTON RD NO MOUNTVIEW EXT 1 17 BLK 284"</f>
        <v>LEIGHTON RD NO MOUNTVIEW EXT 1 17 BLK 284</v>
      </c>
      <c r="D10891" s="1">
        <v>8134.52</v>
      </c>
    </row>
    <row r="10892" spans="1:4" x14ac:dyDescent="0.3">
      <c r="A10892" s="1" t="str">
        <f>"01015335200"</f>
        <v>01015335200</v>
      </c>
      <c r="B10892" s="1" t="str">
        <f>"SALAD ZAKARIA, ABDI AYAN HUSSEIN"</f>
        <v>SALAD ZAKARIA, ABDI AYAN HUSSEIN</v>
      </c>
      <c r="C10892" s="1" t="str">
        <f>"DRESDEN ST DRESDEN PARK AMD LOT 63"</f>
        <v>DRESDEN ST DRESDEN PARK AMD LOT 63</v>
      </c>
      <c r="D10892" s="1">
        <v>92.35</v>
      </c>
    </row>
    <row r="10893" spans="1:4" x14ac:dyDescent="0.3">
      <c r="A10893" s="1" t="str">
        <f>"60026392200"</f>
        <v>60026392200</v>
      </c>
      <c r="B10893" s="1" t="str">
        <f>"SALAH ABDULAZIIZ"</f>
        <v>SALAH ABDULAZIIZ</v>
      </c>
      <c r="C10893" s="1" t="str">
        <f>"KENSINGTON WOODS CONDOMINIUM 3RD AMD BLDG 5 UNIT 5364"</f>
        <v>KENSINGTON WOODS CONDOMINIUM 3RD AMD BLDG 5 UNIT 5364</v>
      </c>
      <c r="D10893" s="1">
        <v>6507.13</v>
      </c>
    </row>
    <row r="10894" spans="1:4" x14ac:dyDescent="0.3">
      <c r="A10894" s="1" t="str">
        <f>"01014905600"</f>
        <v>01014905600</v>
      </c>
      <c r="B10894" s="1" t="str">
        <f>"SALAZAR ADRIANA G"</f>
        <v>SALAZAR ADRIANA G</v>
      </c>
      <c r="C10894" s="1" t="str">
        <f>"BROOKFIELD RD GRANVILLE MANOR SEC 2 LOT 182"</f>
        <v>BROOKFIELD RD GRANVILLE MANOR SEC 2 LOT 182</v>
      </c>
      <c r="D10894" s="1">
        <v>1440.1</v>
      </c>
    </row>
    <row r="10895" spans="1:4" x14ac:dyDescent="0.3">
      <c r="A10895" s="1" t="str">
        <f>"01004005900"</f>
        <v>01004005900</v>
      </c>
      <c r="B10895" s="1" t="str">
        <f>"SALDANA YADAICELA BLANCA ASUCENA"</f>
        <v>SALDANA YADAICELA BLANCA ASUCENA</v>
      </c>
      <c r="C10895" s="1" t="str">
        <f>"HAGUE AVE CAMP CHASE HTS 486 "</f>
        <v xml:space="preserve">HAGUE AVE CAMP CHASE HTS 486 </v>
      </c>
      <c r="D10895" s="1">
        <v>229.97</v>
      </c>
    </row>
    <row r="10896" spans="1:4" x14ac:dyDescent="0.3">
      <c r="A10896" s="1" t="str">
        <f>"01004009000"</f>
        <v>01004009000</v>
      </c>
      <c r="B10896" s="1" t="str">
        <f>"SALDANA YADAICELA BLANCA ASUCENA"</f>
        <v>SALDANA YADAICELA BLANCA ASUCENA</v>
      </c>
      <c r="C10896" s="1" t="str">
        <f>"397 S HAGUE AVE CAMP CHASE HTS LOT 488"</f>
        <v>397 S HAGUE AVE CAMP CHASE HTS LOT 488</v>
      </c>
      <c r="D10896" s="1">
        <v>159.82</v>
      </c>
    </row>
    <row r="10897" spans="1:4" x14ac:dyDescent="0.3">
      <c r="A10897" s="1" t="str">
        <f>"14000103800"</f>
        <v>14000103800</v>
      </c>
      <c r="B10897" s="1" t="str">
        <f>"SALEH NASER S, SALEH HANADI, KITTANEH AZZAM, KITTANEH BASMA"</f>
        <v>SALEH NASER S, SALEH HANADI, KITTANEH AZZAM, KITTANEH BASMA</v>
      </c>
      <c r="C10897" s="1" t="str">
        <f>"HARRISBURG PIKE CITY FARM LOTS 2-4"</f>
        <v>HARRISBURG PIKE CITY FARM LOTS 2-4</v>
      </c>
      <c r="D10897" s="1">
        <v>773.41</v>
      </c>
    </row>
    <row r="10898" spans="1:4" x14ac:dyDescent="0.3">
      <c r="A10898" s="1" t="str">
        <f>"14000387200"</f>
        <v>14000387200</v>
      </c>
      <c r="B10898" s="1" t="str">
        <f>"SALEH NASER S, SALEH HANADI, KITTANEH AZZAM, KITTANEH BASMA"</f>
        <v>SALEH NASER S, SALEH HANADI, KITTANEH AZZAM, KITTANEH BASMA</v>
      </c>
      <c r="C10898" s="1" t="str">
        <f>"906 HARRISBURG PKE ENTRY 422 1.395 ACRES"</f>
        <v>906 HARRISBURG PKE ENTRY 422 1.395 ACRES</v>
      </c>
      <c r="D10898" s="1">
        <v>1914.88</v>
      </c>
    </row>
    <row r="10899" spans="1:4" x14ac:dyDescent="0.3">
      <c r="A10899" s="1" t="str">
        <f>"59022489700"</f>
        <v>59022489700</v>
      </c>
      <c r="B10899" s="1" t="str">
        <f>"SALEM NEFUZ"</f>
        <v>SALEM NEFUZ</v>
      </c>
      <c r="C10899" s="1" t="str">
        <f>"BETHEL VILLAGE CONDOMINIUM 10TH AMD UNIT 83C"</f>
        <v>BETHEL VILLAGE CONDOMINIUM 10TH AMD UNIT 83C</v>
      </c>
      <c r="D10899" s="1">
        <v>2124.84</v>
      </c>
    </row>
    <row r="10900" spans="1:4" x14ac:dyDescent="0.3">
      <c r="A10900" s="1" t="str">
        <f>"01000477900"</f>
        <v>01000477900</v>
      </c>
      <c r="B10900" s="1" t="str">
        <f>"SALIAJ LEONARD"</f>
        <v>SALIAJ LEONARD</v>
      </c>
      <c r="C10900" s="1" t="str">
        <f>"1078 LEXINGTON AVE WINGETS 5TH AVE LOT 32"</f>
        <v>1078 LEXINGTON AVE WINGETS 5TH AVE LOT 32</v>
      </c>
      <c r="D10900" s="1">
        <v>108.13</v>
      </c>
    </row>
    <row r="10901" spans="1:4" x14ac:dyDescent="0.3">
      <c r="A10901" s="1" t="str">
        <f>"09000101000"</f>
        <v>09000101000</v>
      </c>
      <c r="B10901" s="1" t="str">
        <f>"SALIAJ LEONARD, KENNER AMRTA"</f>
        <v>SALIAJ LEONARD, KENNER AMRTA</v>
      </c>
      <c r="C10901" s="1" t="str">
        <f>"FAIRWAY BLVD FAIRWAY 2 NE LOT 104"</f>
        <v>FAIRWAY BLVD FAIRWAY 2 NE LOT 104</v>
      </c>
      <c r="D10901" s="1">
        <v>14389.6</v>
      </c>
    </row>
    <row r="10902" spans="1:4" x14ac:dyDescent="0.3">
      <c r="A10902" s="1" t="str">
        <f>"24000657100"</f>
        <v>24000657100</v>
      </c>
      <c r="B10902" s="1" t="str">
        <f>"SALLY BEAUTY CO INC"</f>
        <v>SALLY BEAUTY CO INC</v>
      </c>
      <c r="C10902" s="1" t="str">
        <f>"4313 JANITROL ROAD ENTRY 1482-1425 0.215 ACRE"</f>
        <v>4313 JANITROL ROAD ENTRY 1482-1425 0.215 ACRE</v>
      </c>
      <c r="D10902" s="1">
        <v>102.22</v>
      </c>
    </row>
    <row r="10903" spans="1:4" x14ac:dyDescent="0.3">
      <c r="A10903" s="1" t="str">
        <f>"59016914900"</f>
        <v>59016914900</v>
      </c>
      <c r="B10903" s="1" t="str">
        <f>"SALMON RAYMOND L, SALMON DONALD LEE, SALMON JULIE R"</f>
        <v>SALMON RAYMOND L, SALMON DONALD LEE, SALMON JULIE R</v>
      </c>
      <c r="C10903" s="1" t="str">
        <f>"CROWN CREST LN GRDNS NO2 CROWN RIDGE INCL A RESUB/COUNTRY LT67"</f>
        <v>CROWN CREST LN GRDNS NO2 CROWN RIDGE INCL A RESUB/COUNTRY LT67</v>
      </c>
      <c r="D10903" s="1">
        <v>1588.28</v>
      </c>
    </row>
    <row r="10904" spans="1:4" x14ac:dyDescent="0.3">
      <c r="A10904" s="1" t="str">
        <f>"60021931100"</f>
        <v>60021931100</v>
      </c>
      <c r="B10904" s="1" t="str">
        <f>"SALSBUREY BARBARA L"</f>
        <v>SALSBUREY BARBARA L</v>
      </c>
      <c r="C10904" s="1" t="str">
        <f>"RICHLAND DRIVE WOODSTREAM SECTION 3 PART 2 LOT 124"</f>
        <v>RICHLAND DRIVE WOODSTREAM SECTION 3 PART 2 LOT 124</v>
      </c>
      <c r="D10904" s="1">
        <v>486.11</v>
      </c>
    </row>
    <row r="10905" spans="1:4" x14ac:dyDescent="0.3">
      <c r="A10905" s="1" t="str">
        <f>"08000875500"</f>
        <v>08000875500</v>
      </c>
      <c r="B10905" s="1" t="str">
        <f>"SALSER JOHN"</f>
        <v>SALSER JOHN</v>
      </c>
      <c r="C10905" s="1" t="str">
        <f>"EXECUTIVE CT RESUB PT OLDE TOWN LOT 6"</f>
        <v>EXECUTIVE CT RESUB PT OLDE TOWN LOT 6</v>
      </c>
      <c r="D10905" s="1">
        <v>3432.65</v>
      </c>
    </row>
    <row r="10906" spans="1:4" x14ac:dyDescent="0.3">
      <c r="A10906" s="1" t="str">
        <f>"18400083600"</f>
        <v>18400083600</v>
      </c>
      <c r="B10906" s="1" t="str">
        <f>"SALTZGABER RENEE, SALTZGABER EARL"</f>
        <v>SALTZGABER RENEE, SALTZGABER EARL</v>
      </c>
      <c r="C10906" s="1" t="str">
        <f>"GENDER RD R21T11S25-36 4.460 ACRES"</f>
        <v>GENDER RD R21T11S25-36 4.460 ACRES</v>
      </c>
      <c r="D10906" s="1">
        <v>1185.77</v>
      </c>
    </row>
    <row r="10907" spans="1:4" x14ac:dyDescent="0.3">
      <c r="A10907" s="1" t="str">
        <f>"18400088100"</f>
        <v>18400088100</v>
      </c>
      <c r="B10907" s="1" t="str">
        <f>"SALTZGABER RENEE, SALTZGABER EARL"</f>
        <v>SALTZGABER RENEE, SALTZGABER EARL</v>
      </c>
      <c r="C10907" s="1" t="str">
        <f>"GENDER RD ACRES1.22 R21 T11 SEC25-36 "</f>
        <v xml:space="preserve">GENDER RD ACRES1.22 R21 T11 SEC25-36 </v>
      </c>
      <c r="D10907" s="1">
        <v>2553.0100000000002</v>
      </c>
    </row>
    <row r="10908" spans="1:4" x14ac:dyDescent="0.3">
      <c r="A10908" s="1" t="str">
        <f>"61021562300"</f>
        <v>61021562300</v>
      </c>
      <c r="B10908" s="1" t="str">
        <f>"SALVATION ARMY"</f>
        <v>SALVATION ARMY</v>
      </c>
      <c r="C10908" s="1" t="str">
        <f>"ANDERSON PARK LANE KOSMO PARK LOT 4"</f>
        <v>ANDERSON PARK LANE KOSMO PARK LOT 4</v>
      </c>
      <c r="D10908" s="1">
        <v>363.94</v>
      </c>
    </row>
    <row r="10909" spans="1:4" x14ac:dyDescent="0.3">
      <c r="A10909" s="1" t="str">
        <f>"01009450500"</f>
        <v>01009450500</v>
      </c>
      <c r="B10909" s="1" t="str">
        <f>"SALVATION ARMY"</f>
        <v>SALVATION ARMY</v>
      </c>
      <c r="C10909" s="1" t="str">
        <f>"WHEATLAND AVE TONTI AMD LOT 35"</f>
        <v>WHEATLAND AVE TONTI AMD LOT 35</v>
      </c>
      <c r="D10909" s="1">
        <v>14.02</v>
      </c>
    </row>
    <row r="10910" spans="1:4" x14ac:dyDescent="0.3">
      <c r="A10910" s="1" t="str">
        <f>"61021759800"</f>
        <v>61021759800</v>
      </c>
      <c r="B10910" s="1" t="str">
        <f>"SALVATION ARMY"</f>
        <v>SALVATION ARMY</v>
      </c>
      <c r="C10910" s="1" t="str">
        <f>"WORTHINGTON HIGHLANDS SECTION 4 LOT 212"</f>
        <v>WORTHINGTON HIGHLANDS SECTION 4 LOT 212</v>
      </c>
      <c r="D10910" s="1">
        <v>5040.88</v>
      </c>
    </row>
    <row r="10911" spans="1:4" x14ac:dyDescent="0.3">
      <c r="A10911" s="1" t="str">
        <f>"01008896600"</f>
        <v>01008896600</v>
      </c>
      <c r="B10911" s="1" t="str">
        <f>"SALVATO CHRIS"</f>
        <v>SALVATO CHRIS</v>
      </c>
      <c r="C10911" s="1" t="str">
        <f>"MAIN ST MAIN ST TERRACE LOT 13"</f>
        <v>MAIN ST MAIN ST TERRACE LOT 13</v>
      </c>
      <c r="D10911" s="1">
        <v>263.47000000000003</v>
      </c>
    </row>
    <row r="10912" spans="1:4" x14ac:dyDescent="0.3">
      <c r="A10912" s="1" t="str">
        <f>"01008896700"</f>
        <v>01008896700</v>
      </c>
      <c r="B10912" s="1" t="str">
        <f>"SALVATO CHRIS"</f>
        <v>SALVATO CHRIS</v>
      </c>
      <c r="C10912" s="1" t="str">
        <f>"MAIN ST MAIN ST TERRACE LOT 14"</f>
        <v>MAIN ST MAIN ST TERRACE LOT 14</v>
      </c>
      <c r="D10912" s="1">
        <v>61.62</v>
      </c>
    </row>
    <row r="10913" spans="1:4" x14ac:dyDescent="0.3">
      <c r="A10913" s="1" t="str">
        <f>"18000469900"</f>
        <v>18000469900</v>
      </c>
      <c r="B10913" s="1" t="str">
        <f>"SALVITO MARY L, SALVITO THOMAS C"</f>
        <v>SALVITO MARY L, SALVITO THOMAS C</v>
      </c>
      <c r="C10913" s="1" t="str">
        <f>"HATFIELD DR RESUB PT OF QUALSTAN EAST 657 "</f>
        <v xml:space="preserve">HATFIELD DR RESUB PT OF QUALSTAN EAST 657 </v>
      </c>
      <c r="D10913" s="1">
        <v>3275.4</v>
      </c>
    </row>
    <row r="10914" spans="1:4" x14ac:dyDescent="0.3">
      <c r="A10914" s="1" t="str">
        <f>"01011075700"</f>
        <v>01011075700</v>
      </c>
      <c r="B10914" s="1" t="str">
        <f>"SAM &amp; DINO PROPERTIES LTD"</f>
        <v>SAM &amp; DINO PROPERTIES LTD</v>
      </c>
      <c r="C10914" s="1" t="str">
        <f>"SUNNYSIDE LANE W 1/2 7 EX 70FT SE DECKER-JOHNSON LOT 7"</f>
        <v>SUNNYSIDE LANE W 1/2 7 EX 70FT SE DECKER-JOHNSON LOT 7</v>
      </c>
      <c r="D10914" s="1">
        <v>256.88</v>
      </c>
    </row>
    <row r="10915" spans="1:4" x14ac:dyDescent="0.3">
      <c r="A10915" s="1" t="str">
        <f>"25200012500"</f>
        <v>25200012500</v>
      </c>
      <c r="B10915" s="1" t="str">
        <f>"SAMADI JAVAD D"</f>
        <v>SAMADI JAVAD D</v>
      </c>
      <c r="C10915" s="1" t="str">
        <f>"HOME ACRE DR N HOME ACRE PARK LOT 99"</f>
        <v>HOME ACRE DR N HOME ACRE PARK LOT 99</v>
      </c>
      <c r="D10915" s="1">
        <v>599.13</v>
      </c>
    </row>
    <row r="10916" spans="1:4" x14ac:dyDescent="0.3">
      <c r="A10916" s="1" t="str">
        <f>"01011461200"</f>
        <v>01011461200</v>
      </c>
      <c r="B10916" s="1" t="str">
        <f>"SAMBOIS SAMANTHA"</f>
        <v>SAMBOIS SAMANTHA</v>
      </c>
      <c r="C10916" s="1" t="str">
        <f>"ELWOOD AVE SOUTHGATE LOT 110"</f>
        <v>ELWOOD AVE SOUTHGATE LOT 110</v>
      </c>
      <c r="D10916" s="1">
        <v>1032</v>
      </c>
    </row>
    <row r="10917" spans="1:4" x14ac:dyDescent="0.3">
      <c r="A10917" s="1" t="str">
        <f>"01011461100"</f>
        <v>01011461100</v>
      </c>
      <c r="B10917" s="1" t="str">
        <f>"SAMBOIS SAMANTHA"</f>
        <v>SAMBOIS SAMANTHA</v>
      </c>
      <c r="C10917" s="1" t="str">
        <f>"ELWOOD AVE SOUTHGATE LOT 109"</f>
        <v>ELWOOD AVE SOUTHGATE LOT 109</v>
      </c>
      <c r="D10917" s="1">
        <v>618.95000000000005</v>
      </c>
    </row>
    <row r="10918" spans="1:4" x14ac:dyDescent="0.3">
      <c r="A10918" s="1" t="str">
        <f>"01002060000"</f>
        <v>01002060000</v>
      </c>
      <c r="B10918" s="1" t="str">
        <f>"SAMMARCO MARIA T"</f>
        <v>SAMMARCO MARIA T</v>
      </c>
      <c r="C10918" s="1" t="str">
        <f>"38 KELSO RD ALL904&amp;E1/2 905 CRESTVIEW"</f>
        <v>38 KELSO RD ALL904&amp;E1/2 905 CRESTVIEW</v>
      </c>
      <c r="D10918" s="1">
        <v>3232.67</v>
      </c>
    </row>
    <row r="10919" spans="1:4" x14ac:dyDescent="0.3">
      <c r="A10919" s="1" t="str">
        <f>"60017524100"</f>
        <v>60017524100</v>
      </c>
      <c r="B10919" s="1" t="str">
        <f>"SAMPLES JUDITH ANNE TTEE, BYRD WENDY LYNN TTEE"</f>
        <v>SAMPLES JUDITH ANNE TTEE, BYRD WENDY LYNN TTEE</v>
      </c>
      <c r="C10919" s="1" t="str">
        <f>"COOPER RD COOPER PLAINS LOT 1 EX NW PT"</f>
        <v>COOPER RD COOPER PLAINS LOT 1 EX NW PT</v>
      </c>
      <c r="D10919" s="1">
        <v>166.76</v>
      </c>
    </row>
    <row r="10920" spans="1:4" x14ac:dyDescent="0.3">
      <c r="A10920" s="1" t="str">
        <f>"01023326800"</f>
        <v>01023326800</v>
      </c>
      <c r="B10920" s="1" t="str">
        <f>"SAMPLES LAURA A"</f>
        <v>SAMPLES LAURA A</v>
      </c>
      <c r="C10920" s="1" t="str">
        <f>"MCNEILL FARMS EAST CONDOMINIUM 13TH AMD UNIT 83E"</f>
        <v>MCNEILL FARMS EAST CONDOMINIUM 13TH AMD UNIT 83E</v>
      </c>
      <c r="D10920" s="1">
        <v>2445.5500000000002</v>
      </c>
    </row>
    <row r="10921" spans="1:4" x14ac:dyDescent="0.3">
      <c r="A10921" s="1" t="str">
        <f>"01010883100"</f>
        <v>01010883100</v>
      </c>
      <c r="B10921" s="1" t="str">
        <f>"SAMS MARCIA Y"</f>
        <v>SAMS MARCIA Y</v>
      </c>
      <c r="C10921" s="1" t="str">
        <f>"CENTURY DR ARLINGTON PK TRACT 1 LOT 26"</f>
        <v>CENTURY DR ARLINGTON PK TRACT 1 LOT 26</v>
      </c>
      <c r="D10921" s="1">
        <v>1925.43</v>
      </c>
    </row>
    <row r="10922" spans="1:4" x14ac:dyDescent="0.3">
      <c r="A10922" s="1" t="str">
        <f>"01027096300"</f>
        <v>01027096300</v>
      </c>
      <c r="B10922" s="1" t="str">
        <f>"SAMUELS SHELLEY S"</f>
        <v>SAMUELS SHELLEY S</v>
      </c>
      <c r="C10922" s="1" t="str">
        <f>"HOMESTEAD AT THE PRESERVE CONDOMINIUM 14TH AMD UNIT 3797-103"</f>
        <v>HOMESTEAD AT THE PRESERVE CONDOMINIUM 14TH AMD UNIT 3797-103</v>
      </c>
      <c r="D10922" s="1">
        <v>2657.61</v>
      </c>
    </row>
    <row r="10923" spans="1:4" x14ac:dyDescent="0.3">
      <c r="A10923" s="1" t="str">
        <f>"01009069700"</f>
        <v>01009069700</v>
      </c>
      <c r="B10923" s="1" t="str">
        <f>"SAMUELS STEPHEN P"</f>
        <v>SAMUELS STEPHEN P</v>
      </c>
      <c r="C10923" s="1" t="str">
        <f>"EASTMOOR BLVD 20 FT S S EASTMOOR AMD LOT 118"</f>
        <v>EASTMOOR BLVD 20 FT S S EASTMOOR AMD LOT 118</v>
      </c>
      <c r="D10923" s="1">
        <v>35.049999999999997</v>
      </c>
    </row>
    <row r="10924" spans="1:4" x14ac:dyDescent="0.3">
      <c r="A10924" s="1" t="str">
        <f>"01009069800"</f>
        <v>01009069800</v>
      </c>
      <c r="B10924" s="1" t="str">
        <f>"SAMUELS STEPHEN P"</f>
        <v>SAMUELS STEPHEN P</v>
      </c>
      <c r="C10924" s="1" t="str">
        <f>"EASTMOOR BLVD EASTMOOR AMD LOT 119"</f>
        <v>EASTMOOR BLVD EASTMOOR AMD LOT 119</v>
      </c>
      <c r="D10924" s="1">
        <v>5135.3900000000003</v>
      </c>
    </row>
    <row r="10925" spans="1:4" x14ac:dyDescent="0.3">
      <c r="A10925" s="1" t="str">
        <f>"01000600300"</f>
        <v>01000600300</v>
      </c>
      <c r="B10925" s="1" t="str">
        <f>"SAN JUAN ALEJANDRO CAPULA"</f>
        <v>SAN JUAN ALEJANDRO CAPULA</v>
      </c>
      <c r="C10925" s="1" t="str">
        <f>"2184 RANKIN AV REAR R 17 T 1 1/4T 3 "</f>
        <v xml:space="preserve">2184 RANKIN AV REAR R 17 T 1 1/4T 3 </v>
      </c>
      <c r="D10925" s="1">
        <v>184.25</v>
      </c>
    </row>
    <row r="10926" spans="1:4" x14ac:dyDescent="0.3">
      <c r="A10926" s="1" t="str">
        <f>"57014022300"</f>
        <v>57014022300</v>
      </c>
      <c r="B10926" s="1" t="str">
        <f>"SANBORN JENNIFER PATRICIA"</f>
        <v>SANBORN JENNIFER PATRICIA</v>
      </c>
      <c r="C10926" s="1" t="str">
        <f>"964 HOLLY HILL DR HOLLY HILL 10 LOT 805"</f>
        <v>964 HOLLY HILL DR HOLLY HILL 10 LOT 805</v>
      </c>
      <c r="D10926" s="1">
        <v>2857.7</v>
      </c>
    </row>
    <row r="10927" spans="1:4" x14ac:dyDescent="0.3">
      <c r="A10927" s="1" t="str">
        <f>"16000058000"</f>
        <v>16000058000</v>
      </c>
      <c r="B10927" s="1" t="str">
        <f>"SANCHES RIOS JOSE CARLOS, SANCHES RIOS SAMUEL"</f>
        <v>SANCHES RIOS JOSE CARLOS, SANCHES RIOS SAMUEL</v>
      </c>
      <c r="C10927" s="1" t="str">
        <f>"2470 CHARLEMAGNE ST EMERSONIA LOTS 90 &amp; 91"</f>
        <v>2470 CHARLEMAGNE ST EMERSONIA LOTS 90 &amp; 91</v>
      </c>
      <c r="D10927" s="1">
        <v>1487.08</v>
      </c>
    </row>
    <row r="10928" spans="1:4" x14ac:dyDescent="0.3">
      <c r="A10928" s="1" t="str">
        <f>"01031969100"</f>
        <v>01031969100</v>
      </c>
      <c r="B10928" s="1" t="str">
        <f>"SANCHEZ CAMPO BRUNO JOAQUIN, CAMPO ROJAS SILVIA, SANCHEZ LOPEZ CRISTHIAN BRUNO"</f>
        <v>SANCHEZ CAMPO BRUNO JOAQUIN, CAMPO ROJAS SILVIA, SANCHEZ LOPEZ CRISTHIAN BRUNO</v>
      </c>
      <c r="C10928" s="1" t="str">
        <f>"CLOVER RUN SECTION 1 LOT 7"</f>
        <v>CLOVER RUN SECTION 1 LOT 7</v>
      </c>
      <c r="D10928" s="1">
        <v>5976.39</v>
      </c>
    </row>
    <row r="10929" spans="1:4" x14ac:dyDescent="0.3">
      <c r="A10929" s="1" t="str">
        <f>"57023309700"</f>
        <v>57023309700</v>
      </c>
      <c r="B10929" s="1" t="str">
        <f>"SANCHEZ DIANA G MARQUEZ"</f>
        <v>SANCHEZ DIANA G MARQUEZ</v>
      </c>
      <c r="C10929" s="1" t="str">
        <f>"BIG TREE DRIVE SENECA PINES SECTION 2 LOT 119"</f>
        <v>BIG TREE DRIVE SENECA PINES SECTION 2 LOT 119</v>
      </c>
      <c r="D10929" s="1">
        <v>2928.41</v>
      </c>
    </row>
    <row r="10930" spans="1:4" x14ac:dyDescent="0.3">
      <c r="A10930" s="1" t="str">
        <f>"57025268600"</f>
        <v>57025268600</v>
      </c>
      <c r="B10930" s="1" t="str">
        <f>"SANCHEZ JAIME CORRAL, SANCHEZ MARIA GUADALUPE"</f>
        <v>SANCHEZ JAIME CORRAL, SANCHEZ MARIA GUADALUPE</v>
      </c>
      <c r="C10930" s="1" t="str">
        <f>"PARKWICK DRIVE PARKVIEW SECTION 3 LOT 129"</f>
        <v>PARKWICK DRIVE PARKVIEW SECTION 3 LOT 129</v>
      </c>
      <c r="D10930" s="1">
        <v>2530</v>
      </c>
    </row>
    <row r="10931" spans="1:4" x14ac:dyDescent="0.3">
      <c r="A10931" s="1" t="str">
        <f>"01018721100"</f>
        <v>01018721100</v>
      </c>
      <c r="B10931" s="1" t="str">
        <f>"SANCHEZ MARIA G"</f>
        <v>SANCHEZ MARIA G</v>
      </c>
      <c r="C10931" s="1" t="str">
        <f>"CHASE AVE CAMP CHASE HTS AMD LOT 560 &amp; PT LOT 559"</f>
        <v>CHASE AVE CAMP CHASE HTS AMD LOT 560 &amp; PT LOT 559</v>
      </c>
      <c r="D10931" s="1">
        <v>4962.43</v>
      </c>
    </row>
    <row r="10932" spans="1:4" x14ac:dyDescent="0.3">
      <c r="A10932" s="1" t="str">
        <f>"01006001200"</f>
        <v>01006001200</v>
      </c>
      <c r="B10932" s="1" t="str">
        <f>"SANDERLIN LESLYE A"</f>
        <v>SANDERLIN LESLYE A</v>
      </c>
      <c r="C10932" s="1" t="str">
        <f>"1597 GENESSEE LINDEN LOT 892"</f>
        <v>1597 GENESSEE LINDEN LOT 892</v>
      </c>
      <c r="D10932" s="1">
        <v>1215.4000000000001</v>
      </c>
    </row>
    <row r="10933" spans="1:4" x14ac:dyDescent="0.3">
      <c r="A10933" s="1" t="str">
        <f>"01004980400"</f>
        <v>01004980400</v>
      </c>
      <c r="B10933" s="1" t="str">
        <f>"SANDERS CASSANDRA"</f>
        <v>SANDERS CASSANDRA</v>
      </c>
      <c r="C10933" s="1" t="str">
        <f>"980 S 22ND OLD ORCHARD LOT 65"</f>
        <v>980 S 22ND OLD ORCHARD LOT 65</v>
      </c>
      <c r="D10933" s="1">
        <v>1342.5</v>
      </c>
    </row>
    <row r="10934" spans="1:4" x14ac:dyDescent="0.3">
      <c r="A10934" s="1" t="str">
        <f>"01015275500"</f>
        <v>01015275500</v>
      </c>
      <c r="B10934" s="1" t="str">
        <f>"SANDERS CHARLES L, SANDERS CAROLYN J"</f>
        <v>SANDERS CHARLES L, SANDERS CAROLYN J</v>
      </c>
      <c r="C10934" s="1" t="str">
        <f>"LARKWOOD RD FOREST PARK E SEC 9 LOT 1261"</f>
        <v>LARKWOOD RD FOREST PARK E SEC 9 LOT 1261</v>
      </c>
      <c r="D10934" s="1">
        <v>2187.83</v>
      </c>
    </row>
    <row r="10935" spans="1:4" x14ac:dyDescent="0.3">
      <c r="A10935" s="1" t="str">
        <f>"01003256900"</f>
        <v>01003256900</v>
      </c>
      <c r="B10935" s="1" t="str">
        <f>"SANDERS EMMA, SANDERS PAUL"</f>
        <v>SANDERS EMMA, SANDERS PAUL</v>
      </c>
      <c r="C10935" s="1" t="str">
        <f>"MACLAUGHLIN PL LOT 84 "</f>
        <v xml:space="preserve">MACLAUGHLIN PL LOT 84 </v>
      </c>
      <c r="D10935" s="1">
        <v>3010.07</v>
      </c>
    </row>
    <row r="10936" spans="1:4" x14ac:dyDescent="0.3">
      <c r="A10936" s="1" t="str">
        <f>"60021371300"</f>
        <v>60021371300</v>
      </c>
      <c r="B10936" s="1" t="str">
        <f>"SANDERS LORAINE RENEE"</f>
        <v>SANDERS LORAINE RENEE</v>
      </c>
      <c r="C10936" s="1" t="str">
        <f>"2150 STRIMPLE AVE VILLA PARK LTS 67-70 BLK 11 &amp; VAC AL"</f>
        <v>2150 STRIMPLE AVE VILLA PARK LTS 67-70 BLK 11 &amp; VAC AL</v>
      </c>
      <c r="D10936" s="1">
        <v>2121.8000000000002</v>
      </c>
    </row>
    <row r="10937" spans="1:4" x14ac:dyDescent="0.3">
      <c r="A10937" s="1" t="str">
        <f>"06000794400"</f>
        <v>06000794400</v>
      </c>
      <c r="B10937" s="1" t="str">
        <f>"SANDERS MATTHEW C, SANDERS LORI A"</f>
        <v>SANDERS MATTHEW C, SANDERS LORI A</v>
      </c>
      <c r="C10937" s="1" t="str">
        <f>"0000 REDMAN CONDO 5TH AMD BLDG 15 UNIT 7783"</f>
        <v>0000 REDMAN CONDO 5TH AMD BLDG 15 UNIT 7783</v>
      </c>
      <c r="D10937" s="1">
        <v>188.72</v>
      </c>
    </row>
    <row r="10938" spans="1:4" x14ac:dyDescent="0.3">
      <c r="A10938" s="1" t="str">
        <f>"09000114900"</f>
        <v>09000114900</v>
      </c>
      <c r="B10938" s="1" t="str">
        <f>"SANDERS TERRY L"</f>
        <v>SANDERS TERRY L</v>
      </c>
      <c r="C10938" s="1" t="str">
        <f>"513 MAPLEWOOD AVE LOWRIE BROS S 1/2 LOT 72"</f>
        <v>513 MAPLEWOOD AVE LOWRIE BROS S 1/2 LOT 72</v>
      </c>
      <c r="D10938" s="1">
        <v>1200</v>
      </c>
    </row>
    <row r="10939" spans="1:4" x14ac:dyDescent="0.3">
      <c r="A10939" s="1" t="str">
        <f>"16100027300"</f>
        <v>16100027300</v>
      </c>
      <c r="B10939" s="1" t="str">
        <f>"SANDERS WILLIE P"</f>
        <v>SANDERS WILLIE P</v>
      </c>
      <c r="C10939" s="1" t="str">
        <f>"2849 MAPLE ST 16 BLK 6 URBANCREST"</f>
        <v>2849 MAPLE ST 16 BLK 6 URBANCREST</v>
      </c>
      <c r="D10939" s="1">
        <v>87.87</v>
      </c>
    </row>
    <row r="10940" spans="1:4" x14ac:dyDescent="0.3">
      <c r="A10940" s="1" t="str">
        <f>"16100005300"</f>
        <v>16100005300</v>
      </c>
      <c r="B10940" s="1" t="str">
        <f>"SANDERS WILLIE P, SANDERS ANNIE P"</f>
        <v>SANDERS WILLIE P, SANDERS ANNIE P</v>
      </c>
      <c r="C10940" s="1" t="str">
        <f>"1ST AVE URBANCREST 65 BLK 2"</f>
        <v>1ST AVE URBANCREST 65 BLK 2</v>
      </c>
      <c r="D10940" s="1">
        <v>2978.56</v>
      </c>
    </row>
    <row r="10941" spans="1:4" x14ac:dyDescent="0.3">
      <c r="A10941" s="1" t="str">
        <f>"16100017900"</f>
        <v>16100017900</v>
      </c>
      <c r="B10941" s="1" t="str">
        <f>"SANDERS WILLIE P, SANDERS ANNIE P"</f>
        <v>SANDERS WILLIE P, SANDERS ANNIE P</v>
      </c>
      <c r="C10941" s="1" t="str">
        <f>"1ST AVE URBANCREST 69 BLK 2"</f>
        <v>1ST AVE URBANCREST 69 BLK 2</v>
      </c>
      <c r="D10941" s="1">
        <v>184.53</v>
      </c>
    </row>
    <row r="10942" spans="1:4" x14ac:dyDescent="0.3">
      <c r="A10942" s="1" t="str">
        <f>"16100005400"</f>
        <v>16100005400</v>
      </c>
      <c r="B10942" s="1" t="str">
        <f>"SANDERS WILLIE P, SANDERS ANNIE P"</f>
        <v>SANDERS WILLIE P, SANDERS ANNIE P</v>
      </c>
      <c r="C10942" s="1" t="str">
        <f>"1ST AVE URBANCREST 66 BLK 2"</f>
        <v>1ST AVE URBANCREST 66 BLK 2</v>
      </c>
      <c r="D10942" s="1">
        <v>468.4</v>
      </c>
    </row>
    <row r="10943" spans="1:4" x14ac:dyDescent="0.3">
      <c r="A10943" s="1" t="str">
        <f>"16100005500"</f>
        <v>16100005500</v>
      </c>
      <c r="B10943" s="1" t="str">
        <f>"SANDERS WILLIE P, SANDERS ANNIE P"</f>
        <v>SANDERS WILLIE P, SANDERS ANNIE P</v>
      </c>
      <c r="C10943" s="1" t="str">
        <f>"1ST AVE URBANCREST 67 BLK 2"</f>
        <v>1ST AVE URBANCREST 67 BLK 2</v>
      </c>
      <c r="D10943" s="1">
        <v>459.78</v>
      </c>
    </row>
    <row r="10944" spans="1:4" x14ac:dyDescent="0.3">
      <c r="A10944" s="1" t="str">
        <f>"16100005900"</f>
        <v>16100005900</v>
      </c>
      <c r="B10944" s="1" t="str">
        <f>"SANDERS WILLIE P, SANDERS ANNIE P"</f>
        <v>SANDERS WILLIE P, SANDERS ANNIE P</v>
      </c>
      <c r="C10944" s="1" t="str">
        <f>"1ST AVE URBANCREST 64 BLK 2"</f>
        <v>1ST AVE URBANCREST 64 BLK 2</v>
      </c>
      <c r="D10944" s="1">
        <v>188.08</v>
      </c>
    </row>
    <row r="10945" spans="1:4" x14ac:dyDescent="0.3">
      <c r="A10945" s="1" t="str">
        <f>"16100005600"</f>
        <v>16100005600</v>
      </c>
      <c r="B10945" s="1" t="str">
        <f>"SANDERS WILLIE P, SANDERS ANNIE P"</f>
        <v>SANDERS WILLIE P, SANDERS ANNIE P</v>
      </c>
      <c r="C10945" s="1" t="str">
        <f>"1ST AVE URBANCREST 68 BLK 2"</f>
        <v>1ST AVE URBANCREST 68 BLK 2</v>
      </c>
      <c r="D10945" s="1">
        <v>468.4</v>
      </c>
    </row>
    <row r="10946" spans="1:4" x14ac:dyDescent="0.3">
      <c r="A10946" s="1" t="str">
        <f>"01001658800"</f>
        <v>01001658800</v>
      </c>
      <c r="B10946" s="1" t="str">
        <f>"SANDERSON PATRICK J, SANDERSON MARIE E"</f>
        <v>SANDERSON PATRICK J, SANDERSON MARIE E</v>
      </c>
      <c r="C10946" s="1" t="str">
        <f>"870 MOHAWK ST JAEGER LOT 113 S 1/2"</f>
        <v>870 MOHAWK ST JAEGER LOT 113 S 1/2</v>
      </c>
      <c r="D10946" s="1">
        <v>6193.53</v>
      </c>
    </row>
    <row r="10947" spans="1:4" x14ac:dyDescent="0.3">
      <c r="A10947" s="1" t="str">
        <f>"44528748900"</f>
        <v>44528748900</v>
      </c>
      <c r="B10947" s="1" t="str">
        <f>"SANDHILL HOLDINGS LLC"</f>
        <v>SANDHILL HOLDINGS LLC</v>
      </c>
      <c r="C10947" s="1" t="str">
        <f>"JOHNSTOWN RD R17 T1 1/4T3 3.852 ACRES"</f>
        <v>JOHNSTOWN RD R17 T1 1/4T3 3.852 ACRES</v>
      </c>
      <c r="D10947" s="1">
        <v>12597.06</v>
      </c>
    </row>
    <row r="10948" spans="1:4" x14ac:dyDescent="0.3">
      <c r="A10948" s="1" t="str">
        <f>"01017107500"</f>
        <v>01017107500</v>
      </c>
      <c r="B10948" s="1" t="str">
        <f>"SANDOR MACKENZIE N, HAAG JACOB D"</f>
        <v>SANDOR MACKENZIE N, HAAG JACOB D</v>
      </c>
      <c r="C10948" s="1" t="str">
        <f>"BELLA VIA AVE BLENDON PARK SEC 3 LOT 232"</f>
        <v>BELLA VIA AVE BLENDON PARK SEC 3 LOT 232</v>
      </c>
      <c r="D10948" s="1">
        <v>701.56</v>
      </c>
    </row>
    <row r="10949" spans="1:4" x14ac:dyDescent="0.3">
      <c r="A10949" s="1" t="str">
        <f>"09000615400"</f>
        <v>09000615400</v>
      </c>
      <c r="B10949" s="1" t="str">
        <f>"SANDOVAL ADELA, MENDEZ AMELIO"</f>
        <v>SANDOVAL ADELA, MENDEZ AMELIO</v>
      </c>
      <c r="C10949" s="1" t="str">
        <f>"BEAVER AVE WHITEHALL PARK 254"</f>
        <v>BEAVER AVE WHITEHALL PARK 254</v>
      </c>
      <c r="D10949" s="1">
        <v>134.1</v>
      </c>
    </row>
    <row r="10950" spans="1:4" x14ac:dyDescent="0.3">
      <c r="A10950" s="1" t="str">
        <f>"01011383800"</f>
        <v>01011383800</v>
      </c>
      <c r="B10950" s="1" t="str">
        <f>"SANDOVAL ARNULFO A"</f>
        <v>SANDOVAL ARNULFO A</v>
      </c>
      <c r="C10950" s="1" t="str">
        <f>"SOUTHARD DRIVE PARSONS SOUTH LOT 34"</f>
        <v>SOUTHARD DRIVE PARSONS SOUTH LOT 34</v>
      </c>
      <c r="D10950" s="1">
        <v>2054.89</v>
      </c>
    </row>
    <row r="10951" spans="1:4" x14ac:dyDescent="0.3">
      <c r="A10951" s="1" t="str">
        <f>"01012321300"</f>
        <v>01012321300</v>
      </c>
      <c r="B10951" s="1" t="str">
        <f>"SANFORD CAROLINE, SANFORD ETHAN, SANFORD TIMOTHY"</f>
        <v>SANFORD CAROLINE, SANFORD ETHAN, SANFORD TIMOTHY</v>
      </c>
      <c r="C10951" s="1" t="str">
        <f>"PIERCE AVE PINECREST 4 LOT 519"</f>
        <v>PIERCE AVE PINECREST 4 LOT 519</v>
      </c>
      <c r="D10951" s="1">
        <v>3951.21</v>
      </c>
    </row>
    <row r="10952" spans="1:4" x14ac:dyDescent="0.3">
      <c r="A10952" s="1" t="str">
        <f>"19100042900"</f>
        <v>19100042900</v>
      </c>
      <c r="B10952" s="1" t="str">
        <f>"SANFORD STEVEN L"</f>
        <v>SANFORD STEVEN L</v>
      </c>
      <c r="C10952" s="1" t="str">
        <f>"MINNESOTA AVE LEONARD PARK E1/2 LOT 12 BLK D"</f>
        <v>MINNESOTA AVE LEONARD PARK E1/2 LOT 12 BLK D</v>
      </c>
      <c r="D10952" s="1">
        <v>169.59</v>
      </c>
    </row>
    <row r="10953" spans="1:4" x14ac:dyDescent="0.3">
      <c r="A10953" s="1" t="str">
        <f>"19100046700"</f>
        <v>19100046700</v>
      </c>
      <c r="B10953" s="1" t="str">
        <f>"SANFORD STEVEN L"</f>
        <v>SANFORD STEVEN L</v>
      </c>
      <c r="C10953" s="1" t="str">
        <f>"3740 GENESSEE AVE LEONARD PARK LOTS 14 &amp; 50 BLK D"</f>
        <v>3740 GENESSEE AVE LEONARD PARK LOTS 14 &amp; 50 BLK D</v>
      </c>
      <c r="D10953" s="1">
        <v>439.22</v>
      </c>
    </row>
    <row r="10954" spans="1:4" x14ac:dyDescent="0.3">
      <c r="A10954" s="1" t="str">
        <f>"06000103900"</f>
        <v>06000103900</v>
      </c>
      <c r="B10954" s="1" t="str">
        <f>"SANGAM GROCERY &amp; HOUSEWARE LLC"</f>
        <v>SANGAM GROCERY &amp; HOUSEWARE LLC</v>
      </c>
      <c r="C10954" s="1" t="str">
        <f>"E MAIN ST ACRES .351 "</f>
        <v xml:space="preserve">E MAIN ST ACRES .351 </v>
      </c>
      <c r="D10954" s="1">
        <v>504.78</v>
      </c>
    </row>
    <row r="10955" spans="1:4" x14ac:dyDescent="0.3">
      <c r="A10955" s="1" t="str">
        <f>"01011272000"</f>
        <v>01011272000</v>
      </c>
      <c r="B10955" s="1" t="str">
        <f>"SANTIAGO JUAN, MARTINEZ MARGARITA FLORES"</f>
        <v>SANTIAGO JUAN, MARTINEZ MARGARITA FLORES</v>
      </c>
      <c r="C10955" s="1" t="str">
        <f>"CHAMPION AVE R22 T5 S27 1/2S40 MERION EXRS LOT F"</f>
        <v>CHAMPION AVE R22 T5 S27 1/2S40 MERION EXRS LOT F</v>
      </c>
      <c r="D10955" s="1">
        <v>1430.89</v>
      </c>
    </row>
    <row r="10956" spans="1:4" x14ac:dyDescent="0.3">
      <c r="A10956" s="1" t="str">
        <f>"01004922100"</f>
        <v>01004922100</v>
      </c>
      <c r="B10956" s="1" t="str">
        <f>"SANTIAGO SILVA JESSICA"</f>
        <v>SANTIAGO SILVA JESSICA</v>
      </c>
      <c r="C10956" s="1" t="str">
        <f>"SULLIVANT AVE SULLIVANT HILL PLACE 50'SE LOTS 8 &amp; 9"</f>
        <v>SULLIVANT AVE SULLIVANT HILL PLACE 50'SE LOTS 8 &amp; 9</v>
      </c>
      <c r="D10956" s="1">
        <v>1987.82</v>
      </c>
    </row>
    <row r="10957" spans="1:4" x14ac:dyDescent="0.3">
      <c r="A10957" s="1" t="str">
        <f>"18000313100"</f>
        <v>18000313100</v>
      </c>
      <c r="B10957" s="1" t="str">
        <f>"SANTIAGO SILVA SILVANO, SANTIAGO ESMERALDA"</f>
        <v>SANTIAGO SILVA SILVANO, SANTIAGO ESMERALDA</v>
      </c>
      <c r="C10957" s="1" t="str">
        <f>"RODELL RD BLACKLICK ESTATES 3 487"</f>
        <v>RODELL RD BLACKLICK ESTATES 3 487</v>
      </c>
      <c r="D10957" s="1">
        <v>1435.07</v>
      </c>
    </row>
    <row r="10958" spans="1:4" x14ac:dyDescent="0.3">
      <c r="A10958" s="1" t="str">
        <f>"01006667600"</f>
        <v>01006667600</v>
      </c>
      <c r="B10958" s="1" t="str">
        <f>"SANTIAGO YEIMI M"</f>
        <v>SANTIAGO YEIMI M</v>
      </c>
      <c r="C10958" s="1" t="str">
        <f>"TAYLOR AVE MULBUR PARK LOT 68"</f>
        <v>TAYLOR AVE MULBUR PARK LOT 68</v>
      </c>
      <c r="D10958" s="1">
        <v>1105.05</v>
      </c>
    </row>
    <row r="10959" spans="1:4" x14ac:dyDescent="0.3">
      <c r="A10959" s="1" t="str">
        <f>"57016851700"</f>
        <v>57016851700</v>
      </c>
      <c r="B10959" s="1" t="str">
        <f>"SANTOS VIRGILIO"</f>
        <v>SANTOS VIRGILIO</v>
      </c>
      <c r="C10959" s="1" t="str">
        <f>"699 ATHENS AVE BURNSIDE HTS LOT 114"</f>
        <v>699 ATHENS AVE BURNSIDE HTS LOT 114</v>
      </c>
      <c r="D10959" s="1">
        <v>522.69000000000005</v>
      </c>
    </row>
    <row r="10960" spans="1:4" x14ac:dyDescent="0.3">
      <c r="A10960" s="1" t="str">
        <f>"57016857600"</f>
        <v>57016857600</v>
      </c>
      <c r="B10960" s="1" t="str">
        <f>"SANTOS VIRGILIO"</f>
        <v>SANTOS VIRGILIO</v>
      </c>
      <c r="C10960" s="1" t="str">
        <f>"701 ATHENS AVE BURNSIDE HTS LOT 113"</f>
        <v>701 ATHENS AVE BURNSIDE HTS LOT 113</v>
      </c>
      <c r="D10960" s="1">
        <v>1696.7</v>
      </c>
    </row>
    <row r="10961" spans="1:4" x14ac:dyDescent="0.3">
      <c r="A10961" s="1" t="str">
        <f>"08001131200"</f>
        <v>08001131200</v>
      </c>
      <c r="B10961" s="1" t="str">
        <f>"SANXIN LLC"</f>
        <v>SANXIN LLC</v>
      </c>
      <c r="C10961" s="1" t="str">
        <f>"NORTH STATE ST R17 T2 S2 1.8262 ACRES"</f>
        <v>NORTH STATE ST R17 T2 S2 1.8262 ACRES</v>
      </c>
      <c r="D10961" s="1">
        <v>20792.349999999999</v>
      </c>
    </row>
    <row r="10962" spans="1:4" x14ac:dyDescent="0.3">
      <c r="A10962" s="1" t="str">
        <f>"01000439900"</f>
        <v>01000439900</v>
      </c>
      <c r="B10962" s="1" t="str">
        <f>"SAONG SOPHAPHON, PETERSEN JASEN, SAONG-PETERSEN SREYLEE"</f>
        <v>SAONG SOPHAPHON, PETERSEN JASEN, SAONG-PETERSEN SREYLEE</v>
      </c>
      <c r="C10962" s="1" t="str">
        <f>"76 BELVIDERE GLENWOOD HTS LOT 66"</f>
        <v>76 BELVIDERE GLENWOOD HTS LOT 66</v>
      </c>
      <c r="D10962" s="1">
        <v>2088.64</v>
      </c>
    </row>
    <row r="10963" spans="1:4" x14ac:dyDescent="0.3">
      <c r="A10963" s="1" t="str">
        <f>"24000417900"</f>
        <v>24000417900</v>
      </c>
      <c r="B10963" s="1" t="str">
        <f>"SAP FLOORING SERVICES LLC"</f>
        <v>SAP FLOORING SERVICES LLC</v>
      </c>
      <c r="C10963" s="1" t="str">
        <f>"HILER RD LINCOLN VILLAGE S LOT 16"</f>
        <v>HILER RD LINCOLN VILLAGE S LOT 16</v>
      </c>
      <c r="D10963" s="1">
        <v>1424.96</v>
      </c>
    </row>
    <row r="10964" spans="1:4" x14ac:dyDescent="0.3">
      <c r="A10964" s="1" t="str">
        <f>"52024468900"</f>
        <v>52024468900</v>
      </c>
      <c r="B10964" s="1" t="str">
        <f>"SAPP ELLEN L"</f>
        <v>SAPP ELLEN L</v>
      </c>
      <c r="C10964" s="1" t="str">
        <f>"HINES ROAD BERKLEY POINTE LOT 33"</f>
        <v>HINES ROAD BERKLEY POINTE LOT 33</v>
      </c>
      <c r="D10964" s="1">
        <v>3869.46</v>
      </c>
    </row>
    <row r="10965" spans="1:4" x14ac:dyDescent="0.3">
      <c r="A10965" s="1" t="str">
        <f>"01029382400"</f>
        <v>01029382400</v>
      </c>
      <c r="B10965" s="1" t="str">
        <f>"SARAGA WILSON LLC"</f>
        <v>SARAGA WILSON LLC</v>
      </c>
      <c r="C10965" s="1" t="str">
        <f>"GREAT WESTERN COMMERCE    CENTER CONDOMINIUM        UNIT 79                  "</f>
        <v xml:space="preserve">GREAT WESTERN COMMERCE    CENTER CONDOMINIUM        UNIT 79                  </v>
      </c>
      <c r="D10965" s="1">
        <v>23144.97</v>
      </c>
    </row>
    <row r="10966" spans="1:4" x14ac:dyDescent="0.3">
      <c r="A10966" s="1" t="str">
        <f>"01029382500"</f>
        <v>01029382500</v>
      </c>
      <c r="B10966" s="1" t="str">
        <f>"SARAGA WILSON LLC"</f>
        <v>SARAGA WILSON LLC</v>
      </c>
      <c r="C10966" s="1" t="str">
        <f>"GREAT WESTERN COMMERCE    CENTER CONDOMINIUM        UNIT 81                  "</f>
        <v xml:space="preserve">GREAT WESTERN COMMERCE    CENTER CONDOMINIUM        UNIT 81                  </v>
      </c>
      <c r="D10966" s="1">
        <v>11404.44</v>
      </c>
    </row>
    <row r="10967" spans="1:4" x14ac:dyDescent="0.3">
      <c r="A10967" s="1" t="str">
        <f>"57016043800"</f>
        <v>57016043800</v>
      </c>
      <c r="B10967" s="1" t="str">
        <f>"SARAH AA REAL ESTATE LLC"</f>
        <v>SARAH AA REAL ESTATE LLC</v>
      </c>
      <c r="C10967" s="1" t="str">
        <f>"ALKIRE RD RIVER BEND SECT 5 LOT 639"</f>
        <v>ALKIRE RD RIVER BEND SECT 5 LOT 639</v>
      </c>
      <c r="D10967" s="1">
        <v>690.04</v>
      </c>
    </row>
    <row r="10968" spans="1:4" x14ac:dyDescent="0.3">
      <c r="A10968" s="1" t="str">
        <f>"10000153200"</f>
        <v>10000153200</v>
      </c>
      <c r="B10968" s="1" t="str">
        <f>"SARAP GEORGE M, SARAP BENJAMIN G"</f>
        <v>SARAP GEORGE M, SARAP BENJAMIN G</v>
      </c>
      <c r="C10968" s="1" t="str">
        <f>"272 E SELBY BLVD LOT 3 BLK D COLONIAL HILLS AND DALES"</f>
        <v>272 E SELBY BLVD LOT 3 BLK D COLONIAL HILLS AND DALES</v>
      </c>
      <c r="D10968" s="1">
        <v>220.95</v>
      </c>
    </row>
    <row r="10969" spans="1:4" x14ac:dyDescent="0.3">
      <c r="A10969" s="1" t="str">
        <f>"21000352400"</f>
        <v>21000352400</v>
      </c>
      <c r="B10969" s="1" t="str">
        <f>"SARGENT DONALD R JR"</f>
        <v>SARGENT DONALD R JR</v>
      </c>
      <c r="C10969" s="1" t="str">
        <f>"ARLINGTON POINTE CONDOMINIUM 1ST AMD UNIT C 2577"</f>
        <v>ARLINGTON POINTE CONDOMINIUM 1ST AMD UNIT C 2577</v>
      </c>
      <c r="D10969" s="1">
        <v>5577.54</v>
      </c>
    </row>
    <row r="10970" spans="1:4" x14ac:dyDescent="0.3">
      <c r="A10970" s="1" t="str">
        <f>"22200223900"</f>
        <v>22200223900</v>
      </c>
      <c r="B10970" s="1" t="str">
        <f>"SARGIS RAMAN TTEE (THE RYAN AND SARAH SARGIS TRUST)"</f>
        <v>SARGIS RAMAN TTEE (THE RYAN AND SARAH SARGIS TRUST)</v>
      </c>
      <c r="C10970" s="1" t="str">
        <f>"DEAN FARM ROAD NEW ALBANY LINKS SECTION 1 LOT 35"</f>
        <v>DEAN FARM ROAD NEW ALBANY LINKS SECTION 1 LOT 35</v>
      </c>
      <c r="D10970" s="1">
        <v>7331.61</v>
      </c>
    </row>
    <row r="10971" spans="1:4" x14ac:dyDescent="0.3">
      <c r="A10971" s="1" t="str">
        <f>"13000166400"</f>
        <v>13000166400</v>
      </c>
      <c r="B10971" s="1" t="str">
        <f>"SARNA PROPERTIES LLC"</f>
        <v>SARNA PROPERTIES LLC</v>
      </c>
      <c r="C10971" s="1" t="str">
        <f>"KENNY RD UNIVERSITY VIEW 50 "</f>
        <v xml:space="preserve">KENNY RD UNIVERSITY VIEW 50 </v>
      </c>
      <c r="D10971" s="1">
        <v>2601.42</v>
      </c>
    </row>
    <row r="10972" spans="1:4" x14ac:dyDescent="0.3">
      <c r="A10972" s="1" t="str">
        <f>"01015040800"</f>
        <v>01015040800</v>
      </c>
      <c r="B10972" s="1" t="str">
        <f>"SARTOR BRIAN L, SARTOR ROSEMARY K"</f>
        <v>SARTOR BRIAN L, SARTOR ROSEMARY K</v>
      </c>
      <c r="C10972" s="1" t="str">
        <f>"SMALLWOOD DR SYCAMORE HILLS SEC 2 LOT 134"</f>
        <v>SMALLWOOD DR SYCAMORE HILLS SEC 2 LOT 134</v>
      </c>
      <c r="D10972" s="1">
        <v>2941.07</v>
      </c>
    </row>
    <row r="10973" spans="1:4" x14ac:dyDescent="0.3">
      <c r="A10973" s="1" t="str">
        <f>"01028759700"</f>
        <v>01028759700</v>
      </c>
      <c r="B10973" s="1" t="str">
        <f>"SARTORI NICOLAI"</f>
        <v>SARTORI NICOLAI</v>
      </c>
      <c r="C10973" s="1" t="str">
        <f>"YORK ON HIGH BROWNSTONE   AND LOFT CONDOMINIUM      ASSOCIATION UNIT 304     "</f>
        <v xml:space="preserve">YORK ON HIGH BROWNSTONE   AND LOFT CONDOMINIUM      ASSOCIATION UNIT 304     </v>
      </c>
      <c r="D10973" s="1">
        <v>1807.12</v>
      </c>
    </row>
    <row r="10974" spans="1:4" x14ac:dyDescent="0.3">
      <c r="A10974" s="1" t="str">
        <f>"02500671200"</f>
        <v>02500671200</v>
      </c>
      <c r="B10974" s="1" t="str">
        <f>"SARVER DONEICA G"</f>
        <v>SARVER DONEICA G</v>
      </c>
      <c r="C10974" s="1" t="str">
        <f>"215 CAMROSE COURT WOODSIDE GREEN SEC 3 PHASE 1 LOT 255"</f>
        <v>215 CAMROSE COURT WOODSIDE GREEN SEC 3 PHASE 1 LOT 255</v>
      </c>
      <c r="D10974" s="1">
        <v>319.70999999999998</v>
      </c>
    </row>
    <row r="10975" spans="1:4" x14ac:dyDescent="0.3">
      <c r="A10975" s="1" t="str">
        <f>"07000604700"</f>
        <v>07000604700</v>
      </c>
      <c r="B10975" s="1" t="str">
        <f>"SATIANI MIRA TTEE, SATIANI BHAGWAN TTEE"</f>
        <v>SATIANI MIRA TTEE, SATIANI BHAGWAN TTEE</v>
      </c>
      <c r="C10975" s="1" t="str">
        <f>"TREMONT ROAD SCIOTANGY HTS AMD LOT 132 &amp; PT VAC AL"</f>
        <v>TREMONT ROAD SCIOTANGY HTS AMD LOT 132 &amp; PT VAC AL</v>
      </c>
      <c r="D10975" s="1">
        <v>52.8</v>
      </c>
    </row>
    <row r="10976" spans="1:4" x14ac:dyDescent="0.3">
      <c r="A10976" s="1" t="str">
        <f>"27300978200"</f>
        <v>27300978200</v>
      </c>
      <c r="B10976" s="1" t="str">
        <f>"SATO NOBUYASU, SATO AKIKO"</f>
        <v>SATO NOBUYASU, SATO AKIKO</v>
      </c>
      <c r="C10976" s="1" t="str">
        <f>"LAKES AT DUNMERE CONDOMINIUM 3RD AMD BLDG 17 UNIT 5889"</f>
        <v>LAKES AT DUNMERE CONDOMINIUM 3RD AMD BLDG 17 UNIT 5889</v>
      </c>
      <c r="D10976" s="1">
        <v>535.16</v>
      </c>
    </row>
    <row r="10977" spans="1:4" x14ac:dyDescent="0.3">
      <c r="A10977" s="1" t="str">
        <f>"05001015000"</f>
        <v>05001015000</v>
      </c>
      <c r="B10977" s="1" t="str">
        <f>"SATTAR FAROOQ, SATTAR MUNAZZA"</f>
        <v>SATTAR FAROOQ, SATTAR MUNAZZA</v>
      </c>
      <c r="C10977" s="1" t="str">
        <f>"NOOR PARK CIRCLE SILVERTON FARMS SECTION 2 PHASE 2 LOT 33"</f>
        <v>NOOR PARK CIRCLE SILVERTON FARMS SECTION 2 PHASE 2 LOT 33</v>
      </c>
      <c r="D10977" s="1">
        <v>1836.96</v>
      </c>
    </row>
    <row r="10978" spans="1:4" x14ac:dyDescent="0.3">
      <c r="A10978" s="1" t="str">
        <f>"03000227900"</f>
        <v>03000227900</v>
      </c>
      <c r="B10978" s="1" t="str">
        <f>"SATTERTHWAITE TACY L"</f>
        <v>SATTERTHWAITE TACY L</v>
      </c>
      <c r="C10978" s="1" t="str">
        <f>"1291 BROADVIEW AVE LOT 35 GRANDVIEW"</f>
        <v>1291 BROADVIEW AVE LOT 35 GRANDVIEW</v>
      </c>
      <c r="D10978" s="1">
        <v>397.92</v>
      </c>
    </row>
    <row r="10979" spans="1:4" x14ac:dyDescent="0.3">
      <c r="A10979" s="1" t="str">
        <f>"06000427600"</f>
        <v>06000427600</v>
      </c>
      <c r="B10979" s="1" t="str">
        <f>"SATTERWHITE DANIEL J TR, SATTERWHITE SUSAN E TR"</f>
        <v>SATTERWHITE DANIEL J TR, SATTERWHITE SUSAN E TR</v>
      </c>
      <c r="C10979" s="1" t="str">
        <f>"6500 FIRETHORN AVE ROSETREE SUBD LOT 99"</f>
        <v>6500 FIRETHORN AVE ROSETREE SUBD LOT 99</v>
      </c>
      <c r="D10979" s="1">
        <v>2009.44</v>
      </c>
    </row>
    <row r="10980" spans="1:4" x14ac:dyDescent="0.3">
      <c r="A10980" s="1" t="str">
        <f>"24000289600"</f>
        <v>24000289600</v>
      </c>
      <c r="B10980" s="1" t="str">
        <f>"SAUCEDO SAUL"</f>
        <v>SAUCEDO SAUL</v>
      </c>
      <c r="C10980" s="1" t="str">
        <f>"GREENER AVE GARDEN HTS LOT 48"</f>
        <v>GREENER AVE GARDEN HTS LOT 48</v>
      </c>
      <c r="D10980" s="1">
        <v>205.04</v>
      </c>
    </row>
    <row r="10981" spans="1:4" x14ac:dyDescent="0.3">
      <c r="A10981" s="1" t="str">
        <f>"23000334100"</f>
        <v>23000334100</v>
      </c>
      <c r="B10981" s="1" t="str">
        <f>"SAUCEDO SAUL"</f>
        <v>SAUCEDO SAUL</v>
      </c>
      <c r="C10981" s="1" t="str">
        <f>"4980 BEATTY RD ENTRY 3027 4.1178 ACRES"</f>
        <v>4980 BEATTY RD ENTRY 3027 4.1178 ACRES</v>
      </c>
      <c r="D10981" s="1">
        <v>211.67</v>
      </c>
    </row>
    <row r="10982" spans="1:4" x14ac:dyDescent="0.3">
      <c r="A10982" s="1" t="str">
        <f>"02000475700"</f>
        <v>02000475700</v>
      </c>
      <c r="B10982" s="1" t="str">
        <f>"SAUNDERS JO-ANN F"</f>
        <v>SAUNDERS JO-ANN F</v>
      </c>
      <c r="C10982" s="1" t="str">
        <f>"THE ALEXANDER             CONDOMINIUM               UNIT 201                 "</f>
        <v xml:space="preserve">THE ALEXANDER             CONDOMINIUM               UNIT 201                 </v>
      </c>
      <c r="D10982" s="1">
        <v>816.31</v>
      </c>
    </row>
    <row r="10983" spans="1:4" x14ac:dyDescent="0.3">
      <c r="A10983" s="1" t="str">
        <f>"02000482400"</f>
        <v>02000482400</v>
      </c>
      <c r="B10983" s="1" t="str">
        <f>"SAUNDERS JO-ANN F"</f>
        <v>SAUNDERS JO-ANN F</v>
      </c>
      <c r="C10983" s="1" t="str">
        <f>"THE ALEXANDER             CONDOMINIUM               UNIT C9                  "</f>
        <v xml:space="preserve">THE ALEXANDER             CONDOMINIUM               UNIT C9                  </v>
      </c>
      <c r="D10983" s="1">
        <v>20.85</v>
      </c>
    </row>
    <row r="10984" spans="1:4" x14ac:dyDescent="0.3">
      <c r="A10984" s="1" t="str">
        <f>"02000482500"</f>
        <v>02000482500</v>
      </c>
      <c r="B10984" s="1" t="str">
        <f>"SAUNDERS JO-ANN F"</f>
        <v>SAUNDERS JO-ANN F</v>
      </c>
      <c r="C10984" s="1" t="str">
        <f>"THE ALEXANDER             CONDOMINIUM               UNIT C10                 "</f>
        <v xml:space="preserve">THE ALEXANDER             CONDOMINIUM               UNIT C10                 </v>
      </c>
      <c r="D10984" s="1">
        <v>20.85</v>
      </c>
    </row>
    <row r="10985" spans="1:4" x14ac:dyDescent="0.3">
      <c r="A10985" s="1" t="str">
        <f>"01015558400"</f>
        <v>01015558400</v>
      </c>
      <c r="B10985" s="1" t="str">
        <f>"SAUNDERS KATRINA F"</f>
        <v>SAUNDERS KATRINA F</v>
      </c>
      <c r="C10985" s="1" t="str">
        <f>"SECOR COURT PARKLEIGH SEC 2 LOT 127"</f>
        <v>SECOR COURT PARKLEIGH SEC 2 LOT 127</v>
      </c>
      <c r="D10985" s="1">
        <v>255</v>
      </c>
    </row>
    <row r="10986" spans="1:4" x14ac:dyDescent="0.3">
      <c r="A10986" s="1" t="str">
        <f>"18500034500"</f>
        <v>18500034500</v>
      </c>
      <c r="B10986" s="1" t="str">
        <f>"SAUNDERS WILLIAM D, SAUNDERS KATHERINE B"</f>
        <v>SAUNDERS WILLIAM D, SAUNDERS KATHERINE B</v>
      </c>
      <c r="C10986" s="1" t="str">
        <f>"CENTER ST JOSEPH DODSON AMD 13 "</f>
        <v xml:space="preserve">CENTER ST JOSEPH DODSON AMD 13 </v>
      </c>
      <c r="D10986" s="1">
        <v>183.47</v>
      </c>
    </row>
    <row r="10987" spans="1:4" x14ac:dyDescent="0.3">
      <c r="A10987" s="1" t="str">
        <f>"02501015200"</f>
        <v>02501015200</v>
      </c>
      <c r="B10987" s="1" t="str">
        <f>"SAVAGE MICHAEL A, SAVAGE DENISE S"</f>
        <v>SAVAGE MICHAEL A, SAVAGE DENISE S</v>
      </c>
      <c r="C10987" s="1" t="str">
        <f>"THE ESTATES OF ROCKY FORK SECTION 1 LOT 12"</f>
        <v>THE ESTATES OF ROCKY FORK SECTION 1 LOT 12</v>
      </c>
      <c r="D10987" s="1">
        <v>592.71</v>
      </c>
    </row>
    <row r="10988" spans="1:4" x14ac:dyDescent="0.3">
      <c r="A10988" s="1" t="str">
        <f>"01000581400"</f>
        <v>01000581400</v>
      </c>
      <c r="B10988" s="1" t="str">
        <f>"SAVAGE VALERIE"</f>
        <v>SAVAGE VALERIE</v>
      </c>
      <c r="C10988" s="1" t="str">
        <f>"1792 COLE ST BULENS FAIRWOOD PARK LOT 237"</f>
        <v>1792 COLE ST BULENS FAIRWOOD PARK LOT 237</v>
      </c>
      <c r="D10988" s="1">
        <v>1466.59</v>
      </c>
    </row>
    <row r="10989" spans="1:4" x14ac:dyDescent="0.3">
      <c r="A10989" s="1" t="str">
        <f>"01020787300"</f>
        <v>01020787300</v>
      </c>
      <c r="B10989" s="1" t="str">
        <f>"SAVIA JONATHAN J, SAVIA JAMES J"</f>
        <v>SAVIA JONATHAN J, SAVIA JAMES J</v>
      </c>
      <c r="C10989" s="1" t="str">
        <f>"RIVERWATCH TOWERS CONDOMINIUM UNIT 629"</f>
        <v>RIVERWATCH TOWERS CONDOMINIUM UNIT 629</v>
      </c>
      <c r="D10989" s="1">
        <v>1577.48</v>
      </c>
    </row>
    <row r="10990" spans="1:4" x14ac:dyDescent="0.3">
      <c r="A10990" s="1" t="str">
        <f>"61027321700"</f>
        <v>61027321700</v>
      </c>
      <c r="B10990" s="1" t="str">
        <f>"SAVKO STEPHEN N TTEE (STEPHEN N SAVKO TRUST)"</f>
        <v>SAVKO STEPHEN N TTEE (STEPHEN N SAVKO TRUST)</v>
      </c>
      <c r="C10990" s="1" t="str">
        <f>"JOHN MICHAEL WAY LINDSEY WOODS LOT 17"</f>
        <v>JOHN MICHAEL WAY LINDSEY WOODS LOT 17</v>
      </c>
      <c r="D10990" s="1">
        <v>642.83000000000004</v>
      </c>
    </row>
    <row r="10991" spans="1:4" x14ac:dyDescent="0.3">
      <c r="A10991" s="1" t="str">
        <f>"05000837800"</f>
        <v>05000837800</v>
      </c>
      <c r="B10991" s="1" t="str">
        <f>"SAWCHUK KEVIN, SAWCHUK HEIDI"</f>
        <v>SAWCHUK KEVIN, SAWCHUK HEIDI</v>
      </c>
      <c r="C10991" s="1" t="str">
        <f>"HERITAGE VILLAS ON THE LINKS CONDO 5TH AMD UNIT 16-3648"</f>
        <v>HERITAGE VILLAS ON THE LINKS CONDO 5TH AMD UNIT 16-3648</v>
      </c>
      <c r="D10991" s="1">
        <v>7018.13</v>
      </c>
    </row>
    <row r="10992" spans="1:4" x14ac:dyDescent="0.3">
      <c r="A10992" s="1" t="str">
        <f>"27300899100"</f>
        <v>27300899100</v>
      </c>
      <c r="B10992" s="1" t="str">
        <f>"SAWMILL AFFILIATES INC"</f>
        <v>SAWMILL AFFILIATES INC</v>
      </c>
      <c r="C10992" s="1" t="str">
        <f>"VILLAGE AT INVERNESS PRO OFFICE CONDO 2ND AMD UNIT 7243D"</f>
        <v>VILLAGE AT INVERNESS PRO OFFICE CONDO 2ND AMD UNIT 7243D</v>
      </c>
      <c r="D10992" s="1">
        <v>2629.37</v>
      </c>
    </row>
    <row r="10993" spans="1:4" x14ac:dyDescent="0.3">
      <c r="A10993" s="1" t="str">
        <f>"07000381800"</f>
        <v>07000381800</v>
      </c>
      <c r="B10993" s="1" t="str">
        <f>"SAWYERS TODD, SAWYERS JENNIFER"</f>
        <v>SAWYERS TODD, SAWYERS JENNIFER</v>
      </c>
      <c r="C10993" s="1" t="str">
        <f>"CANTERBURY RD 35FT WSL 8 &amp; ALL L9 CNTRBRY PL BLK 259"</f>
        <v>CANTERBURY RD 35FT WSL 8 &amp; ALL L9 CNTRBRY PL BLK 259</v>
      </c>
      <c r="D10993" s="1">
        <v>922.91</v>
      </c>
    </row>
    <row r="10994" spans="1:4" x14ac:dyDescent="0.3">
      <c r="A10994" s="1" t="str">
        <f>"04000627000"</f>
        <v>04000627000</v>
      </c>
      <c r="B10994" s="1" t="str">
        <f>"SAXTON JOHN W"</f>
        <v>SAXTON JOHN W</v>
      </c>
      <c r="C10994" s="1" t="str">
        <f>"3445-447 DEMOREST RD WEST GROVE N SEC 1 LOT 7"</f>
        <v>3445-447 DEMOREST RD WEST GROVE N SEC 1 LOT 7</v>
      </c>
      <c r="D10994" s="1">
        <v>199.87</v>
      </c>
    </row>
    <row r="10995" spans="1:4" x14ac:dyDescent="0.3">
      <c r="A10995" s="1" t="str">
        <f>"05000635900"</f>
        <v>05000635900</v>
      </c>
      <c r="B10995" s="1" t="str">
        <f>"SAXTON JOHN W, SAXTON REBECCA S"</f>
        <v>SAXTON JOHN W, SAXTON REBECCA S</v>
      </c>
      <c r="C10995" s="1" t="str">
        <f>"DAYSPRING DR RIVER LANDINGS SEC 5 LOT 396"</f>
        <v>DAYSPRING DR RIVER LANDINGS SEC 5 LOT 396</v>
      </c>
      <c r="D10995" s="1">
        <v>781.03</v>
      </c>
    </row>
    <row r="10996" spans="1:4" x14ac:dyDescent="0.3">
      <c r="A10996" s="1" t="str">
        <f>"24000589600"</f>
        <v>24000589600</v>
      </c>
      <c r="B10996" s="1" t="str">
        <f>"SAXTON JOHN W, SAXTON REBECCA S"</f>
        <v>SAXTON JOHN W, SAXTON REBECCA S</v>
      </c>
      <c r="C10996" s="1" t="str">
        <f>"GLENFORD VILL CONDMN UNIT 7-1D "</f>
        <v xml:space="preserve">GLENFORD VILL CONDMN UNIT 7-1D </v>
      </c>
      <c r="D10996" s="1">
        <v>203.29</v>
      </c>
    </row>
    <row r="10997" spans="1:4" x14ac:dyDescent="0.3">
      <c r="A10997" s="1" t="str">
        <f>"01011489400"</f>
        <v>01011489400</v>
      </c>
      <c r="B10997" s="1" t="str">
        <f>"SAYAKOUMMANE WIELAI"</f>
        <v>SAYAKOUMMANE WIELAI</v>
      </c>
      <c r="C10997" s="1" t="str">
        <f>"S CHAMPION AVE EARHART LOT 18"</f>
        <v>S CHAMPION AVE EARHART LOT 18</v>
      </c>
      <c r="D10997" s="1">
        <v>2770.36</v>
      </c>
    </row>
    <row r="10998" spans="1:4" x14ac:dyDescent="0.3">
      <c r="A10998" s="1" t="str">
        <f>"10000416400"</f>
        <v>10000416400</v>
      </c>
      <c r="B10998" s="1" t="str">
        <f>"SAYERS MONTY D JR"</f>
        <v>SAYERS MONTY D JR</v>
      </c>
      <c r="C10998" s="1" t="str">
        <f>"194 ABBOT AVE WORTHINGTON ESTATES 2 LOT 82"</f>
        <v>194 ABBOT AVE WORTHINGTON ESTATES 2 LOT 82</v>
      </c>
      <c r="D10998" s="1">
        <v>10142.58</v>
      </c>
    </row>
    <row r="10999" spans="1:4" x14ac:dyDescent="0.3">
      <c r="A10999" s="1" t="str">
        <f>"01003770400"</f>
        <v>01003770400</v>
      </c>
      <c r="B10999" s="1" t="str">
        <f>"SAYERS MONTY D JR"</f>
        <v>SAYERS MONTY D JR</v>
      </c>
      <c r="C10999" s="1" t="str">
        <f>"3175 OAKLAWN ST KENMORE KNOLLS LOT 233 SS 232"</f>
        <v>3175 OAKLAWN ST KENMORE KNOLLS LOT 233 SS 232</v>
      </c>
      <c r="D10999" s="1">
        <v>1802.58</v>
      </c>
    </row>
    <row r="11000" spans="1:4" x14ac:dyDescent="0.3">
      <c r="A11000" s="1" t="str">
        <f>"06000782600"</f>
        <v>06000782600</v>
      </c>
      <c r="B11000" s="1" t="str">
        <f>"SAYRE CHRIS, SAYRE SHARON"</f>
        <v>SAYRE CHRIS, SAYRE SHARON</v>
      </c>
      <c r="C11000" s="1" t="str">
        <f>"LEIGHTON DRIVE LEIGHTON VILLAGE SECTION 2 LOT 52"</f>
        <v>LEIGHTON DRIVE LEIGHTON VILLAGE SECTION 2 LOT 52</v>
      </c>
      <c r="D11000" s="1">
        <v>2541.87</v>
      </c>
    </row>
    <row r="11001" spans="1:4" x14ac:dyDescent="0.3">
      <c r="A11001" s="1" t="str">
        <f>"01005243000"</f>
        <v>01005243000</v>
      </c>
      <c r="B11001" s="1" t="str">
        <f>"SCAGGS ROBIN M, TUCKER JOSEPH H"</f>
        <v>SCAGGS ROBIN M, TUCKER JOSEPH H</v>
      </c>
      <c r="C11001" s="1" t="str">
        <f>"121-3 ROYS AVE HILLTOP LOT 42"</f>
        <v>121-3 ROYS AVE HILLTOP LOT 42</v>
      </c>
      <c r="D11001" s="1">
        <v>3905.34</v>
      </c>
    </row>
    <row r="11002" spans="1:4" x14ac:dyDescent="0.3">
      <c r="A11002" s="1" t="str">
        <f>"05000043700"</f>
        <v>05000043700</v>
      </c>
      <c r="B11002" s="1" t="str">
        <f>"SCAPEROTH ANTHONY J, SCAPEROTH PAUL J"</f>
        <v>SCAPEROTH ANTHONY J, SCAPEROTH PAUL J</v>
      </c>
      <c r="C11002" s="1" t="str">
        <f>"4010 LINDA ROAD CONNOR-MC DAVID SUB LOT 27"</f>
        <v>4010 LINDA ROAD CONNOR-MC DAVID SUB LOT 27</v>
      </c>
      <c r="D11002" s="1">
        <v>2681.05</v>
      </c>
    </row>
    <row r="11003" spans="1:4" x14ac:dyDescent="0.3">
      <c r="A11003" s="1" t="str">
        <f>"01006880900"</f>
        <v>01006880900</v>
      </c>
      <c r="B11003" s="1" t="str">
        <f>"SCARPITTI MICHAEL"</f>
        <v>SCARPITTI MICHAEL</v>
      </c>
      <c r="C11003" s="1" t="str">
        <f>"CHESTERSHIRE RD WILSHIRE HTS BLK19 LOT 17"</f>
        <v>CHESTERSHIRE RD WILSHIRE HTS BLK19 LOT 17</v>
      </c>
      <c r="D11003" s="1">
        <v>139</v>
      </c>
    </row>
    <row r="11004" spans="1:4" x14ac:dyDescent="0.3">
      <c r="A11004" s="1" t="str">
        <f>"08000729500"</f>
        <v>08000729500</v>
      </c>
      <c r="B11004" s="1" t="str">
        <f>"SCF RC FUNDING IV LLC"</f>
        <v>SCF RC FUNDING IV LLC</v>
      </c>
      <c r="C11004" s="1" t="str">
        <f>"1240 DEMPSEY RD 1.2325 ACRE R17 T2 S1"</f>
        <v>1240 DEMPSEY RD 1.2325 ACRE R17 T2 S1</v>
      </c>
      <c r="D11004" s="1">
        <v>18668.71</v>
      </c>
    </row>
    <row r="11005" spans="1:4" x14ac:dyDescent="0.3">
      <c r="A11005" s="1" t="str">
        <f>"27300258400"</f>
        <v>27300258400</v>
      </c>
      <c r="B11005" s="1" t="str">
        <f>"SCF RC FUNDING IV LLC"</f>
        <v>SCF RC FUNDING IV LLC</v>
      </c>
      <c r="C11005" s="1" t="str">
        <f>"570 N METRO PLACE PT LOT 2 3.003 ACRES"</f>
        <v>570 N METRO PLACE PT LOT 2 3.003 ACRES</v>
      </c>
      <c r="D11005" s="1">
        <v>116155.67</v>
      </c>
    </row>
    <row r="11006" spans="1:4" x14ac:dyDescent="0.3">
      <c r="A11006" s="1" t="str">
        <f>"01009880300"</f>
        <v>01009880300</v>
      </c>
      <c r="B11006" s="1" t="str">
        <f>"SCF RC FUNDING IV LLC"</f>
        <v>SCF RC FUNDING IV LLC</v>
      </c>
      <c r="C11006" s="1" t="str">
        <f>"KARL RD &amp; RT 161 R18 T2 1/4 T4 LOT 9 .587 ACRE"</f>
        <v>KARL RD &amp; RT 161 R18 T2 1/4 T4 LOT 9 .587 ACRE</v>
      </c>
      <c r="D11006" s="1">
        <v>11366.7</v>
      </c>
    </row>
    <row r="11007" spans="1:4" x14ac:dyDescent="0.3">
      <c r="A11007" s="1" t="str">
        <f>"01001843100"</f>
        <v>01001843100</v>
      </c>
      <c r="B11007" s="1" t="str">
        <f>"SCGG LLC"</f>
        <v>SCGG LLC</v>
      </c>
      <c r="C11007" s="1" t="str">
        <f>"851 LINWOOD AVE STUDER AMD LOT 32"</f>
        <v>851 LINWOOD AVE STUDER AMD LOT 32</v>
      </c>
      <c r="D11007" s="1">
        <v>2810.02</v>
      </c>
    </row>
    <row r="11008" spans="1:4" x14ac:dyDescent="0.3">
      <c r="A11008" s="1" t="str">
        <f>"02501002800"</f>
        <v>02501002800</v>
      </c>
      <c r="B11008" s="1" t="str">
        <f>"SCHABBETT COLUMBUS LLC"</f>
        <v>SCHABBETT COLUMBUS LLC</v>
      </c>
      <c r="C11008" s="1" t="str">
        <f>"CHERRY BOTTOM ROAD CHERRY BOT COMMRS PK PT LT 3=1.619 ACRES"</f>
        <v>CHERRY BOTTOM ROAD CHERRY BOT COMMRS PK PT LT 3=1.619 ACRES</v>
      </c>
      <c r="D11008" s="1">
        <v>37595.67</v>
      </c>
    </row>
    <row r="11009" spans="1:4" x14ac:dyDescent="0.3">
      <c r="A11009" s="1" t="str">
        <f>"59023174700"</f>
        <v>59023174700</v>
      </c>
      <c r="B11009" s="1" t="str">
        <f>"SCHAEFER GEOFFREY K"</f>
        <v>SCHAEFER GEOFFREY K</v>
      </c>
      <c r="C11009" s="1" t="str">
        <f>"TIMBERS EDGE CONDOMINIUM 2ND AMD BLDG 12 UNIT 2518"</f>
        <v>TIMBERS EDGE CONDOMINIUM 2ND AMD BLDG 12 UNIT 2518</v>
      </c>
      <c r="D11009" s="1">
        <v>240.39</v>
      </c>
    </row>
    <row r="11010" spans="1:4" x14ac:dyDescent="0.3">
      <c r="A11010" s="1" t="str">
        <f>"01007772200"</f>
        <v>01007772200</v>
      </c>
      <c r="B11010" s="1" t="str">
        <f>"SCHALL MORGAN ALLISON"</f>
        <v>SCHALL MORGAN ALLISON</v>
      </c>
      <c r="C11010" s="1" t="str">
        <f>"FREBIS AVE LOT 29 "</f>
        <v xml:space="preserve">FREBIS AVE LOT 29 </v>
      </c>
      <c r="D11010" s="1">
        <v>497.32</v>
      </c>
    </row>
    <row r="11011" spans="1:4" x14ac:dyDescent="0.3">
      <c r="A11011" s="1" t="str">
        <f>"07001200900"</f>
        <v>07001200900</v>
      </c>
      <c r="B11011" s="1" t="str">
        <f>"SCHARENBERG SUSAN K TR"</f>
        <v>SCHARENBERG SUSAN K TR</v>
      </c>
      <c r="C11011" s="1" t="str">
        <f>"3821 RUSHMORE DR ORCHARD VIEW L24"</f>
        <v>3821 RUSHMORE DR ORCHARD VIEW L24</v>
      </c>
      <c r="D11011" s="1">
        <v>529.29999999999995</v>
      </c>
    </row>
    <row r="11012" spans="1:4" x14ac:dyDescent="0.3">
      <c r="A11012" s="1" t="str">
        <f>"01004882600"</f>
        <v>01004882600</v>
      </c>
      <c r="B11012" s="1" t="str">
        <f>"SCHEIDERER CHARLES"</f>
        <v>SCHEIDERER CHARLES</v>
      </c>
      <c r="C11012" s="1" t="str">
        <f>"960 CARPENTER ST STEGNER &amp; EHRINGS LOT 14-15"</f>
        <v>960 CARPENTER ST STEGNER &amp; EHRINGS LOT 14-15</v>
      </c>
      <c r="D11012" s="1">
        <v>1316.48</v>
      </c>
    </row>
    <row r="11013" spans="1:4" x14ac:dyDescent="0.3">
      <c r="A11013" s="1" t="str">
        <f>"01006023000"</f>
        <v>01006023000</v>
      </c>
      <c r="B11013" s="1" t="str">
        <f>"SCHEIDERER CHARLES"</f>
        <v>SCHEIDERER CHARLES</v>
      </c>
      <c r="C11013" s="1" t="str">
        <f>"1430 KENMORE PK MAPLE VIEW LOT 73-4"</f>
        <v>1430 KENMORE PK MAPLE VIEW LOT 73-4</v>
      </c>
      <c r="D11013" s="1">
        <v>908.94</v>
      </c>
    </row>
    <row r="11014" spans="1:4" x14ac:dyDescent="0.3">
      <c r="A11014" s="1" t="str">
        <f>"53019595300"</f>
        <v>53019595300</v>
      </c>
      <c r="B11014" s="1" t="str">
        <f>"SCHERMER JOSEPH E JR, SCHERMER PATTI E"</f>
        <v>SCHERMER JOSEPH E JR, SCHERMER PATTI E</v>
      </c>
      <c r="C11014" s="1" t="str">
        <f>"SPANGLER ROAD R21 T11 S7 5.001 ACRES"</f>
        <v>SPANGLER ROAD R21 T11 S7 5.001 ACRES</v>
      </c>
      <c r="D11014" s="1">
        <v>399.42</v>
      </c>
    </row>
    <row r="11015" spans="1:4" x14ac:dyDescent="0.3">
      <c r="A11015" s="1" t="str">
        <f>"27300550200"</f>
        <v>27300550200</v>
      </c>
      <c r="B11015" s="1" t="str">
        <f>"SCHIEFFERLE MATTHEW C TR, SCHIEFFERLE ELLEN C D TR"</f>
        <v>SCHIEFFERLE MATTHEW C TR, SCHIEFFERLE ELLEN C D TR</v>
      </c>
      <c r="C11015" s="1" t="str">
        <f>"KINGSCOTE COURT COVENTRY WOODS SEC 2 LOT 85"</f>
        <v>KINGSCOTE COURT COVENTRY WOODS SEC 2 LOT 85</v>
      </c>
      <c r="D11015" s="1">
        <v>8117.14</v>
      </c>
    </row>
    <row r="11016" spans="1:4" x14ac:dyDescent="0.3">
      <c r="A11016" s="1" t="str">
        <f>"05000643300"</f>
        <v>05000643300</v>
      </c>
      <c r="B11016" s="1" t="str">
        <f>"SCHIFF ZACHARY MICHAEL, SCHIFF MORGAN PAIGE"</f>
        <v>SCHIFF ZACHARY MICHAEL, SCHIFF MORGAN PAIGE</v>
      </c>
      <c r="C11016" s="1" t="str">
        <f>"4634CRESSINGHURST CT CARRINGTON PLACE SECTION 2 LOT 76"</f>
        <v>4634CRESSINGHURST CT CARRINGTON PLACE SECTION 2 LOT 76</v>
      </c>
      <c r="D11016" s="1">
        <v>9215.5400000000009</v>
      </c>
    </row>
    <row r="11017" spans="1:4" x14ac:dyDescent="0.3">
      <c r="A11017" s="1" t="str">
        <f>"01005637100"</f>
        <v>01005637100</v>
      </c>
      <c r="B11017" s="1" t="str">
        <f>"SCHILLING FREDRICK, FOLCHI NATALIE, SCHILLING STEPHEN"</f>
        <v>SCHILLING FREDRICK, FOLCHI NATALIE, SCHILLING STEPHEN</v>
      </c>
      <c r="C11017" s="1" t="str">
        <f>"308 JACKSON ST GRIGGMAN 80'SE LOT 3"</f>
        <v>308 JACKSON ST GRIGGMAN 80'SE LOT 3</v>
      </c>
      <c r="D11017" s="1">
        <v>6358.43</v>
      </c>
    </row>
    <row r="11018" spans="1:4" x14ac:dyDescent="0.3">
      <c r="A11018" s="1" t="str">
        <f>"01009633900"</f>
        <v>01009633900</v>
      </c>
      <c r="B11018" s="1" t="str">
        <f>"SCHILLINGS BEVERLY S"</f>
        <v>SCHILLINGS BEVERLY S</v>
      </c>
      <c r="C11018" s="1" t="str">
        <f>"GERBERT RD OAK PK 3 LOT 43"</f>
        <v>GERBERT RD OAK PK 3 LOT 43</v>
      </c>
      <c r="D11018" s="1">
        <v>2049.1799999999998</v>
      </c>
    </row>
    <row r="11019" spans="1:4" x14ac:dyDescent="0.3">
      <c r="A11019" s="1" t="str">
        <f>"01009751400"</f>
        <v>01009751400</v>
      </c>
      <c r="B11019" s="1" t="str">
        <f>"SCHILTZ VIC T"</f>
        <v>SCHILTZ VIC T</v>
      </c>
      <c r="C11019" s="1" t="str">
        <f>"PAULINE AVE KINGSWOOD ESTATES LOT 158"</f>
        <v>PAULINE AVE KINGSWOOD ESTATES LOT 158</v>
      </c>
      <c r="D11019" s="1">
        <v>143.78</v>
      </c>
    </row>
    <row r="11020" spans="1:4" x14ac:dyDescent="0.3">
      <c r="A11020" s="1" t="str">
        <f>"01000740300"</f>
        <v>01000740300</v>
      </c>
      <c r="B11020" s="1" t="str">
        <f>"SCHIRTZINGER ED, SCHIRTZINGER DIANE C"</f>
        <v>SCHIRTZINGER ED, SCHIRTZINGER DIANE C</v>
      </c>
      <c r="C11020" s="1" t="str">
        <f>"239 S HARRIS AVE WICKLOW EXT LOT 680"</f>
        <v>239 S HARRIS AVE WICKLOW EXT LOT 680</v>
      </c>
      <c r="D11020" s="1">
        <v>83.49</v>
      </c>
    </row>
    <row r="11021" spans="1:4" x14ac:dyDescent="0.3">
      <c r="A11021" s="1" t="str">
        <f>"01004925300"</f>
        <v>01004925300</v>
      </c>
      <c r="B11021" s="1" t="str">
        <f>"SCHIRTZINGER ED, SCHIRTZINGER DIANE C"</f>
        <v>SCHIRTZINGER ED, SCHIRTZINGER DIANE C</v>
      </c>
      <c r="C11021" s="1" t="str">
        <f>"81 TERRACE AVE LANDSCAPE LOT 121"</f>
        <v>81 TERRACE AVE LANDSCAPE LOT 121</v>
      </c>
      <c r="D11021" s="1">
        <v>112.42</v>
      </c>
    </row>
    <row r="11022" spans="1:4" x14ac:dyDescent="0.3">
      <c r="A11022" s="1" t="str">
        <f>"03000104000"</f>
        <v>03000104000</v>
      </c>
      <c r="B11022" s="1" t="str">
        <f>"SCHIRTZINGER EDWARD D"</f>
        <v>SCHIRTZINGER EDWARD D</v>
      </c>
      <c r="C11022" s="1" t="str">
        <f>"889-891 COPELAND RD PT LOTS 329-330 NORTHWEST BLVD 4"</f>
        <v>889-891 COPELAND RD PT LOTS 329-330 NORTHWEST BLVD 4</v>
      </c>
      <c r="D11022" s="1">
        <v>470.23</v>
      </c>
    </row>
    <row r="11023" spans="1:4" x14ac:dyDescent="0.3">
      <c r="A11023" s="1" t="str">
        <f>"01002844200"</f>
        <v>01002844200</v>
      </c>
      <c r="B11023" s="1" t="str">
        <f>"SCHIRTZINGER EDWARD D, SCHIRTZINGER DIANE C"</f>
        <v>SCHIRTZINGER EDWARD D, SCHIRTZINGER DIANE C</v>
      </c>
      <c r="C11023" s="1" t="str">
        <f>"277-279 SKIDMORE ST POPE &amp; ELLERMAN ALL LOT 40 &amp; PT 39"</f>
        <v>277-279 SKIDMORE ST POPE &amp; ELLERMAN ALL LOT 40 &amp; PT 39</v>
      </c>
      <c r="D11023" s="1">
        <v>105.17</v>
      </c>
    </row>
    <row r="11024" spans="1:4" x14ac:dyDescent="0.3">
      <c r="A11024" s="1" t="str">
        <f>"01003079100"</f>
        <v>01003079100</v>
      </c>
      <c r="B11024" s="1" t="str">
        <f>"SCHIRTZINGER EDWARD D, SCHIRTZINGER DIANE C"</f>
        <v>SCHIRTZINGER EDWARD D, SCHIRTZINGER DIANE C</v>
      </c>
      <c r="C11024" s="1" t="str">
        <f>"65-67 N GUILFORD AVE GUILFORD PARK LOT 35"</f>
        <v>65-67 N GUILFORD AVE GUILFORD PARK LOT 35</v>
      </c>
      <c r="D11024" s="1">
        <v>149.27000000000001</v>
      </c>
    </row>
    <row r="11025" spans="1:4" x14ac:dyDescent="0.3">
      <c r="A11025" s="1" t="str">
        <f>"01000889100"</f>
        <v>01000889100</v>
      </c>
      <c r="B11025" s="1" t="str">
        <f>"SCHIRTZINGER EDWARD D, SCHIRTZINGER DIANE C"</f>
        <v>SCHIRTZINGER EDWARD D, SCHIRTZINGER DIANE C</v>
      </c>
      <c r="C11025" s="1" t="str">
        <f>"54 S CENTRAL AVE N L DORENS CENTRAL A LOT 20"</f>
        <v>54 S CENTRAL AVE N L DORENS CENTRAL A LOT 20</v>
      </c>
      <c r="D11025" s="1">
        <v>140.84</v>
      </c>
    </row>
    <row r="11026" spans="1:4" x14ac:dyDescent="0.3">
      <c r="A11026" s="1" t="str">
        <f>"01003196300"</f>
        <v>01003196300</v>
      </c>
      <c r="B11026" s="1" t="str">
        <f>"SCHIRTZINGER EDWARD D, SCHIRTZINGER DIANE C"</f>
        <v>SCHIRTZINGER EDWARD D, SCHIRTZINGER DIANE C</v>
      </c>
      <c r="C11026" s="1" t="str">
        <f>"50-2 SCHULTZ BELMONT LOT 111"</f>
        <v>50-2 SCHULTZ BELMONT LOT 111</v>
      </c>
      <c r="D11026" s="1">
        <v>48.01</v>
      </c>
    </row>
    <row r="11027" spans="1:4" x14ac:dyDescent="0.3">
      <c r="A11027" s="1" t="str">
        <f>"01001831100"</f>
        <v>01001831100</v>
      </c>
      <c r="B11027" s="1" t="str">
        <f>"SCHIRTZINGER EDWARD D, SCHIRTZINGER DIANE C"</f>
        <v>SCHIRTZINGER EDWARD D, SCHIRTZINGER DIANE C</v>
      </c>
      <c r="C11027" s="1" t="str">
        <f>"393-395 MARKISON AVE KAUTZ LOT 24"</f>
        <v>393-395 MARKISON AVE KAUTZ LOT 24</v>
      </c>
      <c r="D11027" s="1">
        <v>303.76</v>
      </c>
    </row>
    <row r="11028" spans="1:4" x14ac:dyDescent="0.3">
      <c r="A11028" s="1" t="str">
        <f>"01004002700"</f>
        <v>01004002700</v>
      </c>
      <c r="B11028" s="1" t="str">
        <f>"SCHIRTZINGER EDWARD D, SCHIRTZINGER DIANE C"</f>
        <v>SCHIRTZINGER EDWARD D, SCHIRTZINGER DIANE C</v>
      </c>
      <c r="C11028" s="1" t="str">
        <f>"121-123 HAGUE AVE CAMP CHASE HTS LOT 427"</f>
        <v>121-123 HAGUE AVE CAMP CHASE HTS LOT 427</v>
      </c>
      <c r="D11028" s="1">
        <v>127.89</v>
      </c>
    </row>
    <row r="11029" spans="1:4" x14ac:dyDescent="0.3">
      <c r="A11029" s="1" t="str">
        <f>"01002301400"</f>
        <v>01002301400</v>
      </c>
      <c r="B11029" s="1" t="str">
        <f>"SCHIRTZINGER EDWARD D, SCHIRTZINGER DIANE C"</f>
        <v>SCHIRTZINGER EDWARD D, SCHIRTZINGER DIANE C</v>
      </c>
      <c r="C11029" s="1" t="str">
        <f>"203-5-7-9 S HARRIS WICKLOW EXT LOT 687-8-9"</f>
        <v>203-5-7-9 S HARRIS WICKLOW EXT LOT 687-8-9</v>
      </c>
      <c r="D11029" s="1">
        <v>223.93</v>
      </c>
    </row>
    <row r="11030" spans="1:4" x14ac:dyDescent="0.3">
      <c r="A11030" s="1" t="str">
        <f>"01004180000"</f>
        <v>01004180000</v>
      </c>
      <c r="B11030" s="1" t="str">
        <f>"SCHIRTZINGER EDWARD D, SCHIRTZINGER DIANE C"</f>
        <v>SCHIRTZINGER EDWARD D, SCHIRTZINGER DIANE C</v>
      </c>
      <c r="C11030" s="1" t="str">
        <f>"2749 PALMETTO AVE 37 FT WE 688-9 WICKLOW EX LOT 688-9"</f>
        <v>2749 PALMETTO AVE 37 FT WE 688-9 WICKLOW EX LOT 688-9</v>
      </c>
      <c r="D11030" s="1">
        <v>125.31</v>
      </c>
    </row>
    <row r="11031" spans="1:4" x14ac:dyDescent="0.3">
      <c r="A11031" s="1" t="str">
        <f>"01001773000"</f>
        <v>01001773000</v>
      </c>
      <c r="B11031" s="1" t="str">
        <f>"SCHIRTZINGER EDWARD D, SCHIRTZINGER DIANE C"</f>
        <v>SCHIRTZINGER EDWARD D, SCHIRTZINGER DIANE C</v>
      </c>
      <c r="C11031" s="1" t="str">
        <f>"61 BREHL AVE N L DOREN CENTRAL LOT 38"</f>
        <v>61 BREHL AVE N L DOREN CENTRAL LOT 38</v>
      </c>
      <c r="D11031" s="1">
        <v>150.65</v>
      </c>
    </row>
    <row r="11032" spans="1:4" x14ac:dyDescent="0.3">
      <c r="A11032" s="1" t="str">
        <f>"01006426900"</f>
        <v>01006426900</v>
      </c>
      <c r="B11032" s="1" t="str">
        <f>"SCHIRTZINGER EDWARD D, SCHIRTZINGER DIANE C"</f>
        <v>SCHIRTZINGER EDWARD D, SCHIRTZINGER DIANE C</v>
      </c>
      <c r="C11032" s="1" t="str">
        <f>"26 S POWELL AVE CAMP CHASE HTS AMD LOT 692"</f>
        <v>26 S POWELL AVE CAMP CHASE HTS AMD LOT 692</v>
      </c>
      <c r="D11032" s="1">
        <v>199.49</v>
      </c>
    </row>
    <row r="11033" spans="1:4" x14ac:dyDescent="0.3">
      <c r="A11033" s="1" t="str">
        <f>"01004549100"</f>
        <v>01004549100</v>
      </c>
      <c r="B11033" s="1" t="str">
        <f>"SCHIRTZINGER EDWARD D, SCHIRTZINGER DIANE C"</f>
        <v>SCHIRTZINGER EDWARD D, SCHIRTZINGER DIANE C</v>
      </c>
      <c r="C11033" s="1" t="str">
        <f>"52-4 NEFF ST MONYPENY LOT 27"</f>
        <v>52-4 NEFF ST MONYPENY LOT 27</v>
      </c>
      <c r="D11033" s="1">
        <v>290.13</v>
      </c>
    </row>
    <row r="11034" spans="1:4" x14ac:dyDescent="0.3">
      <c r="A11034" s="1" t="str">
        <f>"01002989300"</f>
        <v>01002989300</v>
      </c>
      <c r="B11034" s="1" t="str">
        <f>"SCHIRTZINGER EDWARD D, SCHIRTZINGER DIANE C"</f>
        <v>SCHIRTZINGER EDWARD D, SCHIRTZINGER DIANE C</v>
      </c>
      <c r="C11034" s="1" t="str">
        <f>"53 S HARRIS AVE WICKLOW EXT LOT 722"</f>
        <v>53 S HARRIS AVE WICKLOW EXT LOT 722</v>
      </c>
      <c r="D11034" s="1">
        <v>99.99</v>
      </c>
    </row>
    <row r="11035" spans="1:4" x14ac:dyDescent="0.3">
      <c r="A11035" s="1" t="str">
        <f>"20000262500"</f>
        <v>20000262500</v>
      </c>
      <c r="B11035" s="1" t="str">
        <f>"SCHIRTZINGER EDWARD D, SCHIRTZINGER DIANE C"</f>
        <v>SCHIRTZINGER EDWARD D, SCHIRTZINGER DIANE C</v>
      </c>
      <c r="C11035" s="1" t="str">
        <f>"SCHIRTZINGER RD ACRES .654 ENTRY 1406"</f>
        <v>SCHIRTZINGER RD ACRES .654 ENTRY 1406</v>
      </c>
      <c r="D11035" s="1">
        <v>483.63</v>
      </c>
    </row>
    <row r="11036" spans="1:4" x14ac:dyDescent="0.3">
      <c r="A11036" s="1" t="str">
        <f>"18000131500"</f>
        <v>18000131500</v>
      </c>
      <c r="B11036" s="1" t="str">
        <f>"SCHLAEGEL R K"</f>
        <v>SCHLAEGEL R K</v>
      </c>
      <c r="C11036" s="1" t="str">
        <f>"RICHARDSON ROAD HOMESTEAD SPRINGS LOT 4"</f>
        <v>RICHARDSON ROAD HOMESTEAD SPRINGS LOT 4</v>
      </c>
      <c r="D11036" s="1">
        <v>3384.34</v>
      </c>
    </row>
    <row r="11037" spans="1:4" x14ac:dyDescent="0.3">
      <c r="A11037" s="1" t="str">
        <f>"18000014300"</f>
        <v>18000014300</v>
      </c>
      <c r="B11037" s="1" t="str">
        <f>"SCHLAEGEL RICHARD K TTEE, SCHLAEGEL ROBERT M, SCHLAEGEL FREDERICK C, SCHLAEGEL RAYMOND E, SCHLAEGEL RICHARD K"</f>
        <v>SCHLAEGEL RICHARD K TTEE, SCHLAEGEL ROBERT M, SCHLAEGEL FREDERICK C, SCHLAEGEL RAYMOND E, SCHLAEGEL RICHARD K</v>
      </c>
      <c r="C11037" s="1" t="str">
        <f>"4389 HAYES RD 1.073 AC R 20 T 10 S 3"</f>
        <v>4389 HAYES RD 1.073 AC R 20 T 10 S 3</v>
      </c>
      <c r="D11037" s="1">
        <v>238.48</v>
      </c>
    </row>
    <row r="11038" spans="1:4" x14ac:dyDescent="0.3">
      <c r="A11038" s="1" t="str">
        <f>"18000026600"</f>
        <v>18000026600</v>
      </c>
      <c r="B11038" s="1" t="str">
        <f>"SCHLAEGEL RICHARD K TTEE, SCHLAEGEL ROBERT M, SCHLAEGEL FREDERICK C, SCHLAEGEL RAYMOND E, SCHLAEGEL RICHARD K"</f>
        <v>SCHLAEGEL RICHARD K TTEE, SCHLAEGEL ROBERT M, SCHLAEGEL FREDERICK C, SCHLAEGEL RAYMOND E, SCHLAEGEL RICHARD K</v>
      </c>
      <c r="C11038" s="1" t="str">
        <f>"5678 HAYES RD R21 T10 S3 7.393 ACRES"</f>
        <v>5678 HAYES RD R21 T10 S3 7.393 ACRES</v>
      </c>
      <c r="D11038" s="1">
        <v>3817.65</v>
      </c>
    </row>
    <row r="11039" spans="1:4" x14ac:dyDescent="0.3">
      <c r="A11039" s="1" t="str">
        <f>"01009715500"</f>
        <v>01009715500</v>
      </c>
      <c r="B11039" s="1" t="str">
        <f>"SCHLANGER WILLIAM R JR"</f>
        <v>SCHLANGER WILLIAM R JR</v>
      </c>
      <c r="C11039" s="1" t="str">
        <f>"HAMPSHIRE RD EASTMOOR-SO LOT 67"</f>
        <v>HAMPSHIRE RD EASTMOOR-SO LOT 67</v>
      </c>
      <c r="D11039" s="1">
        <v>154.87</v>
      </c>
    </row>
    <row r="11040" spans="1:4" x14ac:dyDescent="0.3">
      <c r="A11040" s="1" t="str">
        <f>"01000284900"</f>
        <v>01000284900</v>
      </c>
      <c r="B11040" s="1" t="str">
        <f>"SCHLANGER WILLIAM R JR"</f>
        <v>SCHLANGER WILLIAM R JR</v>
      </c>
      <c r="C11040" s="1" t="str">
        <f>"488 W 3RD AVE             WASHINGTON PLC            LOT 48                   "</f>
        <v xml:space="preserve">488 W 3RD AVE             WASHINGTON PLC            LOT 48                   </v>
      </c>
      <c r="D11040" s="1">
        <v>256.91000000000003</v>
      </c>
    </row>
    <row r="11041" spans="1:4" x14ac:dyDescent="0.3">
      <c r="A11041" s="1" t="str">
        <f>"01014424500"</f>
        <v>01014424500</v>
      </c>
      <c r="B11041" s="1" t="str">
        <f>"SCHLANGER WILLIAM R JR"</f>
        <v>SCHLANGER WILLIAM R JR</v>
      </c>
      <c r="C11041" s="1" t="str">
        <f>"2775 BROWNFIELD MAYBURY LOT 2"</f>
        <v>2775 BROWNFIELD MAYBURY LOT 2</v>
      </c>
      <c r="D11041" s="1">
        <v>148.44</v>
      </c>
    </row>
    <row r="11042" spans="1:4" x14ac:dyDescent="0.3">
      <c r="A11042" s="1" t="str">
        <f>"01001176100"</f>
        <v>01001176100</v>
      </c>
      <c r="B11042" s="1" t="str">
        <f>"SCHLANGER WILLIAM R, SCHLANGER CHRISTY A"</f>
        <v>SCHLANGER WILLIAM R, SCHLANGER CHRISTY A</v>
      </c>
      <c r="C11042" s="1" t="str">
        <f>"182 HANFORD ST MITHOFF LOT 216"</f>
        <v>182 HANFORD ST MITHOFF LOT 216</v>
      </c>
      <c r="D11042" s="1">
        <v>192.36</v>
      </c>
    </row>
    <row r="11043" spans="1:4" x14ac:dyDescent="0.3">
      <c r="A11043" s="1" t="str">
        <f>"07000114000"</f>
        <v>07000114000</v>
      </c>
      <c r="B11043" s="1" t="str">
        <f>"SCHLEGEL JONATHAN JAMES, BROWN SCHLEGEL AMY"</f>
        <v>SCHLEGEL JONATHAN JAMES, BROWN SCHLEGEL AMY</v>
      </c>
      <c r="C11043" s="1" t="str">
        <f>"2561 CAMDEN RD GUILFORD PLACE LOT 9"</f>
        <v>2561 CAMDEN RD GUILFORD PLACE LOT 9</v>
      </c>
      <c r="D11043" s="1">
        <v>19738.53</v>
      </c>
    </row>
    <row r="11044" spans="1:4" x14ac:dyDescent="0.3">
      <c r="A11044" s="1" t="str">
        <f>"01008398900"</f>
        <v>01008398900</v>
      </c>
      <c r="B11044" s="1" t="str">
        <f>"SCHLOSSER JACOB A, SCHLOSSER KATHLEEN C"</f>
        <v>SCHLOSSER JACOB A, SCHLOSSER KATHLEEN C</v>
      </c>
      <c r="C11044" s="1" t="str">
        <f>"RUSTIC PLACE BEECHWOLD LOT 126"</f>
        <v>RUSTIC PLACE BEECHWOLD LOT 126</v>
      </c>
      <c r="D11044" s="1">
        <v>369.39</v>
      </c>
    </row>
    <row r="11045" spans="1:4" x14ac:dyDescent="0.3">
      <c r="A11045" s="1" t="str">
        <f>"21300153400"</f>
        <v>21300153400</v>
      </c>
      <c r="B11045" s="1" t="str">
        <f>"SCHMIDT IAN, SCHMIDT NATALIE"</f>
        <v>SCHMIDT IAN, SCHMIDT NATALIE</v>
      </c>
      <c r="C11045" s="1" t="str">
        <f>"CLUBVIEW BLVD WORTHINGTON HILLS 1 LOT 78"</f>
        <v>CLUBVIEW BLVD WORTHINGTON HILLS 1 LOT 78</v>
      </c>
      <c r="D11045" s="1">
        <v>6758.7</v>
      </c>
    </row>
    <row r="11046" spans="1:4" x14ac:dyDescent="0.3">
      <c r="A11046" s="1" t="str">
        <f>"01002512400"</f>
        <v>01002512400</v>
      </c>
      <c r="B11046" s="1" t="str">
        <f>"SCHMIDT MAGALLY"</f>
        <v>SCHMIDT MAGALLY</v>
      </c>
      <c r="C11046" s="1" t="str">
        <f>"BELVIDERE AVE GLENWOOD HTS LOT 124"</f>
        <v>BELVIDERE AVE GLENWOOD HTS LOT 124</v>
      </c>
      <c r="D11046" s="1">
        <v>55.96</v>
      </c>
    </row>
    <row r="11047" spans="1:4" x14ac:dyDescent="0.3">
      <c r="A11047" s="1" t="str">
        <f>"19000008400"</f>
        <v>19000008400</v>
      </c>
      <c r="B11047" s="1" t="str">
        <f>"SCHMITT INVESTMENTS LLC"</f>
        <v>SCHMITT INVESTMENTS LLC</v>
      </c>
      <c r="C11047" s="1" t="str">
        <f>"2610 FERRIS PIKE R17 TWP 1 T 2 1.84 ACRES LOT 1"</f>
        <v>2610 FERRIS PIKE R17 TWP 1 T 2 1.84 ACRES LOT 1</v>
      </c>
      <c r="D11047" s="1">
        <v>1547.19</v>
      </c>
    </row>
    <row r="11048" spans="1:4" x14ac:dyDescent="0.3">
      <c r="A11048" s="1" t="str">
        <f>"27300001900"</f>
        <v>27300001900</v>
      </c>
      <c r="B11048" s="1" t="str">
        <f>"SCHMITT KURT, SCHMITT MARY ANN"</f>
        <v>SCHMITT KURT, SCHMITT MARY ANN</v>
      </c>
      <c r="C11048" s="1" t="str">
        <f>"LOWER ST LOT 100 "</f>
        <v xml:space="preserve">LOWER ST LOT 100 </v>
      </c>
      <c r="D11048" s="1">
        <v>855.27</v>
      </c>
    </row>
    <row r="11049" spans="1:4" x14ac:dyDescent="0.3">
      <c r="A11049" s="1" t="str">
        <f>"01026875500"</f>
        <v>01026875500</v>
      </c>
      <c r="B11049" s="1" t="str">
        <f>"SCHMITZER CODY J, SCHMITZER JOSEPH PAUL"</f>
        <v>SCHMITZER CODY J, SCHMITZER JOSEPH PAUL</v>
      </c>
      <c r="C11049" s="1" t="str">
        <f>"THE EXCHANGE URBAN LOFTS  CONDOMINIUM               UNIT 406                 "</f>
        <v xml:space="preserve">THE EXCHANGE URBAN LOFTS  CONDOMINIUM               UNIT 406                 </v>
      </c>
      <c r="D11049" s="1">
        <v>1618.82</v>
      </c>
    </row>
    <row r="11050" spans="1:4" x14ac:dyDescent="0.3">
      <c r="A11050" s="1" t="str">
        <f>"59017255700"</f>
        <v>59017255700</v>
      </c>
      <c r="B11050" s="1" t="str">
        <f>"SCHNALL ROBERTA L TR"</f>
        <v>SCHNALL ROBERTA L TR</v>
      </c>
      <c r="C11050" s="1" t="str">
        <f>"RIVERSIDE GREEN RIVERSIDE HILL SEC 3 LOT 86"</f>
        <v>RIVERSIDE GREEN RIVERSIDE HILL SEC 3 LOT 86</v>
      </c>
      <c r="D11050" s="1">
        <v>6646.31</v>
      </c>
    </row>
    <row r="11051" spans="1:4" x14ac:dyDescent="0.3">
      <c r="A11051" s="1" t="str">
        <f>"01013033600"</f>
        <v>01013033600</v>
      </c>
      <c r="B11051" s="1" t="str">
        <f>"SCHNEIDER DARYL L, SCHNEIDER PAMELA F"</f>
        <v>SCHNEIDER DARYL L, SCHNEIDER PAMELA F</v>
      </c>
      <c r="C11051" s="1" t="str">
        <f>"KARL RD KARL MEADOWS LOT 133"</f>
        <v>KARL RD KARL MEADOWS LOT 133</v>
      </c>
      <c r="D11051" s="1">
        <v>550</v>
      </c>
    </row>
    <row r="11052" spans="1:4" x14ac:dyDescent="0.3">
      <c r="A11052" s="1" t="str">
        <f>"07000724500"</f>
        <v>07000724500</v>
      </c>
      <c r="B11052" s="1" t="str">
        <f>"SCHNEIDER JEFFREY T"</f>
        <v>SCHNEIDER JEFFREY T</v>
      </c>
      <c r="C11052" s="1" t="str">
        <f>"KENYON RD TREMONT PL LOT 52"</f>
        <v>KENYON RD TREMONT PL LOT 52</v>
      </c>
      <c r="D11052" s="1">
        <v>337.04</v>
      </c>
    </row>
    <row r="11053" spans="1:4" x14ac:dyDescent="0.3">
      <c r="A11053" s="1" t="str">
        <f>"07001208800"</f>
        <v>07001208800</v>
      </c>
      <c r="B11053" s="1" t="str">
        <f>"SCHNEIDER JEFFREY, SCHNEIDER CARYN"</f>
        <v>SCHNEIDER JEFFREY, SCHNEIDER CARYN</v>
      </c>
      <c r="C11053" s="1" t="str">
        <f>"1770 IVANHOE CT CHAUCER GREENS LOT 7"</f>
        <v>1770 IVANHOE CT CHAUCER GREENS LOT 7</v>
      </c>
      <c r="D11053" s="1">
        <v>639.53</v>
      </c>
    </row>
    <row r="11054" spans="1:4" x14ac:dyDescent="0.3">
      <c r="A11054" s="1" t="str">
        <f>"14000508900"</f>
        <v>14000508900</v>
      </c>
      <c r="B11054" s="1" t="str">
        <f>"SCHNEIDER JOHN S JR, SCHNEIDER PENNY L"</f>
        <v>SCHNEIDER JOHN S JR, SCHNEIDER PENNY L</v>
      </c>
      <c r="C11054" s="1" t="str">
        <f>"1837 RANSBURG AVE SUSAN LOVINGS LOT 19 "</f>
        <v xml:space="preserve">1837 RANSBURG AVE SUSAN LOVINGS LOT 19 </v>
      </c>
      <c r="D11054" s="1">
        <v>1458.51</v>
      </c>
    </row>
    <row r="11055" spans="1:4" x14ac:dyDescent="0.3">
      <c r="A11055" s="1" t="str">
        <f>"01026792400"</f>
        <v>01026792400</v>
      </c>
      <c r="B11055" s="1" t="str">
        <f>"SCHNEIDER PEGGY A"</f>
        <v>SCHNEIDER PEGGY A</v>
      </c>
      <c r="C11055" s="1" t="str">
        <f>"BLENDON RESERVE CONDOMINIUM 5TH AMD UNIT 20-3994"</f>
        <v>BLENDON RESERVE CONDOMINIUM 5TH AMD UNIT 20-3994</v>
      </c>
      <c r="D11055" s="1">
        <v>179.33</v>
      </c>
    </row>
    <row r="11056" spans="1:4" x14ac:dyDescent="0.3">
      <c r="A11056" s="1" t="str">
        <f>"01016222500"</f>
        <v>01016222500</v>
      </c>
      <c r="B11056" s="1" t="str">
        <f>"SCHOCK NICOLE S"</f>
        <v>SCHOCK NICOLE S</v>
      </c>
      <c r="C11056" s="1" t="str">
        <f>"LILACWOOD AVE FOREST PARK EAST S12 LOT 1428"</f>
        <v>LILACWOOD AVE FOREST PARK EAST S12 LOT 1428</v>
      </c>
      <c r="D11056" s="1">
        <v>1932.11</v>
      </c>
    </row>
    <row r="11057" spans="1:4" x14ac:dyDescent="0.3">
      <c r="A11057" s="1" t="str">
        <f>"01012231800"</f>
        <v>01012231800</v>
      </c>
      <c r="B11057" s="1" t="str">
        <f>"SCHOENMAN MARGARET M"</f>
        <v>SCHOENMAN MARGARET M</v>
      </c>
      <c r="C11057" s="1" t="str">
        <f>"SAVANNAH DR GEORGIAN HTS 2 RES B"</f>
        <v>SAVANNAH DR GEORGIAN HTS 2 RES B</v>
      </c>
      <c r="D11057" s="1">
        <v>107.79</v>
      </c>
    </row>
    <row r="11058" spans="1:4" x14ac:dyDescent="0.3">
      <c r="A11058" s="1" t="str">
        <f>"01007787500"</f>
        <v>01007787500</v>
      </c>
      <c r="B11058" s="1" t="str">
        <f>"SCHOFIELD JILL A"</f>
        <v>SCHOFIELD JILL A</v>
      </c>
      <c r="C11058" s="1" t="str">
        <f>"70 FT NS 342 BIESCH &amp; KRAMER &amp; LOT 38 BLEILES SUB"</f>
        <v>70 FT NS 342 BIESCH &amp; KRAMER &amp; LOT 38 BLEILES SUB</v>
      </c>
      <c r="D11058" s="1">
        <v>1029.67</v>
      </c>
    </row>
    <row r="11059" spans="1:4" x14ac:dyDescent="0.3">
      <c r="A11059" s="1" t="str">
        <f>"01023061300"</f>
        <v>01023061300</v>
      </c>
      <c r="B11059" s="1" t="str">
        <f>"SCHOLZ JEAN A"</f>
        <v>SCHOLZ JEAN A</v>
      </c>
      <c r="C11059" s="1" t="str">
        <f>"MCNEILL FARMS EAST CONDOMINIUM 5TH AMD UNIT 50B"</f>
        <v>MCNEILL FARMS EAST CONDOMINIUM 5TH AMD UNIT 50B</v>
      </c>
      <c r="D11059" s="1">
        <v>26.87</v>
      </c>
    </row>
    <row r="11060" spans="1:4" x14ac:dyDescent="0.3">
      <c r="A11060" s="1" t="str">
        <f>"09000521400"</f>
        <v>09000521400</v>
      </c>
      <c r="B11060" s="1" t="str">
        <f>"SCHOPPELREI PROPERTIES LLC"</f>
        <v>SCHOPPELREI PROPERTIES LLC</v>
      </c>
      <c r="C11060" s="1" t="str">
        <f>"4464 E MAIN ST PT 6 BERNHARD "</f>
        <v xml:space="preserve">4464 E MAIN ST PT 6 BERNHARD </v>
      </c>
      <c r="D11060" s="1">
        <v>335.72</v>
      </c>
    </row>
    <row r="11061" spans="1:4" x14ac:dyDescent="0.3">
      <c r="A11061" s="1" t="str">
        <f>"12000118500"</f>
        <v>12000118500</v>
      </c>
      <c r="B11061" s="1" t="str">
        <f>"SCHOREJS ERIKA C, SCHOREJS JOHN R"</f>
        <v>SCHOREJS ERIKA C, SCHOREJS JOHN R</v>
      </c>
      <c r="C11061" s="1" t="str">
        <f>"DARBY KNOLL BOULEVARD DARBY KNOLLS LOT 12  4.657 ACRES"</f>
        <v>DARBY KNOLL BOULEVARD DARBY KNOLLS LOT 12  4.657 ACRES</v>
      </c>
      <c r="D11061" s="1">
        <v>8641.9699999999993</v>
      </c>
    </row>
    <row r="11062" spans="1:4" x14ac:dyDescent="0.3">
      <c r="A11062" s="1" t="str">
        <f>"59019872100"</f>
        <v>59019872100</v>
      </c>
      <c r="B11062" s="1" t="str">
        <f>"SCHOSSER DOUG, SCHOSSER ROBIN MICHELLE"</f>
        <v>SCHOSSER DOUG, SCHOSSER ROBIN MICHELLE</v>
      </c>
      <c r="C11062" s="1" t="str">
        <f>"QUARRY LANE QUARRY ON SCIOTO LOT 1"</f>
        <v>QUARRY LANE QUARRY ON SCIOTO LOT 1</v>
      </c>
      <c r="D11062" s="1">
        <v>10637.13</v>
      </c>
    </row>
    <row r="11063" spans="1:4" x14ac:dyDescent="0.3">
      <c r="A11063" s="1" t="str">
        <f>"20332752000"</f>
        <v>20332752000</v>
      </c>
      <c r="B11063" s="1" t="str">
        <f>"SCHOTTENSTEIN HOMES OF RENNER PARK LLC"</f>
        <v>SCHOTTENSTEIN HOMES OF RENNER PARK LLC</v>
      </c>
      <c r="C11063" s="1" t="str">
        <f>"RENNER PARK SECTION 3 LOT 108"</f>
        <v>RENNER PARK SECTION 3 LOT 108</v>
      </c>
      <c r="D11063" s="1">
        <v>200.45</v>
      </c>
    </row>
    <row r="11064" spans="1:4" x14ac:dyDescent="0.3">
      <c r="A11064" s="1" t="str">
        <f>"20332752700"</f>
        <v>20332752700</v>
      </c>
      <c r="B11064" s="1" t="str">
        <f>"SCHOTTENSTEIN HOMES OF RENNER PARK LLC"</f>
        <v>SCHOTTENSTEIN HOMES OF RENNER PARK LLC</v>
      </c>
      <c r="C11064" s="1" t="str">
        <f>"RENNER PARK SECTION 3 LOT 115"</f>
        <v>RENNER PARK SECTION 3 LOT 115</v>
      </c>
      <c r="D11064" s="1">
        <v>144.28</v>
      </c>
    </row>
    <row r="11065" spans="1:4" x14ac:dyDescent="0.3">
      <c r="A11065" s="1" t="str">
        <f>"20332752800"</f>
        <v>20332752800</v>
      </c>
      <c r="B11065" s="1" t="str">
        <f>"SCHOTTENSTEIN HOMES OF RENNER PARK LLC"</f>
        <v>SCHOTTENSTEIN HOMES OF RENNER PARK LLC</v>
      </c>
      <c r="C11065" s="1" t="str">
        <f>"RENNER PARK SECTION 3 LOT 116"</f>
        <v>RENNER PARK SECTION 3 LOT 116</v>
      </c>
      <c r="D11065" s="1">
        <v>144.28</v>
      </c>
    </row>
    <row r="11066" spans="1:4" x14ac:dyDescent="0.3">
      <c r="A11066" s="1" t="str">
        <f>"20332753100"</f>
        <v>20332753100</v>
      </c>
      <c r="B11066" s="1" t="str">
        <f>"SCHOTTENSTEIN HOMES OF RENNER PARK LLC"</f>
        <v>SCHOTTENSTEIN HOMES OF RENNER PARK LLC</v>
      </c>
      <c r="C11066" s="1" t="str">
        <f>"RENNER PARK SECTION 3 LOT 119"</f>
        <v>RENNER PARK SECTION 3 LOT 119</v>
      </c>
      <c r="D11066" s="1">
        <v>200.45</v>
      </c>
    </row>
    <row r="11067" spans="1:4" x14ac:dyDescent="0.3">
      <c r="A11067" s="1" t="str">
        <f>"20332754000"</f>
        <v>20332754000</v>
      </c>
      <c r="B11067" s="1" t="str">
        <f>"SCHOTTENSTEIN HOMES OF RENNER PARK LLC"</f>
        <v>SCHOTTENSTEIN HOMES OF RENNER PARK LLC</v>
      </c>
      <c r="C11067" s="1" t="str">
        <f>"RENNER PARK SECTION 3 LOT 128"</f>
        <v>RENNER PARK SECTION 3 LOT 128</v>
      </c>
      <c r="D11067" s="1">
        <v>200.45</v>
      </c>
    </row>
    <row r="11068" spans="1:4" x14ac:dyDescent="0.3">
      <c r="A11068" s="1" t="str">
        <f>"20332755200"</f>
        <v>20332755200</v>
      </c>
      <c r="B11068" s="1" t="str">
        <f>"SCHOTTENSTEIN HOMES OF RENNER PARK LLC"</f>
        <v>SCHOTTENSTEIN HOMES OF RENNER PARK LLC</v>
      </c>
      <c r="C11068" s="1" t="str">
        <f>"RENNER PARK SECTION 3 LOT 140"</f>
        <v>RENNER PARK SECTION 3 LOT 140</v>
      </c>
      <c r="D11068" s="1">
        <v>149.30000000000001</v>
      </c>
    </row>
    <row r="11069" spans="1:4" x14ac:dyDescent="0.3">
      <c r="A11069" s="1" t="str">
        <f>"20332755600"</f>
        <v>20332755600</v>
      </c>
      <c r="B11069" s="1" t="str">
        <f>"SCHOTTENSTEIN HOMES OF RENNER PARK LLC"</f>
        <v>SCHOTTENSTEIN HOMES OF RENNER PARK LLC</v>
      </c>
      <c r="C11069" s="1" t="str">
        <f>"RENNER PARK SECTION 3 LOT 144"</f>
        <v>RENNER PARK SECTION 3 LOT 144</v>
      </c>
      <c r="D11069" s="1">
        <v>72.5</v>
      </c>
    </row>
    <row r="11070" spans="1:4" x14ac:dyDescent="0.3">
      <c r="A11070" s="1" t="str">
        <f>"20332755900"</f>
        <v>20332755900</v>
      </c>
      <c r="B11070" s="1" t="str">
        <f>"SCHOTTENSTEIN HOMES OF RENNER PARK LLC"</f>
        <v>SCHOTTENSTEIN HOMES OF RENNER PARK LLC</v>
      </c>
      <c r="C11070" s="1" t="str">
        <f>"RENNER PARK SECTION 3 LOT 147"</f>
        <v>RENNER PARK SECTION 3 LOT 147</v>
      </c>
      <c r="D11070" s="1">
        <v>146.43</v>
      </c>
    </row>
    <row r="11071" spans="1:4" x14ac:dyDescent="0.3">
      <c r="A11071" s="1" t="str">
        <f>"20332751300"</f>
        <v>20332751300</v>
      </c>
      <c r="B11071" s="1" t="str">
        <f>"SCHOTTENSTEIN HOMES OF RENNER PARK LLC"</f>
        <v>SCHOTTENSTEIN HOMES OF RENNER PARK LLC</v>
      </c>
      <c r="C11071" s="1" t="str">
        <f>"RENNER PARK SECTION 3 LOT 101"</f>
        <v>RENNER PARK SECTION 3 LOT 101</v>
      </c>
      <c r="D11071" s="1">
        <v>1579.24</v>
      </c>
    </row>
    <row r="11072" spans="1:4" x14ac:dyDescent="0.3">
      <c r="A11072" s="1" t="str">
        <f>"20332751800"</f>
        <v>20332751800</v>
      </c>
      <c r="B11072" s="1" t="str">
        <f>"SCHOTTENSTEIN HOMES OF RENNER PARK LLC"</f>
        <v>SCHOTTENSTEIN HOMES OF RENNER PARK LLC</v>
      </c>
      <c r="C11072" s="1" t="str">
        <f>"RENNER PARK SECTION 3 LOT 106"</f>
        <v>RENNER PARK SECTION 3 LOT 106</v>
      </c>
      <c r="D11072" s="1">
        <v>143.57</v>
      </c>
    </row>
    <row r="11073" spans="1:4" x14ac:dyDescent="0.3">
      <c r="A11073" s="1" t="str">
        <f>"03000340800"</f>
        <v>03000340800</v>
      </c>
      <c r="B11073" s="1" t="str">
        <f>"SCHOTTENSTEIN JOSHUA"</f>
        <v>SCHOTTENSTEIN JOSHUA</v>
      </c>
      <c r="C11073" s="1" t="str">
        <f>"GRANDVIEW YARD PHASE 7 LOT 1"</f>
        <v>GRANDVIEW YARD PHASE 7 LOT 1</v>
      </c>
      <c r="D11073" s="1">
        <v>638.78</v>
      </c>
    </row>
    <row r="11074" spans="1:4" x14ac:dyDescent="0.3">
      <c r="A11074" s="1" t="str">
        <f>"02000473500"</f>
        <v>02000473500</v>
      </c>
      <c r="B11074" s="1" t="str">
        <f>"SCHOTTENSTEIN LENORE G TR"</f>
        <v>SCHOTTENSTEIN LENORE G TR</v>
      </c>
      <c r="C11074" s="1" t="str">
        <f>"ONE DAWSON PLACE          CONDOMINIUM               UNIT 301                 "</f>
        <v xml:space="preserve">ONE DAWSON PLACE          CONDOMINIUM               UNIT 301                 </v>
      </c>
      <c r="D11074" s="1">
        <v>1001.75</v>
      </c>
    </row>
    <row r="11075" spans="1:4" x14ac:dyDescent="0.3">
      <c r="A11075" s="1" t="str">
        <f>"02000327700"</f>
        <v>02000327700</v>
      </c>
      <c r="B11075" s="1" t="str">
        <f>"SCHOTTENSTEIN LEWIS A"</f>
        <v>SCHOTTENSTEIN LEWIS A</v>
      </c>
      <c r="C11075" s="1" t="str">
        <f>"104 N MERKLE RD LOT 41 J L DAVIS 1ST"</f>
        <v>104 N MERKLE RD LOT 41 J L DAVIS 1ST</v>
      </c>
      <c r="D11075" s="1">
        <v>6258.48</v>
      </c>
    </row>
    <row r="11076" spans="1:4" x14ac:dyDescent="0.3">
      <c r="A11076" s="1" t="str">
        <f>"02000360100"</f>
        <v>02000360100</v>
      </c>
      <c r="B11076" s="1" t="str">
        <f>"SCHOTTENSTEIN RHONDA L"</f>
        <v>SCHOTTENSTEIN RHONDA L</v>
      </c>
      <c r="C11076" s="1" t="str">
        <f>"272 DREXEL AVE BULLITT PK AMD   BLK 4 LT 14 &amp; 67.7'SE LT 13"</f>
        <v>272 DREXEL AVE BULLITT PK AMD   BLK 4 LT 14 &amp; 67.7'SE LT 13</v>
      </c>
      <c r="D11076" s="1">
        <v>3750.46</v>
      </c>
    </row>
    <row r="11077" spans="1:4" x14ac:dyDescent="0.3">
      <c r="A11077" s="1" t="str">
        <f>"05000722200"</f>
        <v>05000722200</v>
      </c>
      <c r="B11077" s="1" t="str">
        <f>"SCHRAM TODD P, WALSH JANET L"</f>
        <v>SCHRAM TODD P, WALSH JANET L</v>
      </c>
      <c r="C11077" s="1" t="str">
        <f>"BRITTON FARMS SECTION 3 PHASE 2 LOT 218"</f>
        <v>BRITTON FARMS SECTION 3 PHASE 2 LOT 218</v>
      </c>
      <c r="D11077" s="1">
        <v>525.66999999999996</v>
      </c>
    </row>
    <row r="11078" spans="1:4" x14ac:dyDescent="0.3">
      <c r="A11078" s="1" t="str">
        <f>"01008977900"</f>
        <v>01008977900</v>
      </c>
      <c r="B11078" s="1" t="str">
        <f>"SCHRAMM ERIC D, SCHRAMM BONNIE J"</f>
        <v>SCHRAMM ERIC D, SCHRAMM BONNIE J</v>
      </c>
      <c r="C11078" s="1" t="str">
        <f>"BROADLEIGH RD BROADLEIGH LOT 43"</f>
        <v>BROADLEIGH RD BROADLEIGH LOT 43</v>
      </c>
      <c r="D11078" s="1">
        <v>5980.11</v>
      </c>
    </row>
    <row r="11079" spans="1:4" x14ac:dyDescent="0.3">
      <c r="A11079" s="1" t="str">
        <f>"01001718200"</f>
        <v>01001718200</v>
      </c>
      <c r="B11079" s="1" t="str">
        <f>"SCHREIBER BRUCE E, SCHREIBER MARCIA L"</f>
        <v>SCHREIBER BRUCE E, SCHREIBER MARCIA L</v>
      </c>
      <c r="C11079" s="1" t="str">
        <f>"GRETNA &amp;8 FT ALLEY VAC MILLERS DESHLER AVE"</f>
        <v>GRETNA &amp;8 FT ALLEY VAC MILLERS DESHLER AVE</v>
      </c>
      <c r="D11079" s="1">
        <v>66.180000000000007</v>
      </c>
    </row>
    <row r="11080" spans="1:4" x14ac:dyDescent="0.3">
      <c r="A11080" s="1" t="str">
        <f>"01004185600"</f>
        <v>01004185600</v>
      </c>
      <c r="B11080" s="1" t="str">
        <f>"SCHREIBER DANIEL R"</f>
        <v>SCHREIBER DANIEL R</v>
      </c>
      <c r="C11080" s="1" t="str">
        <f>"545 BONHAM AVE MONETTS STATE FAIR PARK LOT 74"</f>
        <v>545 BONHAM AVE MONETTS STATE FAIR PARK LOT 74</v>
      </c>
      <c r="D11080" s="1">
        <v>2189.3200000000002</v>
      </c>
    </row>
    <row r="11081" spans="1:4" x14ac:dyDescent="0.3">
      <c r="A11081" s="1" t="str">
        <f>"01004120500"</f>
        <v>01004120500</v>
      </c>
      <c r="B11081" s="1" t="str">
        <f>"SCHREIBER DANIEL R"</f>
        <v>SCHREIBER DANIEL R</v>
      </c>
      <c r="C11081" s="1" t="str">
        <f>"BONHAM AVE MONETTS ST FAIR PK LOT 75"</f>
        <v>BONHAM AVE MONETTS ST FAIR PK LOT 75</v>
      </c>
      <c r="D11081" s="1">
        <v>239.9</v>
      </c>
    </row>
    <row r="11082" spans="1:4" x14ac:dyDescent="0.3">
      <c r="A11082" s="1" t="str">
        <f>"08000001200"</f>
        <v>08000001200</v>
      </c>
      <c r="B11082" s="1" t="str">
        <f>"SCHREIBER RICHARD J, SAECHAO SAKAODUAN"</f>
        <v>SCHREIBER RICHARD J, SAECHAO SAKAODUAN</v>
      </c>
      <c r="C11082" s="1" t="str">
        <f>"231 N VINE ST OLD ORCHARD LOT 6"</f>
        <v>231 N VINE ST OLD ORCHARD LOT 6</v>
      </c>
      <c r="D11082" s="1">
        <v>315.95999999999998</v>
      </c>
    </row>
    <row r="11083" spans="1:4" x14ac:dyDescent="0.3">
      <c r="A11083" s="1" t="str">
        <f>"08000106400"</f>
        <v>08000106400</v>
      </c>
      <c r="B11083" s="1" t="str">
        <f>"SCHREIBER RICHARD, SAECHAO SAKAODUAN"</f>
        <v>SCHREIBER RICHARD, SAECHAO SAKAODUAN</v>
      </c>
      <c r="C11083" s="1" t="str">
        <f>"182 W MAIN ST SLAUGHTER &amp; BRIGHT OLD 10 NEW I06"</f>
        <v>182 W MAIN ST SLAUGHTER &amp; BRIGHT OLD 10 NEW I06</v>
      </c>
      <c r="D11083" s="1">
        <v>497.12</v>
      </c>
    </row>
    <row r="11084" spans="1:4" x14ac:dyDescent="0.3">
      <c r="A11084" s="1" t="str">
        <f>"01003430100"</f>
        <v>01003430100</v>
      </c>
      <c r="B11084" s="1" t="str">
        <f>"SCHROECK DAVID G"</f>
        <v>SCHROECK DAVID G</v>
      </c>
      <c r="C11084" s="1" t="str">
        <f>"243 S WARREN AVE N 1/2 OF 438&amp;ALL OF439 WICKLOW LOT 438-9"</f>
        <v>243 S WARREN AVE N 1/2 OF 438&amp;ALL OF439 WICKLOW LOT 438-9</v>
      </c>
      <c r="D11084" s="1">
        <v>99.42</v>
      </c>
    </row>
    <row r="11085" spans="1:4" x14ac:dyDescent="0.3">
      <c r="A11085" s="1" t="str">
        <f>"12000126900"</f>
        <v>12000126900</v>
      </c>
      <c r="B11085" s="1" t="str">
        <f>"SCHUENEMANN GUSTAVO M, FEDERICO PAULA"</f>
        <v>SCHUENEMANN GUSTAVO M, FEDERICO PAULA</v>
      </c>
      <c r="C11085" s="1" t="str">
        <f>"00000 AMITY ROAD ENTRY 1478 7.919 ACRES"</f>
        <v>00000 AMITY ROAD ENTRY 1478 7.919 ACRES</v>
      </c>
      <c r="D11085" s="1">
        <v>712.45</v>
      </c>
    </row>
    <row r="11086" spans="1:4" x14ac:dyDescent="0.3">
      <c r="A11086" s="1" t="str">
        <f>"07000052400"</f>
        <v>07000052400</v>
      </c>
      <c r="B11086" s="1" t="str">
        <f>"SCHUERGER ROBERT A II"</f>
        <v>SCHUERGER ROBERT A II</v>
      </c>
      <c r="C11086" s="1" t="str">
        <f>"1858 ARLINGTON AVE UPPER ARLINGTON LOT 7 BLK 19"</f>
        <v>1858 ARLINGTON AVE UPPER ARLINGTON LOT 7 BLK 19</v>
      </c>
      <c r="D11086" s="1">
        <v>25901.32</v>
      </c>
    </row>
    <row r="11087" spans="1:4" x14ac:dyDescent="0.3">
      <c r="A11087" s="1" t="str">
        <f>"01028068400"</f>
        <v>01028068400</v>
      </c>
      <c r="B11087" s="1" t="str">
        <f>"SCHUESSLER JOHN T TTEE"</f>
        <v>SCHUESSLER JOHN T TTEE</v>
      </c>
      <c r="C11087" s="1" t="str">
        <f>"BURNHAM SQUARE CONDOMINIUM 1ST AMD UNIT PS-56 (PARKING UNIT)"</f>
        <v>BURNHAM SQUARE CONDOMINIUM 1ST AMD UNIT PS-56 (PARKING UNIT)</v>
      </c>
      <c r="D11087" s="1">
        <v>50.68</v>
      </c>
    </row>
    <row r="11088" spans="1:4" x14ac:dyDescent="0.3">
      <c r="A11088" s="1" t="str">
        <f>"01000850200"</f>
        <v>01000850200</v>
      </c>
      <c r="B11088" s="1" t="str">
        <f>"SCHULTZ JACKIE E TR, SCHULTZ RENE S TR"</f>
        <v>SCHULTZ JACKIE E TR, SCHULTZ RENE S TR</v>
      </c>
      <c r="C11088" s="1" t="str">
        <f>"176 S HARRIS WICKLOW EXT LOT 520"</f>
        <v>176 S HARRIS WICKLOW EXT LOT 520</v>
      </c>
      <c r="D11088" s="1">
        <v>90.52</v>
      </c>
    </row>
    <row r="11089" spans="1:4" x14ac:dyDescent="0.3">
      <c r="A11089" s="1" t="str">
        <f>"04000125800"</f>
        <v>04000125800</v>
      </c>
      <c r="B11089" s="1" t="str">
        <f>"SCHULTZ JENNIFER S TTEE"</f>
        <v>SCHULTZ JENNIFER S TTEE</v>
      </c>
      <c r="C11089" s="1" t="str">
        <f>"2812 COLUMBUS STREET ACRES .202 ENTRY 1388"</f>
        <v>2812 COLUMBUS STREET ACRES .202 ENTRY 1388</v>
      </c>
      <c r="D11089" s="1">
        <v>186.38</v>
      </c>
    </row>
    <row r="11090" spans="1:4" x14ac:dyDescent="0.3">
      <c r="A11090" s="1" t="str">
        <f>"01029036400"</f>
        <v>01029036400</v>
      </c>
      <c r="B11090" s="1" t="str">
        <f>"SCHULTZ NORMAN, SCHULTZ MICHELLE"</f>
        <v>SCHULTZ NORMAN, SCHULTZ MICHELLE</v>
      </c>
      <c r="C11090" s="1" t="str">
        <f>"WILLOWS CROSSING LOT 28 "</f>
        <v xml:space="preserve">WILLOWS CROSSING LOT 28 </v>
      </c>
      <c r="D11090" s="1">
        <v>245.69</v>
      </c>
    </row>
    <row r="11091" spans="1:4" x14ac:dyDescent="0.3">
      <c r="A11091" s="1" t="str">
        <f>"01017492400"</f>
        <v>01017492400</v>
      </c>
      <c r="B11091" s="1" t="str">
        <f>"SCHULTZ RICHARD A CO-TR, SCHULTZ LOIS G CO-TR"</f>
        <v>SCHULTZ RICHARD A CO-TR, SCHULTZ LOIS G CO-TR</v>
      </c>
      <c r="C11091" s="1" t="str">
        <f>"BLOSSOM AVE BLENDON PARK SEC 4 LOT 265"</f>
        <v>BLOSSOM AVE BLENDON PARK SEC 4 LOT 265</v>
      </c>
      <c r="D11091" s="1">
        <v>2714.11</v>
      </c>
    </row>
    <row r="11092" spans="1:4" x14ac:dyDescent="0.3">
      <c r="A11092" s="1" t="str">
        <f>"01014488300"</f>
        <v>01014488300</v>
      </c>
      <c r="B11092" s="1" t="str">
        <f>"SCHULTZ RICHARD A, SCHULTZ LOIS G"</f>
        <v>SCHULTZ RICHARD A, SCHULTZ LOIS G</v>
      </c>
      <c r="C11092" s="1" t="str">
        <f>"PIN OAK RD FOREST PARK EAST SEC 2 LOT 201"</f>
        <v>PIN OAK RD FOREST PARK EAST SEC 2 LOT 201</v>
      </c>
      <c r="D11092" s="1">
        <v>2738.05</v>
      </c>
    </row>
    <row r="11093" spans="1:4" x14ac:dyDescent="0.3">
      <c r="A11093" s="1" t="str">
        <f>"01015329000"</f>
        <v>01015329000</v>
      </c>
      <c r="B11093" s="1" t="str">
        <f>"SCHULTZ RICHARD A, SCHULTZ LOIS G"</f>
        <v>SCHULTZ RICHARD A, SCHULTZ LOIS G</v>
      </c>
      <c r="C11093" s="1" t="str">
        <f>"LAURELWOOD DR GRANVILLE MANOR N LOT 63"</f>
        <v>LAURELWOOD DR GRANVILLE MANOR N LOT 63</v>
      </c>
      <c r="D11093" s="1">
        <v>1754.37</v>
      </c>
    </row>
    <row r="11094" spans="1:4" x14ac:dyDescent="0.3">
      <c r="A11094" s="1" t="str">
        <f>"01015507700"</f>
        <v>01015507700</v>
      </c>
      <c r="B11094" s="1" t="str">
        <f>"SCHUM MAUREEN TR"</f>
        <v>SCHUM MAUREEN TR</v>
      </c>
      <c r="C11094" s="1" t="str">
        <f>"NORTHCREST AVE KNOLLS WEST SEC 6 LOT 365"</f>
        <v>NORTHCREST AVE KNOLLS WEST SEC 6 LOT 365</v>
      </c>
      <c r="D11094" s="1">
        <v>770</v>
      </c>
    </row>
    <row r="11095" spans="1:4" x14ac:dyDescent="0.3">
      <c r="A11095" s="1" t="str">
        <f>"01003184600"</f>
        <v>01003184600</v>
      </c>
      <c r="B11095" s="1" t="str">
        <f>"SCHUMACHER JENNIFER"</f>
        <v>SCHUMACHER JENNIFER</v>
      </c>
      <c r="C11095" s="1" t="str">
        <f>"755 SIEBERT ST CITY PARK LOT 69"</f>
        <v>755 SIEBERT ST CITY PARK LOT 69</v>
      </c>
      <c r="D11095" s="1">
        <v>173.27</v>
      </c>
    </row>
    <row r="11096" spans="1:4" x14ac:dyDescent="0.3">
      <c r="A11096" s="1" t="str">
        <f>"01000517700"</f>
        <v>01000517700</v>
      </c>
      <c r="B11096" s="1" t="str">
        <f>"SCHUMACHER JENNIFER"</f>
        <v>SCHUMACHER JENNIFER</v>
      </c>
      <c r="C11096" s="1" t="str">
        <f>"759 SIEBERT ST CITY PARK LOT 70"</f>
        <v>759 SIEBERT ST CITY PARK LOT 70</v>
      </c>
      <c r="D11096" s="1">
        <v>195.67</v>
      </c>
    </row>
    <row r="11097" spans="1:4" x14ac:dyDescent="0.3">
      <c r="A11097" s="1" t="str">
        <f>"04001570600"</f>
        <v>04001570600</v>
      </c>
      <c r="B11097" s="1" t="str">
        <f>"SCHUMACHER LAURENCE J, SCHUMACHER JANET M"</f>
        <v>SCHUMACHER LAURENCE J, SCHUMACHER JANET M</v>
      </c>
      <c r="C11097" s="1" t="str">
        <f>"CHESTNUT FARMS CONDOMINIUM 7TH AMD PHASE 8 UNIT 6-1677"</f>
        <v>CHESTNUT FARMS CONDOMINIUM 7TH AMD PHASE 8 UNIT 6-1677</v>
      </c>
      <c r="D11097" s="1">
        <v>2749.22</v>
      </c>
    </row>
    <row r="11098" spans="1:4" x14ac:dyDescent="0.3">
      <c r="A11098" s="1" t="str">
        <f>"01008981300"</f>
        <v>01008981300</v>
      </c>
      <c r="B11098" s="1" t="str">
        <f>"SCHUMAN GLORIA A"</f>
        <v>SCHUMAN GLORIA A</v>
      </c>
      <c r="C11098" s="1" t="str">
        <f>"BROADLEIGH RD BROADLEIGH LOTS 77 &amp; 25'NE LOT 78"</f>
        <v>BROADLEIGH RD BROADLEIGH LOTS 77 &amp; 25'NE LOT 78</v>
      </c>
      <c r="D11098" s="1">
        <v>236.44</v>
      </c>
    </row>
    <row r="11099" spans="1:4" x14ac:dyDescent="0.3">
      <c r="A11099" s="1" t="str">
        <f>"01026031300"</f>
        <v>01026031300</v>
      </c>
      <c r="B11099" s="1" t="str">
        <f>"SCHUMAN KAREN S, DAVISON KATHY J"</f>
        <v>SCHUMAN KAREN S, DAVISON KATHY J</v>
      </c>
      <c r="C11099" s="1" t="str">
        <f>"WINDING HOLLOW DRIVE ALKIRE LAKES SECTION 4 PART 2 LOT 263"</f>
        <v>WINDING HOLLOW DRIVE ALKIRE LAKES SECTION 4 PART 2 LOT 263</v>
      </c>
      <c r="D11099" s="1">
        <v>204.85</v>
      </c>
    </row>
    <row r="11100" spans="1:4" x14ac:dyDescent="0.3">
      <c r="A11100" s="1" t="str">
        <f>"01009226700"</f>
        <v>01009226700</v>
      </c>
      <c r="B11100" s="1" t="str">
        <f>"SCHUMAN KRISTEN L"</f>
        <v>SCHUMAN KRISTEN L</v>
      </c>
      <c r="C11100" s="1" t="str">
        <f>"DOVER RD ALL LOT 329 &amp;10FT WS LT 328 BERWICK LOT 328-329"</f>
        <v>DOVER RD ALL LOT 329 &amp;10FT WS LT 328 BERWICK LOT 328-329</v>
      </c>
      <c r="D11100" s="1">
        <v>1676.27</v>
      </c>
    </row>
    <row r="11101" spans="1:4" x14ac:dyDescent="0.3">
      <c r="A11101" s="1" t="str">
        <f>"01013903600"</f>
        <v>01013903600</v>
      </c>
      <c r="B11101" s="1" t="str">
        <f>"SCHWARTZ CAROLE J TR"</f>
        <v>SCHWARTZ CAROLE J TR</v>
      </c>
      <c r="C11101" s="1" t="str">
        <f>"RAVENWOOD SEC 1 LOT 39 "</f>
        <v xml:space="preserve">RAVENWOOD SEC 1 LOT 39 </v>
      </c>
      <c r="D11101" s="1">
        <v>199.12</v>
      </c>
    </row>
    <row r="11102" spans="1:4" x14ac:dyDescent="0.3">
      <c r="A11102" s="1" t="str">
        <f>"05300028900"</f>
        <v>05300028900</v>
      </c>
      <c r="B11102" s="1" t="str">
        <f>"SCHWARTZ KARLY R, SCHWARTZ ANDREW J"</f>
        <v>SCHWARTZ KARLY R, SCHWARTZ ANDREW J</v>
      </c>
      <c r="C11102" s="1" t="str">
        <f>"HERITAGE PRESERVE SECTION 2 PHASE 3 LOT 211"</f>
        <v>HERITAGE PRESERVE SECTION 2 PHASE 3 LOT 211</v>
      </c>
      <c r="D11102" s="1">
        <v>7614.82</v>
      </c>
    </row>
    <row r="11103" spans="1:4" x14ac:dyDescent="0.3">
      <c r="A11103" s="1" t="str">
        <f>"02000302800"</f>
        <v>02000302800</v>
      </c>
      <c r="B11103" s="1" t="str">
        <f>"SCHWARTZ MITCHELL G, KNECHT ANNE M"</f>
        <v>SCHWARTZ MITCHELL G, KNECHT ANNE M</v>
      </c>
      <c r="C11103" s="1" t="str">
        <f>"690 GRANDON AVE EAST LAWN LOT 129"</f>
        <v>690 GRANDON AVE EAST LAWN LOT 129</v>
      </c>
      <c r="D11103" s="1">
        <v>4213.74</v>
      </c>
    </row>
    <row r="11104" spans="1:4" x14ac:dyDescent="0.3">
      <c r="A11104" s="1" t="str">
        <f>"03000324600"</f>
        <v>03000324600</v>
      </c>
      <c r="B11104" s="1" t="str">
        <f>"SCHWARTZ SHELLY A TTEE"</f>
        <v>SCHWARTZ SHELLY A TTEE</v>
      </c>
      <c r="C11104" s="1" t="str">
        <f>"GRANDVIEW YARD PHASE 6 LOT 2"</f>
        <v>GRANDVIEW YARD PHASE 6 LOT 2</v>
      </c>
      <c r="D11104" s="1">
        <v>627.35</v>
      </c>
    </row>
    <row r="11105" spans="1:4" x14ac:dyDescent="0.3">
      <c r="A11105" s="1" t="str">
        <f>"01013787700"</f>
        <v>01013787700</v>
      </c>
      <c r="B11105" s="1" t="str">
        <f>"SCHWARZ JO D"</f>
        <v>SCHWARZ JO D</v>
      </c>
      <c r="C11105" s="1" t="str">
        <f>"KILDALE NO DEVONSHIRE 4 LOT 459"</f>
        <v>KILDALE NO DEVONSHIRE 4 LOT 459</v>
      </c>
      <c r="D11105" s="1">
        <v>1900.6</v>
      </c>
    </row>
    <row r="11106" spans="1:4" x14ac:dyDescent="0.3">
      <c r="A11106" s="1" t="str">
        <f>"54524710800"</f>
        <v>54524710800</v>
      </c>
      <c r="B11106" s="1" t="str">
        <f>"SCHWARZ KEVIN R, LIU HONGFEI"</f>
        <v>SCHWARZ KEVIN R, LIU HONGFEI</v>
      </c>
      <c r="C11106" s="1" t="str">
        <f>"BATTLES STREET THE PRESERVE SECTION 1 LOT 44"</f>
        <v>BATTLES STREET THE PRESERVE SECTION 1 LOT 44</v>
      </c>
      <c r="D11106" s="1">
        <v>4269.1899999999996</v>
      </c>
    </row>
    <row r="11107" spans="1:4" x14ac:dyDescent="0.3">
      <c r="A11107" s="1" t="str">
        <f>"18000037900"</f>
        <v>18000037900</v>
      </c>
      <c r="B11107" s="1" t="str">
        <f>"SCHWENKEL ENTERPRISES LLC"</f>
        <v>SCHWENKEL ENTERPRISES LLC</v>
      </c>
      <c r="C11107" s="1" t="str">
        <f>"BIXBY RD 1.364 ACRES R21 T11 S30-19"</f>
        <v>BIXBY RD 1.364 ACRES R21 T11 S30-19</v>
      </c>
      <c r="D11107" s="1">
        <v>3641.97</v>
      </c>
    </row>
    <row r="11108" spans="1:4" x14ac:dyDescent="0.3">
      <c r="A11108" s="1" t="str">
        <f>"56023645600"</f>
        <v>56023645600</v>
      </c>
      <c r="B11108" s="1" t="str">
        <f>"SCHWIETERMAN JENNIFER, SCHWIETERMAN STEVEN"</f>
        <v>SCHWIETERMAN JENNIFER, SCHWIETERMAN STEVEN</v>
      </c>
      <c r="C11108" s="1" t="str">
        <f>"NEWINGTON DRIVE HERITAGE CREEK SECTION 2 LOT 59"</f>
        <v>NEWINGTON DRIVE HERITAGE CREEK SECTION 2 LOT 59</v>
      </c>
      <c r="D11108" s="1">
        <v>4203.43</v>
      </c>
    </row>
    <row r="11109" spans="1:4" x14ac:dyDescent="0.3">
      <c r="A11109" s="1" t="str">
        <f>"07000939100"</f>
        <v>07000939100</v>
      </c>
      <c r="B11109" s="1" t="str">
        <f>"SCHWIND SUSAN A, MOLONEY THOMAS E"</f>
        <v>SCHWIND SUSAN A, MOLONEY THOMAS E</v>
      </c>
      <c r="C11109" s="1" t="str">
        <f>"1765 MILLWOOD DR MILLWOOD 12 BLK 296"</f>
        <v>1765 MILLWOOD DR MILLWOOD 12 BLK 296</v>
      </c>
      <c r="D11109" s="1">
        <v>4378.25</v>
      </c>
    </row>
    <row r="11110" spans="1:4" x14ac:dyDescent="0.3">
      <c r="A11110" s="1" t="str">
        <f>"08000760500"</f>
        <v>08000760500</v>
      </c>
      <c r="B11110" s="1" t="str">
        <f>"SCIACCA KARLA J"</f>
        <v>SCIACCA KARLA J</v>
      </c>
      <c r="C11110" s="1" t="str">
        <f>"992 SWANTON CT SPRINGBOROUGH SEC 3 LOT 205"</f>
        <v>992 SWANTON CT SPRINGBOROUGH SEC 3 LOT 205</v>
      </c>
      <c r="D11110" s="1">
        <v>122.7</v>
      </c>
    </row>
    <row r="11111" spans="1:4" x14ac:dyDescent="0.3">
      <c r="A11111" s="1" t="str">
        <f>"56010462000"</f>
        <v>56010462000</v>
      </c>
      <c r="B11111" s="1" t="str">
        <f>"SCIOTO LLC"</f>
        <v>SCIOTO LLC</v>
      </c>
      <c r="C11111" s="1" t="str">
        <f>"DAUGHERTY RD 1.033 ACRES ENTRY 544 OQ 1000"</f>
        <v>DAUGHERTY RD 1.033 ACRES ENTRY 544 OQ 1000</v>
      </c>
      <c r="D11111" s="1">
        <v>130.44</v>
      </c>
    </row>
    <row r="11112" spans="1:4" x14ac:dyDescent="0.3">
      <c r="A11112" s="1" t="str">
        <f>"56010472000"</f>
        <v>56010472000</v>
      </c>
      <c r="B11112" s="1" t="str">
        <f>"SCIOTO LLC"</f>
        <v>SCIOTO LLC</v>
      </c>
      <c r="C11112" s="1" t="str">
        <f>"TRABUE RD ENTRY 544 3.987 ACRES"</f>
        <v>TRABUE RD ENTRY 544 3.987 ACRES</v>
      </c>
      <c r="D11112" s="1">
        <v>2945.46</v>
      </c>
    </row>
    <row r="11113" spans="1:4" x14ac:dyDescent="0.3">
      <c r="A11113" s="1" t="str">
        <f>"01015079100"</f>
        <v>01015079100</v>
      </c>
      <c r="B11113" s="1" t="str">
        <f>"SCIOTO PROPERTIES SP-16 LLC"</f>
        <v>SCIOTO PROPERTIES SP-16 LLC</v>
      </c>
      <c r="C11113" s="1" t="str">
        <f>"TEAKWOOD DR FOREST PARK E SEC 8 LOT 887"</f>
        <v>TEAKWOOD DR FOREST PARK E SEC 8 LOT 887</v>
      </c>
      <c r="D11113" s="1">
        <v>4630.9799999999996</v>
      </c>
    </row>
    <row r="11114" spans="1:4" x14ac:dyDescent="0.3">
      <c r="A11114" s="1" t="str">
        <f>"25415191300"</f>
        <v>25415191300</v>
      </c>
      <c r="B11114" s="1" t="str">
        <f>"SCIOTO VALLEY REAL ESTATE LLC"</f>
        <v>SCIOTO VALLEY REAL ESTATE LLC</v>
      </c>
      <c r="C11114" s="1" t="str">
        <f>"85 W KANAWHA AVE PT AL VAC RES CO COMM TREMONT GRDNS LT 14"</f>
        <v>85 W KANAWHA AVE PT AL VAC RES CO COMM TREMONT GRDNS LT 14</v>
      </c>
      <c r="D11114" s="1">
        <v>2463.04</v>
      </c>
    </row>
    <row r="11115" spans="1:4" x14ac:dyDescent="0.3">
      <c r="A11115" s="1" t="str">
        <f>"21000349300"</f>
        <v>21000349300</v>
      </c>
      <c r="B11115" s="1" t="str">
        <f>"SCOPETTI NINA P, SCOPETTI GIOVANNA A"</f>
        <v>SCOPETTI NINA P, SCOPETTI GIOVANNA A</v>
      </c>
      <c r="C11115" s="1" t="str">
        <f>"ARLINGTON POINTE CONDOMINIUM UNIT I 2545"</f>
        <v>ARLINGTON POINTE CONDOMINIUM UNIT I 2545</v>
      </c>
      <c r="D11115" s="1">
        <v>2618.59</v>
      </c>
    </row>
    <row r="11116" spans="1:4" x14ac:dyDescent="0.3">
      <c r="A11116" s="1" t="str">
        <f>"01012114100"</f>
        <v>01012114100</v>
      </c>
      <c r="B11116" s="1" t="str">
        <f>"SCOTT BRIAN"</f>
        <v>SCOTT BRIAN</v>
      </c>
      <c r="C11116" s="1" t="str">
        <f>"WOODLAND AVE MARIEMONT VILLAGE LOT 18"</f>
        <v>WOODLAND AVE MARIEMONT VILLAGE LOT 18</v>
      </c>
      <c r="D11116" s="1">
        <v>754.84</v>
      </c>
    </row>
    <row r="11117" spans="1:4" x14ac:dyDescent="0.3">
      <c r="A11117" s="1" t="str">
        <f>"01027526200"</f>
        <v>01027526200</v>
      </c>
      <c r="B11117" s="1" t="str">
        <f>"SCOTT CHADWICK L"</f>
        <v>SCOTT CHADWICK L</v>
      </c>
      <c r="C11117" s="1" t="str">
        <f>"5643 MARSHFIELD DR        VILLAGE @ ALBANY CROSSING SECTION 1 PART 2 LOT 77  "</f>
        <v xml:space="preserve">5643 MARSHFIELD DR        VILLAGE @ ALBANY CROSSING SECTION 1 PART 2 LOT 77  </v>
      </c>
      <c r="D11117" s="1">
        <v>250</v>
      </c>
    </row>
    <row r="11118" spans="1:4" x14ac:dyDescent="0.3">
      <c r="A11118" s="1" t="str">
        <f>"49526906300"</f>
        <v>49526906300</v>
      </c>
      <c r="B11118" s="1" t="str">
        <f>"SCOTT DANIEL S, SCOTT CANDACE E"</f>
        <v>SCOTT DANIEL S, SCOTT CANDACE E</v>
      </c>
      <c r="C11118" s="1" t="str">
        <f>"WELLSLEYGLEN DRIVE WYNDHAM RIDGE SECTION 1 PART 1 LOT 15"</f>
        <v>WELLSLEYGLEN DRIVE WYNDHAM RIDGE SECTION 1 PART 1 LOT 15</v>
      </c>
      <c r="D11118" s="1">
        <v>5703.67</v>
      </c>
    </row>
    <row r="11119" spans="1:4" x14ac:dyDescent="0.3">
      <c r="A11119" s="1" t="str">
        <f>"01028216000"</f>
        <v>01028216000</v>
      </c>
      <c r="B11119" s="1" t="str">
        <f>"SCOTT DEANNA L TR"</f>
        <v>SCOTT DEANNA L TR</v>
      </c>
      <c r="C11119" s="1" t="str">
        <f>"VILLAGE AT PRESTON WOODS CONDOMINIUMS 5TH AMD BLDG 17 UNIT 5412"</f>
        <v>VILLAGE AT PRESTON WOODS CONDOMINIUMS 5TH AMD BLDG 17 UNIT 5412</v>
      </c>
      <c r="D11119" s="1">
        <v>2304.4299999999998</v>
      </c>
    </row>
    <row r="11120" spans="1:4" x14ac:dyDescent="0.3">
      <c r="A11120" s="1" t="str">
        <f>"17000106700"</f>
        <v>17000106700</v>
      </c>
      <c r="B11120" s="1" t="str">
        <f>"SCOTT HENRY J, SCOTT EMILY, SCOTT TERRENCE, HARRISON LETHERIA A"</f>
        <v>SCOTT HENRY J, SCOTT EMILY, SCOTT TERRENCE, HARRISON LETHERIA A</v>
      </c>
      <c r="C11120" s="1" t="str">
        <f>"8291 HAVENS RD 1.437 ACS T1 1-4T 1 6 R16"</f>
        <v>8291 HAVENS RD 1.437 ACS T1 1-4T 1 6 R16</v>
      </c>
      <c r="D11120" s="1">
        <v>219.38</v>
      </c>
    </row>
    <row r="11121" spans="1:4" x14ac:dyDescent="0.3">
      <c r="A11121" s="1" t="str">
        <f>"15300028200"</f>
        <v>15300028200</v>
      </c>
      <c r="B11121" s="1" t="str">
        <f>"SCOTT JAMES"</f>
        <v>SCOTT JAMES</v>
      </c>
      <c r="C11121" s="1" t="str">
        <f>"MAUREEN BLVD ELKS ACRES SEC 2 LOT 12"</f>
        <v>MAUREEN BLVD ELKS ACRES SEC 2 LOT 12</v>
      </c>
      <c r="D11121" s="1">
        <v>829.29</v>
      </c>
    </row>
    <row r="11122" spans="1:4" x14ac:dyDescent="0.3">
      <c r="A11122" s="1" t="str">
        <f>"15300028300"</f>
        <v>15300028300</v>
      </c>
      <c r="B11122" s="1" t="str">
        <f>"SCOTT JAMES"</f>
        <v>SCOTT JAMES</v>
      </c>
      <c r="C11122" s="1" t="str">
        <f>"MAUREEN BLVD ELKS ACRES SEC 2 LOT 13"</f>
        <v>MAUREEN BLVD ELKS ACRES SEC 2 LOT 13</v>
      </c>
      <c r="D11122" s="1">
        <v>227.85</v>
      </c>
    </row>
    <row r="11123" spans="1:4" x14ac:dyDescent="0.3">
      <c r="A11123" s="1" t="str">
        <f>"15300028100"</f>
        <v>15300028100</v>
      </c>
      <c r="B11123" s="1" t="str">
        <f>"SCOTT JAMES"</f>
        <v>SCOTT JAMES</v>
      </c>
      <c r="C11123" s="1" t="str">
        <f>"MAUREEN BLVD ELKS ACRES SEC 2 LOT 11"</f>
        <v>MAUREEN BLVD ELKS ACRES SEC 2 LOT 11</v>
      </c>
      <c r="D11123" s="1">
        <v>227.85</v>
      </c>
    </row>
    <row r="11124" spans="1:4" x14ac:dyDescent="0.3">
      <c r="A11124" s="1" t="str">
        <f>"61019212200"</f>
        <v>61019212200</v>
      </c>
      <c r="B11124" s="1" t="str">
        <f>"SCOTT JAMES E"</f>
        <v>SCOTT JAMES E</v>
      </c>
      <c r="C11124" s="1" t="str">
        <f>"2018 SAWBURY BLVD RESUB PT SUMMERWOOD SEC 2 LOT 276"</f>
        <v>2018 SAWBURY BLVD RESUB PT SUMMERWOOD SEC 2 LOT 276</v>
      </c>
      <c r="D11124" s="1">
        <v>3015.53</v>
      </c>
    </row>
    <row r="11125" spans="1:4" x14ac:dyDescent="0.3">
      <c r="A11125" s="1" t="str">
        <f>"01013014200"</f>
        <v>01013014200</v>
      </c>
      <c r="B11125" s="1" t="str">
        <f>"SCOTT JAMES R, SCOTT MARNA K"</f>
        <v>SCOTT JAMES R, SCOTT MARNA K</v>
      </c>
      <c r="C11125" s="1" t="str">
        <f>"HAZELWOOD RD FOREST PARK LOT 201"</f>
        <v>HAZELWOOD RD FOREST PARK LOT 201</v>
      </c>
      <c r="D11125" s="1">
        <v>3960.56</v>
      </c>
    </row>
    <row r="11126" spans="1:4" x14ac:dyDescent="0.3">
      <c r="A11126" s="1" t="str">
        <f>"16000215400"</f>
        <v>16000215400</v>
      </c>
      <c r="B11126" s="1" t="str">
        <f>"SCOTT JOYCE C LE"</f>
        <v>SCOTT JOYCE C LE</v>
      </c>
      <c r="C11126" s="1" t="str">
        <f>"MAYFAIR DR MAYFAIR PARK 2 SEC 1 LOT 2"</f>
        <v>MAYFAIR DR MAYFAIR PARK 2 SEC 1 LOT 2</v>
      </c>
      <c r="D11126" s="1">
        <v>205.73</v>
      </c>
    </row>
    <row r="11127" spans="1:4" x14ac:dyDescent="0.3">
      <c r="A11127" s="1" t="str">
        <f>"02500604900"</f>
        <v>02500604900</v>
      </c>
      <c r="B11127" s="1" t="str">
        <f>"SCOTT KIMBERLY"</f>
        <v>SCOTT KIMBERLY</v>
      </c>
      <c r="C11127" s="1" t="str">
        <f>"115 SOUTHWIND DRIVE SOUTHWIND LOT 8"</f>
        <v>115 SOUTHWIND DRIVE SOUTHWIND LOT 8</v>
      </c>
      <c r="D11127" s="1">
        <v>5769.01</v>
      </c>
    </row>
    <row r="11128" spans="1:4" x14ac:dyDescent="0.3">
      <c r="A11128" s="1" t="str">
        <f>"01019527400"</f>
        <v>01019527400</v>
      </c>
      <c r="B11128" s="1" t="str">
        <f>"SCOTT LOYCE C, SCOTT DENISE E"</f>
        <v>SCOTT LOYCE C, SCOTT DENISE E</v>
      </c>
      <c r="C11128" s="1" t="str">
        <f>"E BROAD ST PARK TOWERS CONDO UNIT 1506"</f>
        <v>E BROAD ST PARK TOWERS CONDO UNIT 1506</v>
      </c>
      <c r="D11128" s="1">
        <v>3071.48</v>
      </c>
    </row>
    <row r="11129" spans="1:4" x14ac:dyDescent="0.3">
      <c r="A11129" s="1" t="str">
        <f>"01002342800"</f>
        <v>01002342800</v>
      </c>
      <c r="B11129" s="1" t="str">
        <f>"SCOTT MABLE A"</f>
        <v>SCOTT MABLE A</v>
      </c>
      <c r="C11129" s="1" t="str">
        <f>"958 LOCKBOURNE RD GEO WILLIAMS JR MILLER AVE LOT 45"</f>
        <v>958 LOCKBOURNE RD GEO WILLIAMS JR MILLER AVE LOT 45</v>
      </c>
      <c r="D11129" s="1">
        <v>2560.8200000000002</v>
      </c>
    </row>
    <row r="11130" spans="1:4" x14ac:dyDescent="0.3">
      <c r="A11130" s="1" t="str">
        <f>"01006551600"</f>
        <v>01006551600</v>
      </c>
      <c r="B11130" s="1" t="str">
        <f>"SCOTT NASHANA D, SCOTT SHAUN"</f>
        <v>SCOTT NASHANA D, SCOTT SHAUN</v>
      </c>
      <c r="C11130" s="1" t="str">
        <f>"108 N BRINKER AVE COLUMBIA PARK BLK 5 LOT 15"</f>
        <v>108 N BRINKER AVE COLUMBIA PARK BLK 5 LOT 15</v>
      </c>
      <c r="D11130" s="1">
        <v>2814.06</v>
      </c>
    </row>
    <row r="11131" spans="1:4" x14ac:dyDescent="0.3">
      <c r="A11131" s="1" t="str">
        <f>"01000613400"</f>
        <v>01000613400</v>
      </c>
      <c r="B11131" s="1" t="str">
        <f>"SCOTT NAZAREE ETAL 3"</f>
        <v>SCOTT NAZAREE ETAL 3</v>
      </c>
      <c r="C11131" s="1" t="str">
        <f>"1039 CAMDEN AVE WOOLEYS LOT 27"</f>
        <v>1039 CAMDEN AVE WOOLEYS LOT 27</v>
      </c>
      <c r="D11131" s="1">
        <v>595.20000000000005</v>
      </c>
    </row>
    <row r="11132" spans="1:4" x14ac:dyDescent="0.3">
      <c r="A11132" s="1" t="str">
        <f>"01000875200"</f>
        <v>01000875200</v>
      </c>
      <c r="B11132" s="1" t="str">
        <f>"SCOTT SANDRA S"</f>
        <v>SCOTT SANDRA S</v>
      </c>
      <c r="C11132" s="1" t="str">
        <f>"2187 DARTMOUTH HAYDEN PARK PL LOT 52"</f>
        <v>2187 DARTMOUTH HAYDEN PARK PL LOT 52</v>
      </c>
      <c r="D11132" s="1">
        <v>3483.02</v>
      </c>
    </row>
    <row r="11133" spans="1:4" x14ac:dyDescent="0.3">
      <c r="A11133" s="1" t="str">
        <f>"01028535600"</f>
        <v>01028535600</v>
      </c>
      <c r="B11133" s="1" t="str">
        <f>"SCOTT STEVEN R"</f>
        <v>SCOTT STEVEN R</v>
      </c>
      <c r="C11133" s="1" t="str">
        <f>"METROPOLITAN TOWNHOME CONDOMINIUM AT HAYDENS CROSSING  II 2ND AMD BLDG 11 UNIT 1103"</f>
        <v>METROPOLITAN TOWNHOME CONDOMINIUM AT HAYDENS CROSSING  II 2ND AMD BLDG 11 UNIT 1103</v>
      </c>
      <c r="D11133" s="1">
        <v>2122.4499999999998</v>
      </c>
    </row>
    <row r="11134" spans="1:4" x14ac:dyDescent="0.3">
      <c r="A11134" s="1" t="str">
        <f>"04000381300"</f>
        <v>04000381300</v>
      </c>
      <c r="B11134" s="1" t="str">
        <f>"SCOTT TIMOTHY G"</f>
        <v>SCOTT TIMOTHY G</v>
      </c>
      <c r="C11134" s="1" t="str">
        <f>"2980 SAWYER DRIVE SAWYER LOT 23"</f>
        <v>2980 SAWYER DRIVE SAWYER LOT 23</v>
      </c>
      <c r="D11134" s="1">
        <v>218.54</v>
      </c>
    </row>
    <row r="11135" spans="1:4" x14ac:dyDescent="0.3">
      <c r="A11135" s="1" t="str">
        <f>"14000073600"</f>
        <v>14000073600</v>
      </c>
      <c r="B11135" s="1" t="str">
        <f>"SCOTTS RESTORATIONS AND IMPROVEMENTS LLC"</f>
        <v>SCOTTS RESTORATIONS AND IMPROVEMENTS LLC</v>
      </c>
      <c r="C11135" s="1" t="str">
        <f>"1754 ROSEMONT AVE GIBSON PARK PLACE LOT 25-26"</f>
        <v>1754 ROSEMONT AVE GIBSON PARK PLACE LOT 25-26</v>
      </c>
      <c r="D11135" s="1">
        <v>1587.09</v>
      </c>
    </row>
    <row r="11136" spans="1:4" x14ac:dyDescent="0.3">
      <c r="A11136" s="1" t="str">
        <f>"19000395200"</f>
        <v>19000395200</v>
      </c>
      <c r="B11136" s="1" t="str">
        <f>"SDA UNLIMITED LLC"</f>
        <v>SDA UNLIMITED LLC</v>
      </c>
      <c r="C11136" s="1" t="str">
        <f>"MECCA DR NORTHGLEN 192 "</f>
        <v xml:space="preserve">MECCA DR NORTHGLEN 192 </v>
      </c>
      <c r="D11136" s="1">
        <v>3716.65</v>
      </c>
    </row>
    <row r="11137" spans="1:4" x14ac:dyDescent="0.3">
      <c r="A11137" s="1" t="str">
        <f>"01000087300"</f>
        <v>01000087300</v>
      </c>
      <c r="B11137" s="1" t="str">
        <f>"SDA UNLIMITED LLC"</f>
        <v>SDA UNLIMITED LLC</v>
      </c>
      <c r="C11137" s="1" t="str">
        <f>"659 LINWOOD AVE 60 FT OAKWOOD E LOT 316-317-318"</f>
        <v>659 LINWOOD AVE 60 FT OAKWOOD E LOT 316-317-318</v>
      </c>
      <c r="D11137" s="1">
        <v>6464.72</v>
      </c>
    </row>
    <row r="11138" spans="1:4" x14ac:dyDescent="0.3">
      <c r="A11138" s="1" t="str">
        <f>"02000119900"</f>
        <v>02000119900</v>
      </c>
      <c r="B11138" s="1" t="str">
        <f>"SDA UNLIMITED LLC"</f>
        <v>SDA UNLIMITED LLC</v>
      </c>
      <c r="C11138" s="1" t="str">
        <f>"103 N ARDMORE RD LOT 753 ARDMORE 2"</f>
        <v>103 N ARDMORE RD LOT 753 ARDMORE 2</v>
      </c>
      <c r="D11138" s="1">
        <v>9694.08</v>
      </c>
    </row>
    <row r="11139" spans="1:4" x14ac:dyDescent="0.3">
      <c r="A11139" s="1" t="str">
        <f>"15000144800"</f>
        <v>15000144800</v>
      </c>
      <c r="B11139" s="1" t="str">
        <f>"SDA UNLIMITED LLC"</f>
        <v>SDA UNLIMITED LLC</v>
      </c>
      <c r="C11139" s="1" t="str">
        <f>"914 CHERRYDALE AVE HAMILTON MEADOWS 6 LOT 646"</f>
        <v>914 CHERRYDALE AVE HAMILTON MEADOWS 6 LOT 646</v>
      </c>
      <c r="D11139" s="1">
        <v>3634</v>
      </c>
    </row>
    <row r="11140" spans="1:4" x14ac:dyDescent="0.3">
      <c r="A11140" s="1" t="str">
        <f>"01007885400"</f>
        <v>01007885400</v>
      </c>
      <c r="B11140" s="1" t="str">
        <f>"SDA UNLIMITED LLC"</f>
        <v>SDA UNLIMITED LLC</v>
      </c>
      <c r="C11140" s="1" t="str">
        <f>"SYLVAN AVE WESTGATE PARK LOT 340"</f>
        <v>SYLVAN AVE WESTGATE PARK LOT 340</v>
      </c>
      <c r="D11140" s="1">
        <v>3052.18</v>
      </c>
    </row>
    <row r="11141" spans="1:4" x14ac:dyDescent="0.3">
      <c r="A11141" s="1" t="str">
        <f>"01006413700"</f>
        <v>01006413700</v>
      </c>
      <c r="B11141" s="1" t="str">
        <f>"SDA UNLIMITED LLC"</f>
        <v>SDA UNLIMITED LLC</v>
      </c>
      <c r="C11141" s="1" t="str">
        <f>"FOREST ST LIVINGSTON WHITTIER GARDENS LOT 103-104"</f>
        <v>FOREST ST LIVINGSTON WHITTIER GARDENS LOT 103-104</v>
      </c>
      <c r="D11141" s="1">
        <v>3032.59</v>
      </c>
    </row>
    <row r="11142" spans="1:4" x14ac:dyDescent="0.3">
      <c r="A11142" s="1" t="str">
        <f>"01000879100"</f>
        <v>01000879100</v>
      </c>
      <c r="B11142" s="1" t="str">
        <f>"SDA UNLIMITED LLC"</f>
        <v>SDA UNLIMITED LLC</v>
      </c>
      <c r="C11142" s="1" t="str">
        <f>"2262 WILLAMONT AVE HAYDENS PK PLACE LOT 97"</f>
        <v>2262 WILLAMONT AVE HAYDENS PK PLACE LOT 97</v>
      </c>
      <c r="D11142" s="1">
        <v>3217.56</v>
      </c>
    </row>
    <row r="11143" spans="1:4" x14ac:dyDescent="0.3">
      <c r="A11143" s="1" t="str">
        <f>"01004722500"</f>
        <v>01004722500</v>
      </c>
      <c r="B11143" s="1" t="str">
        <f>"SDA UNLIMITED LLC"</f>
        <v>SDA UNLIMITED LLC</v>
      </c>
      <c r="C11143" s="1" t="str">
        <f>"95 ROYS AVE HILL TOP LOT 37"</f>
        <v>95 ROYS AVE HILL TOP LOT 37</v>
      </c>
      <c r="D11143" s="1">
        <v>2082.44</v>
      </c>
    </row>
    <row r="11144" spans="1:4" x14ac:dyDescent="0.3">
      <c r="A11144" s="1" t="str">
        <f>"11000593700"</f>
        <v>11000593700</v>
      </c>
      <c r="B11144" s="1" t="str">
        <f>"SDBW HOLDINGS LLC"</f>
        <v>SDBW HOLDINGS LLC</v>
      </c>
      <c r="C11144" s="1" t="str">
        <f>"AMENDED PLAT OF SUNBURY WOODS CENTER PHASE 2 LOT B"</f>
        <v>AMENDED PLAT OF SUNBURY WOODS CENTER PHASE 2 LOT B</v>
      </c>
      <c r="D11144" s="1">
        <v>27637.759999999998</v>
      </c>
    </row>
    <row r="11145" spans="1:4" x14ac:dyDescent="0.3">
      <c r="A11145" s="1" t="str">
        <f>"01006088100"</f>
        <v>01006088100</v>
      </c>
      <c r="B11145" s="1" t="str">
        <f>"SDG HOLDINGS LLC"</f>
        <v>SDG HOLDINGS LLC</v>
      </c>
      <c r="C11145" s="1" t="str">
        <f>"1595 E BLAKE AVE INNIS CREST LOT 253"</f>
        <v>1595 E BLAKE AVE INNIS CREST LOT 253</v>
      </c>
      <c r="D11145" s="1">
        <v>1749.13</v>
      </c>
    </row>
    <row r="11146" spans="1:4" x14ac:dyDescent="0.3">
      <c r="A11146" s="1" t="str">
        <f>"01007300900"</f>
        <v>01007300900</v>
      </c>
      <c r="B11146" s="1" t="str">
        <f>"SDG HOLDINGS LLC"</f>
        <v>SDG HOLDINGS LLC</v>
      </c>
      <c r="C11146" s="1" t="str">
        <f>"AZELDA ALMADA LOT 487"</f>
        <v>AZELDA ALMADA LOT 487</v>
      </c>
      <c r="D11146" s="1">
        <v>541.04999999999995</v>
      </c>
    </row>
    <row r="11147" spans="1:4" x14ac:dyDescent="0.3">
      <c r="A11147" s="1" t="str">
        <f>"01007301000"</f>
        <v>01007301000</v>
      </c>
      <c r="B11147" s="1" t="str">
        <f>"SDG HOLDINGS LLC"</f>
        <v>SDG HOLDINGS LLC</v>
      </c>
      <c r="C11147" s="1" t="str">
        <f>"2454 AZELDA AVE ALMADA LOT 486"</f>
        <v>2454 AZELDA AVE ALMADA LOT 486</v>
      </c>
      <c r="D11147" s="1">
        <v>2251.39</v>
      </c>
    </row>
    <row r="11148" spans="1:4" x14ac:dyDescent="0.3">
      <c r="A11148" s="1" t="str">
        <f>"01005143800"</f>
        <v>01005143800</v>
      </c>
      <c r="B11148" s="1" t="str">
        <f>"SDG HOLDINGS LLC"</f>
        <v>SDG HOLDINGS LLC</v>
      </c>
      <c r="C11148" s="1" t="str">
        <f>"706 FREBIS AVE HOMEVILLE LOT 131"</f>
        <v>706 FREBIS AVE HOMEVILLE LOT 131</v>
      </c>
      <c r="D11148" s="1">
        <v>2964.31</v>
      </c>
    </row>
    <row r="11149" spans="1:4" x14ac:dyDescent="0.3">
      <c r="A11149" s="1" t="str">
        <f>"01006541400"</f>
        <v>01006541400</v>
      </c>
      <c r="B11149" s="1" t="str">
        <f>"SDG HOLDINGS LLC"</f>
        <v>SDG HOLDINGS LLC</v>
      </c>
      <c r="C11149" s="1" t="str">
        <f>"TAYLOR AVE MULBUR PARK LOT 51"</f>
        <v>TAYLOR AVE MULBUR PARK LOT 51</v>
      </c>
      <c r="D11149" s="1">
        <v>2832.78</v>
      </c>
    </row>
    <row r="11150" spans="1:4" x14ac:dyDescent="0.3">
      <c r="A11150" s="1" t="str">
        <f>"01005204100"</f>
        <v>01005204100</v>
      </c>
      <c r="B11150" s="1" t="str">
        <f>"SDK PROPERTIES LLC"</f>
        <v>SDK PROPERTIES LLC</v>
      </c>
      <c r="C11150" s="1" t="str">
        <f>"240-42 TAYLOR AVE WOODLAND PK SUB LOT 14-15 1TO36"</f>
        <v>240-42 TAYLOR AVE WOODLAND PK SUB LOT 14-15 1TO36</v>
      </c>
      <c r="D11150" s="1">
        <v>3793.4</v>
      </c>
    </row>
    <row r="11151" spans="1:4" x14ac:dyDescent="0.3">
      <c r="A11151" s="1" t="str">
        <f>"01006491700"</f>
        <v>01006491700</v>
      </c>
      <c r="B11151" s="1" t="str">
        <f>"SE BUTLER REAL ESTATE GROUP LLC"</f>
        <v>SE BUTLER REAL ESTATE GROUP LLC</v>
      </c>
      <c r="C11151" s="1" t="str">
        <f>"2533 SULLIVANT AVE SCHOENE RES F"</f>
        <v>2533 SULLIVANT AVE SCHOENE RES F</v>
      </c>
      <c r="D11151" s="1">
        <v>2044.7</v>
      </c>
    </row>
    <row r="11152" spans="1:4" x14ac:dyDescent="0.3">
      <c r="A11152" s="1" t="str">
        <f>"17000259800"</f>
        <v>17000259800</v>
      </c>
      <c r="B11152" s="1" t="str">
        <f>"SEABOLT GREGORY, SEABOLT DEBORAH"</f>
        <v>SEABOLT GREGORY, SEABOLT DEBORAH</v>
      </c>
      <c r="C11152" s="1" t="str">
        <f>"POPPY HILLS DRIVE JEFFERSON MEADOWS SECTION 3 LOT 126"</f>
        <v>POPPY HILLS DRIVE JEFFERSON MEADOWS SECTION 3 LOT 126</v>
      </c>
      <c r="D11152" s="1">
        <v>600.44000000000005</v>
      </c>
    </row>
    <row r="11153" spans="1:4" x14ac:dyDescent="0.3">
      <c r="A11153" s="1" t="str">
        <f>"27300699600"</f>
        <v>27300699600</v>
      </c>
      <c r="B11153" s="1" t="str">
        <f>"SEAMAN ARDEN L TR"</f>
        <v>SEAMAN ARDEN L TR</v>
      </c>
      <c r="C11153" s="1" t="str">
        <f>"GLENBARR AT MUIRFIELD CONDO 7TH AMD BLDG6 UNIT 6020"</f>
        <v>GLENBARR AT MUIRFIELD CONDO 7TH AMD BLDG6 UNIT 6020</v>
      </c>
      <c r="D11153" s="1">
        <v>370.83</v>
      </c>
    </row>
    <row r="11154" spans="1:4" x14ac:dyDescent="0.3">
      <c r="A11154" s="1" t="str">
        <f>"01014430100"</f>
        <v>01014430100</v>
      </c>
      <c r="B11154" s="1" t="str">
        <f>"SEARCH KENNETH E, SEARCH BONITA R"</f>
        <v>SEARCH KENNETH E, SEARCH BONITA R</v>
      </c>
      <c r="C11154" s="1" t="str">
        <f>"BROWNFIELD RD MAYBURY LOT 58"</f>
        <v>BROWNFIELD RD MAYBURY LOT 58</v>
      </c>
      <c r="D11154" s="1">
        <v>2003.54</v>
      </c>
    </row>
    <row r="11155" spans="1:4" x14ac:dyDescent="0.3">
      <c r="A11155" s="1" t="str">
        <f>"06000389400"</f>
        <v>06000389400</v>
      </c>
      <c r="B11155" s="1" t="str">
        <f>"SEARL ELIZABETH A TR"</f>
        <v>SEARL ELIZABETH A TR</v>
      </c>
      <c r="C11155" s="1" t="str">
        <f>"LAIRD AVE H C HUBER PLAT 36 SEC 7 LOT 1892"</f>
        <v>LAIRD AVE H C HUBER PLAT 36 SEC 7 LOT 1892</v>
      </c>
      <c r="D11155" s="1">
        <v>710.82</v>
      </c>
    </row>
    <row r="11156" spans="1:4" x14ac:dyDescent="0.3">
      <c r="A11156" s="1" t="str">
        <f>"05000293300"</f>
        <v>05000293300</v>
      </c>
      <c r="B11156" s="1" t="str">
        <f>"SEARS CHARLES W"</f>
        <v>SEARS CHARLES W</v>
      </c>
      <c r="C11156" s="1" t="str">
        <f>"2662 ROME-HILLIARD ENTRY 3446-15022-7029 1.510 ACRES"</f>
        <v>2662 ROME-HILLIARD ENTRY 3446-15022-7029 1.510 ACRES</v>
      </c>
      <c r="D11156" s="1">
        <v>6425.44</v>
      </c>
    </row>
    <row r="11157" spans="1:4" x14ac:dyDescent="0.3">
      <c r="A11157" s="1" t="str">
        <f>"10000134200"</f>
        <v>10000134200</v>
      </c>
      <c r="B11157" s="1" t="str">
        <f>"SEARS RONALD J, SEARS VICTORIA A"</f>
        <v>SEARS RONALD J, SEARS VICTORIA A</v>
      </c>
      <c r="C11157" s="1" t="str">
        <f>"500 PARK OVERLOOK DR RES B LOT 88 COLONIAL HILLS NO 2"</f>
        <v>500 PARK OVERLOOK DR RES B LOT 88 COLONIAL HILLS NO 2</v>
      </c>
      <c r="D11157" s="1">
        <v>323.72000000000003</v>
      </c>
    </row>
    <row r="11158" spans="1:4" x14ac:dyDescent="0.3">
      <c r="A11158" s="1" t="str">
        <f>"01002582600"</f>
        <v>01002582600</v>
      </c>
      <c r="B11158" s="1" t="str">
        <f>"SEASON OF MISTS LLC"</f>
        <v>SEASON OF MISTS LLC</v>
      </c>
      <c r="C11158" s="1" t="str">
        <f>"879 CAMPBELL AVE OSBORN PLC LOT 302"</f>
        <v>879 CAMPBELL AVE OSBORN PLC LOT 302</v>
      </c>
      <c r="D11158" s="1">
        <v>3324.99</v>
      </c>
    </row>
    <row r="11159" spans="1:4" x14ac:dyDescent="0.3">
      <c r="A11159" s="1" t="str">
        <f>"01013954300"</f>
        <v>01013954300</v>
      </c>
      <c r="B11159" s="1" t="str">
        <f>"SEAY WILLIAM JR"</f>
        <v>SEAY WILLIAM JR</v>
      </c>
      <c r="C11159" s="1" t="str">
        <f>"BENVUE AVE FLORA FLORAVIEW HTS L 21"</f>
        <v>BENVUE AVE FLORA FLORAVIEW HTS L 21</v>
      </c>
      <c r="D11159" s="1">
        <v>1451.68</v>
      </c>
    </row>
    <row r="11160" spans="1:4" x14ac:dyDescent="0.3">
      <c r="A11160" s="1" t="str">
        <f>"01007614000"</f>
        <v>01007614000</v>
      </c>
      <c r="B11160" s="1" t="str">
        <f>"SEAY WILLIAM L JR"</f>
        <v>SEAY WILLIAM L JR</v>
      </c>
      <c r="C11160" s="1" t="str">
        <f>"1071-3 18TH AVE WILLARD CLEVELAND HT LOT 42"</f>
        <v>1071-3 18TH AVE WILLARD CLEVELAND HT LOT 42</v>
      </c>
      <c r="D11160" s="1">
        <v>1600.19</v>
      </c>
    </row>
    <row r="11161" spans="1:4" x14ac:dyDescent="0.3">
      <c r="A11161" s="1" t="str">
        <f>"60025257100"</f>
        <v>60025257100</v>
      </c>
      <c r="B11161" s="1" t="str">
        <f>"SEBASTIAN NANCY L, SEBASTIAN MARTY W"</f>
        <v>SEBASTIAN NANCY L, SEBASTIAN MARTY W</v>
      </c>
      <c r="C11161" s="1" t="str">
        <f>"JONATHAN NOBLE WAY NOBLE VILLAGE LOT 30"</f>
        <v>JONATHAN NOBLE WAY NOBLE VILLAGE LOT 30</v>
      </c>
      <c r="D11161" s="1">
        <v>530.78</v>
      </c>
    </row>
    <row r="11162" spans="1:4" x14ac:dyDescent="0.3">
      <c r="A11162" s="1" t="str">
        <f>"01003103300"</f>
        <v>01003103300</v>
      </c>
      <c r="B11162" s="1" t="str">
        <f>"SECOND BAPTIST CHURCH"</f>
        <v>SECOND BAPTIST CHURCH</v>
      </c>
      <c r="C11162" s="1" t="str">
        <f>"898-904 E SPRING ST EAST GROVE ADDITION LOT 113 &amp; PT VAC ST"</f>
        <v>898-904 E SPRING ST EAST GROVE ADDITION LOT 113 &amp; PT VAC ST</v>
      </c>
      <c r="D11162" s="1">
        <v>37.15</v>
      </c>
    </row>
    <row r="11163" spans="1:4" x14ac:dyDescent="0.3">
      <c r="A11163" s="1" t="str">
        <f>"01003105000"</f>
        <v>01003105000</v>
      </c>
      <c r="B11163" s="1" t="str">
        <f>"SECOND BAPTIST CHURCH"</f>
        <v>SECOND BAPTIST CHURCH</v>
      </c>
      <c r="C11163" s="1" t="str">
        <f>"138 N 17TH ST EX TRI STRIP 5FT FRT X53.5X 54.1FT BAKER LOT 26"</f>
        <v>138 N 17TH ST EX TRI STRIP 5FT FRT X53.5X 54.1FT BAKER LOT 26</v>
      </c>
      <c r="D11163" s="1">
        <v>17.059999999999999</v>
      </c>
    </row>
    <row r="11164" spans="1:4" x14ac:dyDescent="0.3">
      <c r="A11164" s="1" t="str">
        <f>"01003991700"</f>
        <v>01003991700</v>
      </c>
      <c r="B11164" s="1" t="str">
        <f>"SECOND BAPTIST CHURCH"</f>
        <v>SECOND BAPTIST CHURCH</v>
      </c>
      <c r="C11164" s="1" t="str">
        <f>"175 N SEVENTEENTH ST EAST GROVE LOT 117 &amp; 30'NS LOT 118"</f>
        <v>175 N SEVENTEENTH ST EAST GROVE LOT 117 &amp; 30'NS LOT 118</v>
      </c>
      <c r="D11164" s="1">
        <v>77.459999999999994</v>
      </c>
    </row>
    <row r="11165" spans="1:4" x14ac:dyDescent="0.3">
      <c r="A11165" s="1" t="str">
        <f>"01003520100"</f>
        <v>01003520100</v>
      </c>
      <c r="B11165" s="1" t="str">
        <f>"SECOND BAPTIST CHURCH"</f>
        <v>SECOND BAPTIST CHURCH</v>
      </c>
      <c r="C11165" s="1" t="str">
        <f>"229 N 17TH ST E GROVE LOT 109"</f>
        <v>229 N 17TH ST E GROVE LOT 109</v>
      </c>
      <c r="D11165" s="1">
        <v>24.46</v>
      </c>
    </row>
    <row r="11166" spans="1:4" x14ac:dyDescent="0.3">
      <c r="A11166" s="1" t="str">
        <f>"01004363200"</f>
        <v>01004363200</v>
      </c>
      <c r="B11166" s="1" t="str">
        <f>"SECOND BAPTIST CHURCH"</f>
        <v>SECOND BAPTIST CHURCH</v>
      </c>
      <c r="C11166" s="1" t="str">
        <f>"N 17TH ST EAST GROVE LOT 111"</f>
        <v>N 17TH ST EAST GROVE LOT 111</v>
      </c>
      <c r="D11166" s="1">
        <v>25.19</v>
      </c>
    </row>
    <row r="11167" spans="1:4" x14ac:dyDescent="0.3">
      <c r="A11167" s="1" t="str">
        <f>"01002110400"</f>
        <v>01002110400</v>
      </c>
      <c r="B11167" s="1" t="str">
        <f>"SECOND BAPTIST CHURCH"</f>
        <v>SECOND BAPTIST CHURCH</v>
      </c>
      <c r="C11167" s="1" t="str">
        <f>"244-246 N 17TH ST MITCHELL &amp; WATSON MT VERNON AVE LOT 5"</f>
        <v>244-246 N 17TH ST MITCHELL &amp; WATSON MT VERNON AVE LOT 5</v>
      </c>
      <c r="D11167" s="1">
        <v>24.46</v>
      </c>
    </row>
    <row r="11168" spans="1:4" x14ac:dyDescent="0.3">
      <c r="A11168" s="1" t="str">
        <f>"01003498100"</f>
        <v>01003498100</v>
      </c>
      <c r="B11168" s="1" t="str">
        <f>"SECOND BAPTIST CHURCH"</f>
        <v>SECOND BAPTIST CHURCH</v>
      </c>
      <c r="C11168" s="1" t="str">
        <f>"189 N 17TH ST E GROVE LOT 115"</f>
        <v>189 N 17TH ST E GROVE LOT 115</v>
      </c>
      <c r="D11168" s="1">
        <v>39.67</v>
      </c>
    </row>
    <row r="11169" spans="1:4" x14ac:dyDescent="0.3">
      <c r="A11169" s="1" t="str">
        <f>"01002528800"</f>
        <v>01002528800</v>
      </c>
      <c r="B11169" s="1" t="str">
        <f>"SECOND BAPTIST CHURCH"</f>
        <v>SECOND BAPTIST CHURCH</v>
      </c>
      <c r="C11169" s="1" t="str">
        <f>"215 N 17TH ST E GROVE LOT 112"</f>
        <v>215 N 17TH ST E GROVE LOT 112</v>
      </c>
      <c r="D11169" s="1">
        <v>25.19</v>
      </c>
    </row>
    <row r="11170" spans="1:4" x14ac:dyDescent="0.3">
      <c r="A11170" s="1" t="str">
        <f>"01005703400"</f>
        <v>01005703400</v>
      </c>
      <c r="B11170" s="1" t="str">
        <f>"SECOND BAPTIST CHURCH"</f>
        <v>SECOND BAPTIST CHURCH</v>
      </c>
      <c r="C11170" s="1" t="str">
        <f>"17TH ST WATSON'S EAST GROVE ADD  LOT 102"</f>
        <v>17TH ST WATSON'S EAST GROVE ADD  LOT 102</v>
      </c>
      <c r="D11170" s="1">
        <v>24.71</v>
      </c>
    </row>
    <row r="11171" spans="1:4" x14ac:dyDescent="0.3">
      <c r="A11171" s="1" t="str">
        <f>"01005350600"</f>
        <v>01005350600</v>
      </c>
      <c r="B11171" s="1" t="str">
        <f>"SECOND BAPTIST CHURCH OF COLUMBUS"</f>
        <v>SECOND BAPTIST CHURCH OF COLUMBUS</v>
      </c>
      <c r="C11171" s="1" t="str">
        <f>"259 N 17TH ST EAST GROVE LOT 104"</f>
        <v>259 N 17TH ST EAST GROVE LOT 104</v>
      </c>
      <c r="D11171" s="1">
        <v>24.94</v>
      </c>
    </row>
    <row r="11172" spans="1:4" x14ac:dyDescent="0.3">
      <c r="A11172" s="1" t="str">
        <f>"01001841100"</f>
        <v>01001841100</v>
      </c>
      <c r="B11172" s="1" t="str">
        <f>"SECOND BAPTIST CHURCH OF COLUMBUS OHIO"</f>
        <v>SECOND BAPTIST CHURCH OF COLUMBUS OHIO</v>
      </c>
      <c r="C11172" s="1" t="str">
        <f>"263 N 17TH ST E GROVE LOT 103"</f>
        <v>263 N 17TH ST E GROVE LOT 103</v>
      </c>
      <c r="D11172" s="1">
        <v>24.71</v>
      </c>
    </row>
    <row r="11173" spans="1:4" x14ac:dyDescent="0.3">
      <c r="A11173" s="1" t="str">
        <f>"01005298900"</f>
        <v>01005298900</v>
      </c>
      <c r="B11173" s="1" t="str">
        <f>"SECOND BAPTIST CHURCH OF THE CITY OF COLUMBUS"</f>
        <v>SECOND BAPTIST CHURCH OF THE CITY OF COLUMBUS</v>
      </c>
      <c r="C11173" s="1" t="str">
        <f>"149-147 N 18TH ST DEWITT &amp; HOFFMAN LOT 28"</f>
        <v>149-147 N 18TH ST DEWITT &amp; HOFFMAN LOT 28</v>
      </c>
      <c r="D11173" s="1">
        <v>32.69</v>
      </c>
    </row>
    <row r="11174" spans="1:4" x14ac:dyDescent="0.3">
      <c r="A11174" s="1" t="str">
        <f>"01005299000"</f>
        <v>01005299000</v>
      </c>
      <c r="B11174" s="1" t="str">
        <f>"SECOND BAPTIST CHURCH OF THE CITY OF COLUMBUS"</f>
        <v>SECOND BAPTIST CHURCH OF THE CITY OF COLUMBUS</v>
      </c>
      <c r="C11174" s="1" t="str">
        <f>"145 N 18TH ST DEWITT &amp; HOFFMAN LOT 29"</f>
        <v>145 N 18TH ST DEWITT &amp; HOFFMAN LOT 29</v>
      </c>
      <c r="D11174" s="1">
        <v>17.059999999999999</v>
      </c>
    </row>
    <row r="11175" spans="1:4" x14ac:dyDescent="0.3">
      <c r="A11175" s="1" t="str">
        <f>"01002948400"</f>
        <v>01002948400</v>
      </c>
      <c r="B11175" s="1" t="str">
        <f>"SECOND BAPTIST CHURCH OF THE CITY OF COLUMBUS"</f>
        <v>SECOND BAPTIST CHURCH OF THE CITY OF COLUMBUS</v>
      </c>
      <c r="C11175" s="1" t="str">
        <f>"E LONG ST DEWITT &amp; HOFFMAN PT LOTS 30-31"</f>
        <v>E LONG ST DEWITT &amp; HOFFMAN PT LOTS 30-31</v>
      </c>
      <c r="D11175" s="1">
        <v>34.9</v>
      </c>
    </row>
    <row r="11176" spans="1:4" x14ac:dyDescent="0.3">
      <c r="A11176" s="1" t="str">
        <f>"01004209900"</f>
        <v>01004209900</v>
      </c>
      <c r="B11176" s="1" t="str">
        <f>"SECOND BAPTIST CHURCH OF THE CITY OF COLUMBUS"</f>
        <v>SECOND BAPTIST CHURCH OF THE CITY OF COLUMBUS</v>
      </c>
      <c r="C11176" s="1" t="str">
        <f>"928-30 E LONG ST DEWITT &amp; HOFFMAN LOT 30-31"</f>
        <v>928-30 E LONG ST DEWITT &amp; HOFFMAN LOT 30-31</v>
      </c>
      <c r="D11176" s="1">
        <v>70.75</v>
      </c>
    </row>
    <row r="11177" spans="1:4" x14ac:dyDescent="0.3">
      <c r="A11177" s="1" t="str">
        <f>"01004074600"</f>
        <v>01004074600</v>
      </c>
      <c r="B11177" s="1" t="str">
        <f>"SECOND BAPTIST CHURCH OF THE CITY OF COLUMBUS FRANKLIN COUNTY"</f>
        <v>SECOND BAPTIST CHURCH OF THE CITY OF COLUMBUS FRANKLIN COUNTY</v>
      </c>
      <c r="C11177" s="1" t="str">
        <f>"N 17TH ST EAST GROVE PT LOTS 118 &amp; 119"</f>
        <v>N 17TH ST EAST GROVE PT LOTS 118 &amp; 119</v>
      </c>
      <c r="D11177" s="1">
        <v>15.48</v>
      </c>
    </row>
    <row r="11178" spans="1:4" x14ac:dyDescent="0.3">
      <c r="A11178" s="1" t="str">
        <f>"01028462700"</f>
        <v>01028462700</v>
      </c>
      <c r="B11178" s="1" t="str">
        <f>"SECOR JENNA K"</f>
        <v>SECOR JENNA K</v>
      </c>
      <c r="C11178" s="1" t="str">
        <f>"THE FALLS AT HAYDEN RUN   CONDOMINIUM 8TH AMD       BLDG 48 UNIT 48-5595     "</f>
        <v xml:space="preserve">THE FALLS AT HAYDEN RUN   CONDOMINIUM 8TH AMD       BLDG 48 UNIT 48-5595     </v>
      </c>
      <c r="D11178" s="1">
        <v>2533.8000000000002</v>
      </c>
    </row>
    <row r="11179" spans="1:4" x14ac:dyDescent="0.3">
      <c r="A11179" s="1" t="str">
        <f>"01024326500"</f>
        <v>01024326500</v>
      </c>
      <c r="B11179" s="1" t="str">
        <f>"SECREST WILEY R, SECREST RITA K"</f>
        <v>SECREST WILEY R, SECREST RITA K</v>
      </c>
      <c r="C11179" s="1" t="str">
        <f>"MARBLE CLIFF CROSSING SECTION 1 LOT 63"</f>
        <v>MARBLE CLIFF CROSSING SECTION 1 LOT 63</v>
      </c>
      <c r="D11179" s="1">
        <v>592.05999999999995</v>
      </c>
    </row>
    <row r="11180" spans="1:4" x14ac:dyDescent="0.3">
      <c r="A11180" s="1" t="str">
        <f>"01006807000"</f>
        <v>01006807000</v>
      </c>
      <c r="B11180" s="1" t="str">
        <f>"SECRETARY OF HOUSING &amp; URBAN DEVELOPMENT"</f>
        <v>SECRETARY OF HOUSING &amp; URBAN DEVELOPMENT</v>
      </c>
      <c r="C11180" s="1" t="str">
        <f>"635 NASHOBA AVE HILLTONIA ANNEX LOT 11 BLK 13"</f>
        <v>635 NASHOBA AVE HILLTONIA ANNEX LOT 11 BLK 13</v>
      </c>
      <c r="D11180" s="1">
        <v>1524.05</v>
      </c>
    </row>
    <row r="11181" spans="1:4" x14ac:dyDescent="0.3">
      <c r="A11181" s="1" t="str">
        <f>"01007815000"</f>
        <v>01007815000</v>
      </c>
      <c r="B11181" s="1" t="str">
        <f>"SECRETARY OF HOUSING AND URBAN DEVELOPMENT"</f>
        <v>SECRETARY OF HOUSING AND URBAN DEVELOPMENT</v>
      </c>
      <c r="C11181" s="1" t="str">
        <f>"802 S WAYNE AVE WESTLAND EXT LOT 175"</f>
        <v>802 S WAYNE AVE WESTLAND EXT LOT 175</v>
      </c>
      <c r="D11181" s="1">
        <v>811.59</v>
      </c>
    </row>
    <row r="11182" spans="1:4" x14ac:dyDescent="0.3">
      <c r="A11182" s="1" t="str">
        <f>"60016483500"</f>
        <v>60016483500</v>
      </c>
      <c r="B11182" s="1" t="str">
        <f>"SECRETARY OF HOUSING AND URBAN DEVELOPMENT"</f>
        <v>SECRETARY OF HOUSING AND URBAN DEVELOPMENT</v>
      </c>
      <c r="C11182" s="1" t="str">
        <f>"5656 HEATHER RD MCDANNALD ESTATES 3 LOT 21"</f>
        <v>5656 HEATHER RD MCDANNALD ESTATES 3 LOT 21</v>
      </c>
      <c r="D11182" s="1">
        <v>2739.4</v>
      </c>
    </row>
    <row r="11183" spans="1:4" x14ac:dyDescent="0.3">
      <c r="A11183" s="1" t="str">
        <f>"19000122000"</f>
        <v>19000122000</v>
      </c>
      <c r="B11183" s="1" t="str">
        <f>"SECRETARY OF VETERAN AFFAIRS"</f>
        <v>SECRETARY OF VETERAN AFFAIRS</v>
      </c>
      <c r="C11183" s="1" t="str">
        <f>"2670 PURDUE AVE 50X170FT SS EAST LINDEN 3RD 78"</f>
        <v>2670 PURDUE AVE 50X170FT SS EAST LINDEN 3RD 78</v>
      </c>
      <c r="D11183" s="1">
        <v>270.27999999999997</v>
      </c>
    </row>
    <row r="11184" spans="1:4" x14ac:dyDescent="0.3">
      <c r="A11184" s="1" t="str">
        <f>"01013511100"</f>
        <v>01013511100</v>
      </c>
      <c r="B11184" s="1" t="str">
        <f>"SECRETARY OF VETERANS AFFAIRS"</f>
        <v>SECRETARY OF VETERANS AFFAIRS</v>
      </c>
      <c r="C11184" s="1" t="str">
        <f>"CHESFIELD DR BROOKSHIRE S LOT 142"</f>
        <v>CHESFIELD DR BROOKSHIRE S LOT 142</v>
      </c>
      <c r="D11184" s="1">
        <v>204.78</v>
      </c>
    </row>
    <row r="11185" spans="1:4" x14ac:dyDescent="0.3">
      <c r="A11185" s="1" t="str">
        <f>"01028736500"</f>
        <v>01028736500</v>
      </c>
      <c r="B11185" s="1" t="str">
        <f>"SEDGWICK ELIZABETH ANN"</f>
        <v>SEDGWICK ELIZABETH ANN</v>
      </c>
      <c r="C11185" s="1" t="str">
        <f>"THE WOODS AT HAYDEN RUN CONDOMINIUM 3RD AMD UNIT 23-5783"</f>
        <v>THE WOODS AT HAYDEN RUN CONDOMINIUM 3RD AMD UNIT 23-5783</v>
      </c>
      <c r="D11185" s="1">
        <v>272.88</v>
      </c>
    </row>
    <row r="11186" spans="1:4" x14ac:dyDescent="0.3">
      <c r="A11186" s="1" t="str">
        <f>"01007702200"</f>
        <v>01007702200</v>
      </c>
      <c r="B11186" s="1" t="str">
        <f>"SEEGER LORI A"</f>
        <v>SEEGER LORI A</v>
      </c>
      <c r="C11186" s="1" t="str">
        <f>"ROYS AVE BROADVIEW EXT BLK25 LOT 6"</f>
        <v>ROYS AVE BROADVIEW EXT BLK25 LOT 6</v>
      </c>
      <c r="D11186" s="1">
        <v>147.88999999999999</v>
      </c>
    </row>
    <row r="11187" spans="1:4" x14ac:dyDescent="0.3">
      <c r="A11187" s="1" t="str">
        <f>"14000224500"</f>
        <v>14000224500</v>
      </c>
      <c r="B11187" s="1" t="str">
        <f>"SEEGER LORI A TR"</f>
        <v>SEEGER LORI A TR</v>
      </c>
      <c r="C11187" s="1" t="str">
        <f>"1870 RICHMOND RD RICHTERS 141 "</f>
        <v xml:space="preserve">1870 RICHMOND RD RICHTERS 141 </v>
      </c>
      <c r="D11187" s="1">
        <v>741.48</v>
      </c>
    </row>
    <row r="11188" spans="1:4" x14ac:dyDescent="0.3">
      <c r="A11188" s="1" t="str">
        <f>"01004339800"</f>
        <v>01004339800</v>
      </c>
      <c r="B11188" s="1" t="str">
        <f>"SEELY ROGER B"</f>
        <v>SEELY ROGER B</v>
      </c>
      <c r="C11188" s="1" t="str">
        <f>"784 MOHAWK ST JAEGER LOT 104 S1/2"</f>
        <v>784 MOHAWK ST JAEGER LOT 104 S1/2</v>
      </c>
      <c r="D11188" s="1">
        <v>2610.77</v>
      </c>
    </row>
    <row r="11189" spans="1:4" x14ac:dyDescent="0.3">
      <c r="A11189" s="1" t="str">
        <f>"08000422500"</f>
        <v>08000422500</v>
      </c>
      <c r="B11189" s="1" t="str">
        <f>"SEEMUELLER RICHARD W"</f>
        <v>SEEMUELLER RICHARD W</v>
      </c>
      <c r="C11189" s="1" t="str">
        <f>"BELPRE PLACE WEST ANNEHURST VILLAGE NO 7 LOT 371"</f>
        <v>BELPRE PLACE WEST ANNEHURST VILLAGE NO 7 LOT 371</v>
      </c>
      <c r="D11189" s="1">
        <v>377.96</v>
      </c>
    </row>
    <row r="11190" spans="1:4" x14ac:dyDescent="0.3">
      <c r="A11190" s="1" t="str">
        <f>"57023001400"</f>
        <v>57023001400</v>
      </c>
      <c r="B11190" s="1" t="str">
        <f>"SEESE CHRISTOPHER M"</f>
        <v>SEESE CHRISTOPHER M</v>
      </c>
      <c r="C11190" s="1" t="str">
        <f>"ROCKY ROAD ROCKY CREEK SEC 2 LOT 63"</f>
        <v>ROCKY ROAD ROCKY CREEK SEC 2 LOT 63</v>
      </c>
      <c r="D11190" s="1">
        <v>1577.02</v>
      </c>
    </row>
    <row r="11191" spans="1:4" x14ac:dyDescent="0.3">
      <c r="A11191" s="1" t="str">
        <f>"01010377200"</f>
        <v>01010377200</v>
      </c>
      <c r="B11191" s="1" t="str">
        <f>"SEHGAL FAMILY LLC"</f>
        <v>SEHGAL FAMILY LLC</v>
      </c>
      <c r="C11191" s="1" t="str">
        <f>"RACE ST MIRIAM SUB LOT 61"</f>
        <v>RACE ST MIRIAM SUB LOT 61</v>
      </c>
      <c r="D11191" s="1">
        <v>136.69</v>
      </c>
    </row>
    <row r="11192" spans="1:4" x14ac:dyDescent="0.3">
      <c r="A11192" s="1" t="str">
        <f>"01011460100"</f>
        <v>01011460100</v>
      </c>
      <c r="B11192" s="1" t="str">
        <f>"SEHGAL FAMILY LLC"</f>
        <v>SEHGAL FAMILY LLC</v>
      </c>
      <c r="C11192" s="1" t="str">
        <f>"ELWOOD AVE SOUTHGATE LOT 99"</f>
        <v>ELWOOD AVE SOUTHGATE LOT 99</v>
      </c>
      <c r="D11192" s="1">
        <v>30.41</v>
      </c>
    </row>
    <row r="11193" spans="1:4" x14ac:dyDescent="0.3">
      <c r="A11193" s="1" t="str">
        <f>"01011460200"</f>
        <v>01011460200</v>
      </c>
      <c r="B11193" s="1" t="str">
        <f>"SEHGAL FAMILY LLC"</f>
        <v>SEHGAL FAMILY LLC</v>
      </c>
      <c r="C11193" s="1" t="str">
        <f>"SOUTHGATE LOT 100 "</f>
        <v xml:space="preserve">SOUTHGATE LOT 100 </v>
      </c>
      <c r="D11193" s="1">
        <v>108.28</v>
      </c>
    </row>
    <row r="11194" spans="1:4" x14ac:dyDescent="0.3">
      <c r="A11194" s="1" t="str">
        <f>"61017176600"</f>
        <v>61017176600</v>
      </c>
      <c r="B11194" s="1" t="str">
        <f>"SEHGAL FAMILY LLC"</f>
        <v>SEHGAL FAMILY LLC</v>
      </c>
      <c r="C11194" s="1" t="str">
        <f>"LADUE DRIVE SMOKY RIDGE ESTATES SEC ONE LOT 85"</f>
        <v>LADUE DRIVE SMOKY RIDGE ESTATES SEC ONE LOT 85</v>
      </c>
      <c r="D11194" s="1">
        <v>308.06</v>
      </c>
    </row>
    <row r="11195" spans="1:4" x14ac:dyDescent="0.3">
      <c r="A11195" s="1" t="str">
        <f>"61019356100"</f>
        <v>61019356100</v>
      </c>
      <c r="B11195" s="1" t="str">
        <f>"SEHGAL FAMILY LLC"</f>
        <v>SEHGAL FAMILY LLC</v>
      </c>
      <c r="C11195" s="1" t="str">
        <f>"CLEMENT DR WORTHINGTON WOODS 3 LOT 166"</f>
        <v>CLEMENT DR WORTHINGTON WOODS 3 LOT 166</v>
      </c>
      <c r="D11195" s="1">
        <v>338.19</v>
      </c>
    </row>
    <row r="11196" spans="1:4" x14ac:dyDescent="0.3">
      <c r="A11196" s="1" t="str">
        <f>"06000117300"</f>
        <v>06000117300</v>
      </c>
      <c r="B11196" s="1" t="str">
        <f>"SEHGAL FAMILY LLC"</f>
        <v>SEHGAL FAMILY LLC</v>
      </c>
      <c r="C11196" s="1" t="str">
        <f>"BRICE RD IDLEWILD MANOR LOT 78"</f>
        <v>BRICE RD IDLEWILD MANOR LOT 78</v>
      </c>
      <c r="D11196" s="1">
        <v>748.8</v>
      </c>
    </row>
    <row r="11197" spans="1:4" x14ac:dyDescent="0.3">
      <c r="A11197" s="1" t="str">
        <f>"06000117400"</f>
        <v>06000117400</v>
      </c>
      <c r="B11197" s="1" t="str">
        <f>"SEHGAL FAMILY LLC"</f>
        <v>SEHGAL FAMILY LLC</v>
      </c>
      <c r="C11197" s="1" t="str">
        <f>"N W COR BRICE RD IDLEWILD MANOR LOT 79"</f>
        <v>N W COR BRICE RD IDLEWILD MANOR LOT 79</v>
      </c>
      <c r="D11197" s="1">
        <v>99.37</v>
      </c>
    </row>
    <row r="11198" spans="1:4" x14ac:dyDescent="0.3">
      <c r="A11198" s="1" t="str">
        <f>"01019087800"</f>
        <v>01019087800</v>
      </c>
      <c r="B11198" s="1" t="str">
        <f>"SEHGAL FAMILY LLC"</f>
        <v>SEHGAL FAMILY LLC</v>
      </c>
      <c r="C11198" s="1" t="str">
        <f>"HILOCK AVE LEWIS GARDEN ACRES .2364 ACRE"</f>
        <v>HILOCK AVE LEWIS GARDEN ACRES .2364 ACRE</v>
      </c>
      <c r="D11198" s="1">
        <v>98.1</v>
      </c>
    </row>
    <row r="11199" spans="1:4" x14ac:dyDescent="0.3">
      <c r="A11199" s="1" t="str">
        <f>"01014321700"</f>
        <v>01014321700</v>
      </c>
      <c r="B11199" s="1" t="str">
        <f>"SEHGAL FAMILY LLC"</f>
        <v>SEHGAL FAMILY LLC</v>
      </c>
      <c r="C11199" s="1" t="str">
        <f>"PENFIELD CT S HAVILAND 7 LOT 286"</f>
        <v>PENFIELD CT S HAVILAND 7 LOT 286</v>
      </c>
      <c r="D11199" s="1">
        <v>100.17</v>
      </c>
    </row>
    <row r="11200" spans="1:4" x14ac:dyDescent="0.3">
      <c r="A11200" s="1" t="str">
        <f>"04001133500"</f>
        <v>04001133500</v>
      </c>
      <c r="B11200" s="1" t="str">
        <f>"SEHGAL FAMILY LLC (THE)"</f>
        <v>SEHGAL FAMILY LLC (THE)</v>
      </c>
      <c r="C11200" s="1" t="str">
        <f>"4461 BROADWAY CASTLE FARMS PT RES A=2.388 ACRES"</f>
        <v>4461 BROADWAY CASTLE FARMS PT RES A=2.388 ACRES</v>
      </c>
      <c r="D11200" s="1">
        <v>1138.22</v>
      </c>
    </row>
    <row r="11201" spans="1:4" x14ac:dyDescent="0.3">
      <c r="A11201" s="1" t="str">
        <f>"01010453300"</f>
        <v>01010453300</v>
      </c>
      <c r="B11201" s="1" t="str">
        <f>"SEHGAL FAMILY LP"</f>
        <v>SEHGAL FAMILY LP</v>
      </c>
      <c r="C11201" s="1" t="str">
        <f>"2374 GRANVILLE RD 1.536AC PARCEL 10 "</f>
        <v xml:space="preserve">2374 GRANVILLE RD 1.536AC PARCEL 10 </v>
      </c>
      <c r="D11201" s="1">
        <v>713.04</v>
      </c>
    </row>
    <row r="11202" spans="1:4" x14ac:dyDescent="0.3">
      <c r="A11202" s="1" t="str">
        <f>"61013750600"</f>
        <v>61013750600</v>
      </c>
      <c r="B11202" s="1" t="str">
        <f>"SEHGAL FAMILY LP"</f>
        <v>SEHGAL FAMILY LP</v>
      </c>
      <c r="C11202" s="1" t="str">
        <f>"6721 KARL RD DEVONSHIRE  NORTH 1.572 AC    LOT 119"</f>
        <v>6721 KARL RD DEVONSHIRE  NORTH 1.572 AC    LOT 119</v>
      </c>
      <c r="D11202" s="1">
        <v>825.4</v>
      </c>
    </row>
    <row r="11203" spans="1:4" x14ac:dyDescent="0.3">
      <c r="A11203" s="1" t="str">
        <f>"01023649000"</f>
        <v>01023649000</v>
      </c>
      <c r="B11203" s="1" t="str">
        <f>"SEHGAL FAMILY LP"</f>
        <v>SEHGAL FAMILY LP</v>
      </c>
      <c r="C11203" s="1" t="str">
        <f>"DEEWOOD DRIVE DEERFIELD VILLAGE PT LOT 2=0.314 ACRE"</f>
        <v>DEEWOOD DRIVE DEERFIELD VILLAGE PT LOT 2=0.314 ACRE</v>
      </c>
      <c r="D11203" s="1">
        <v>394.18</v>
      </c>
    </row>
    <row r="11204" spans="1:4" x14ac:dyDescent="0.3">
      <c r="A11204" s="1" t="str">
        <f>"01010854800"</f>
        <v>01010854800</v>
      </c>
      <c r="B11204" s="1" t="str">
        <f>"SEHGAL SUDHIR"</f>
        <v>SEHGAL SUDHIR</v>
      </c>
      <c r="C11204" s="1" t="str">
        <f>"DELBERT RD LINDALE LOT 109"</f>
        <v>DELBERT RD LINDALE LOT 109</v>
      </c>
      <c r="D11204" s="1">
        <v>135.08000000000001</v>
      </c>
    </row>
    <row r="11205" spans="1:4" x14ac:dyDescent="0.3">
      <c r="A11205" s="1" t="str">
        <f>"51022950000"</f>
        <v>51022950000</v>
      </c>
      <c r="B11205" s="1" t="str">
        <f>"SEHGAL SUDHIR"</f>
        <v>SEHGAL SUDHIR</v>
      </c>
      <c r="C11205" s="1" t="str">
        <f>"HAMILTON HEIGHTS SECTION 2 PART 1 LOT 127"</f>
        <v>HAMILTON HEIGHTS SECTION 2 PART 1 LOT 127</v>
      </c>
      <c r="D11205" s="1">
        <v>150.72999999999999</v>
      </c>
    </row>
    <row r="11206" spans="1:4" x14ac:dyDescent="0.3">
      <c r="A11206" s="1" t="str">
        <f>"01002496600"</f>
        <v>01002496600</v>
      </c>
      <c r="B11206" s="1" t="str">
        <f>"SEIBOLD MARGUERITE B"</f>
        <v>SEIBOLD MARGUERITE B</v>
      </c>
      <c r="C11206" s="1" t="str">
        <f>"328 E MITHOFF ST THEO RIEDMILLER LOT 4"</f>
        <v>328 E MITHOFF ST THEO RIEDMILLER LOT 4</v>
      </c>
      <c r="D11206" s="1">
        <v>540.86</v>
      </c>
    </row>
    <row r="11207" spans="1:4" x14ac:dyDescent="0.3">
      <c r="A11207" s="1" t="str">
        <f>"59022275400"</f>
        <v>59022275400</v>
      </c>
      <c r="B11207" s="1" t="str">
        <f>"SEIDEL MICHAEL G"</f>
        <v>SEIDEL MICHAEL G</v>
      </c>
      <c r="C11207" s="1" t="str">
        <f>"0000 BETHEL VILLAGE CONDO 2ND AMD UNIT 39D"</f>
        <v>0000 BETHEL VILLAGE CONDO 2ND AMD UNIT 39D</v>
      </c>
      <c r="D11207" s="1">
        <v>133.56</v>
      </c>
    </row>
    <row r="11208" spans="1:4" x14ac:dyDescent="0.3">
      <c r="A11208" s="1" t="str">
        <f>"25415191400"</f>
        <v>25415191400</v>
      </c>
      <c r="B11208" s="1" t="str">
        <f>"SEIDT JEREMY D"</f>
        <v>SEIDT JEREMY D</v>
      </c>
      <c r="C11208" s="1" t="str">
        <f>"139 WESTVIEW AVE W 1/2 HOMEDALE LOT 22"</f>
        <v>139 WESTVIEW AVE W 1/2 HOMEDALE LOT 22</v>
      </c>
      <c r="D11208" s="1">
        <v>2796.75</v>
      </c>
    </row>
    <row r="11209" spans="1:4" x14ac:dyDescent="0.3">
      <c r="A11209" s="1" t="str">
        <f>"01010432200"</f>
        <v>01010432200</v>
      </c>
      <c r="B11209" s="1" t="str">
        <f>"SEILER NELSON III"</f>
        <v>SEILER NELSON III</v>
      </c>
      <c r="C11209" s="1" t="str">
        <f>"1560 FREBIS AVE R22 T5 S23 1/2 S33 COURT AC .442 LOT 1-2"</f>
        <v>1560 FREBIS AVE R22 T5 S23 1/2 S33 COURT AC .442 LOT 1-2</v>
      </c>
      <c r="D11209" s="1">
        <v>3245.09</v>
      </c>
    </row>
    <row r="11210" spans="1:4" x14ac:dyDescent="0.3">
      <c r="A11210" s="1" t="str">
        <f>"01007579500"</f>
        <v>01007579500</v>
      </c>
      <c r="B11210" s="1" t="str">
        <f>"SEIMER HOMES &amp; RENTALS LLC"</f>
        <v>SEIMER HOMES &amp; RENTALS LLC</v>
      </c>
      <c r="C11210" s="1" t="str">
        <f>"HARRIS AVE BROOKSHIRE PK LOT 254"</f>
        <v>HARRIS AVE BROOKSHIRE PK LOT 254</v>
      </c>
      <c r="D11210" s="1">
        <v>1239.9000000000001</v>
      </c>
    </row>
    <row r="11211" spans="1:4" x14ac:dyDescent="0.3">
      <c r="A11211" s="1" t="str">
        <f>"10000228000"</f>
        <v>10000228000</v>
      </c>
      <c r="B11211" s="1" t="str">
        <f>"SEITZ ELIZABETH, SEITZ BRIAN"</f>
        <v>SEITZ ELIZABETH, SEITZ BRIAN</v>
      </c>
      <c r="C11211" s="1" t="str">
        <f>"E SOUTH ST PT LOT 17 RUSH CREEK"</f>
        <v>E SOUTH ST PT LOT 17 RUSH CREEK</v>
      </c>
      <c r="D11211" s="1">
        <v>109.29</v>
      </c>
    </row>
    <row r="11212" spans="1:4" x14ac:dyDescent="0.3">
      <c r="A11212" s="1" t="str">
        <f>"10000203700"</f>
        <v>10000203700</v>
      </c>
      <c r="B11212" s="1" t="str">
        <f>"SEITZ PATRICIA M, BOATMAN ALEX, BOATMAN JASON"</f>
        <v>SEITZ PATRICIA M, BOATMAN ALEX, BOATMAN JASON</v>
      </c>
      <c r="C11212" s="1" t="str">
        <f>"257 PINGREE DR WORTHINGTON PARK LOT 38"</f>
        <v>257 PINGREE DR WORTHINGTON PARK LOT 38</v>
      </c>
      <c r="D11212" s="1">
        <v>1375.38</v>
      </c>
    </row>
    <row r="11213" spans="1:4" x14ac:dyDescent="0.3">
      <c r="A11213" s="1" t="str">
        <f>"18400028400"</f>
        <v>18400028400</v>
      </c>
      <c r="B11213" s="1" t="str">
        <f>"SEITZINGER LORIE"</f>
        <v>SEITZINGER LORIE</v>
      </c>
      <c r="C11213" s="1" t="str">
        <f>"COLUMBUS ST 76.5FT N E COLEMAN 1 "</f>
        <v xml:space="preserve">COLUMBUS ST 76.5FT N E COLEMAN 1 </v>
      </c>
      <c r="D11213" s="1">
        <v>3181.62</v>
      </c>
    </row>
    <row r="11214" spans="1:4" x14ac:dyDescent="0.3">
      <c r="A11214" s="1" t="str">
        <f>"15300043600"</f>
        <v>15300043600</v>
      </c>
      <c r="B11214" s="1" t="str">
        <f>"SEJ EQUITY LLC"</f>
        <v>SEJ EQUITY LLC</v>
      </c>
      <c r="C11214" s="1" t="str">
        <f>"BRIDLEWOOD BLVD BRIDLEWOOD NO IV LOT 182"</f>
        <v>BRIDLEWOOD BLVD BRIDLEWOOD NO IV LOT 182</v>
      </c>
      <c r="D11214" s="1">
        <v>1836.12</v>
      </c>
    </row>
    <row r="11215" spans="1:4" x14ac:dyDescent="0.3">
      <c r="A11215" s="1" t="str">
        <f>"15000224500"</f>
        <v>15000224500</v>
      </c>
      <c r="B11215" s="1" t="str">
        <f>"SEJ EQUITY LLC"</f>
        <v>SEJ EQUITY LLC</v>
      </c>
      <c r="C11215" s="1" t="str">
        <f>"5004 ASTORIA AVE HAMILTON MEADOWS 7 LOT 705"</f>
        <v>5004 ASTORIA AVE HAMILTON MEADOWS 7 LOT 705</v>
      </c>
      <c r="D11215" s="1">
        <v>1780.88</v>
      </c>
    </row>
    <row r="11216" spans="1:4" x14ac:dyDescent="0.3">
      <c r="A11216" s="1" t="str">
        <f>"51016024900"</f>
        <v>51016024900</v>
      </c>
      <c r="B11216" s="1" t="str">
        <f>"SEJ EQUITY LLC"</f>
        <v>SEJ EQUITY LLC</v>
      </c>
      <c r="C11216" s="1" t="str">
        <f>"4073 JESSAMINE PL SOUTHERN PINES SEC 9 LOT 926"</f>
        <v>4073 JESSAMINE PL SOUTHERN PINES SEC 9 LOT 926</v>
      </c>
      <c r="D11216" s="1">
        <v>1196.93</v>
      </c>
    </row>
    <row r="11217" spans="1:4" x14ac:dyDescent="0.3">
      <c r="A11217" s="1" t="str">
        <f>"13000199900"</f>
        <v>13000199900</v>
      </c>
      <c r="B11217" s="1" t="str">
        <f>"SEKERAK BETTY J"</f>
        <v>SEKERAK BETTY J</v>
      </c>
      <c r="C11217" s="1" t="str">
        <f>"FERRIS ROAD NORTH LINDEN #1 LOT 366 EX TRIANG SW CORNER"</f>
        <v>FERRIS ROAD NORTH LINDEN #1 LOT 366 EX TRIANG SW CORNER</v>
      </c>
      <c r="D11217" s="1">
        <v>1674.27</v>
      </c>
    </row>
    <row r="11218" spans="1:4" x14ac:dyDescent="0.3">
      <c r="A11218" s="1" t="str">
        <f>"12000014800"</f>
        <v>12000014800</v>
      </c>
      <c r="B11218" s="1" t="str">
        <f>"SELECT SIRES MEMBER COOPERATIVE"</f>
        <v>SELECT SIRES MEMBER COOPERATIVE</v>
      </c>
      <c r="C11218" s="1" t="str">
        <f>"00000 COLE ROAD 34. ACRES O Q 2000 ENTRY 3445"</f>
        <v>00000 COLE ROAD 34. ACRES O Q 2000 ENTRY 3445</v>
      </c>
      <c r="D11218" s="1">
        <v>4667.01</v>
      </c>
    </row>
    <row r="11219" spans="1:4" x14ac:dyDescent="0.3">
      <c r="A11219" s="1" t="str">
        <f>"24100005700"</f>
        <v>24100005700</v>
      </c>
      <c r="B11219" s="1" t="str">
        <f>"SELECT SIRES MEMBER COOPERATIVE"</f>
        <v>SELECT SIRES MEMBER COOPERATIVE</v>
      </c>
      <c r="C11219" s="1" t="str">
        <f>"BROWN RD REAR ENTRY 6636 7.274 AC"</f>
        <v>BROWN RD REAR ENTRY 6636 7.274 AC</v>
      </c>
      <c r="D11219" s="1">
        <v>484.2</v>
      </c>
    </row>
    <row r="11220" spans="1:4" x14ac:dyDescent="0.3">
      <c r="A11220" s="1" t="str">
        <f>"24100006000"</f>
        <v>24100006000</v>
      </c>
      <c r="B11220" s="1" t="str">
        <f>"SELECT SIRES MEMBER COOPERATIVE"</f>
        <v>SELECT SIRES MEMBER COOPERATIVE</v>
      </c>
      <c r="C11220" s="1" t="str">
        <f>"O Q 666 2-3 ENTRY 6636 31.869 ACRE"</f>
        <v>O Q 666 2-3 ENTRY 6636 31.869 ACRE</v>
      </c>
      <c r="D11220" s="1">
        <v>24325.55</v>
      </c>
    </row>
    <row r="11221" spans="1:4" x14ac:dyDescent="0.3">
      <c r="A11221" s="1" t="str">
        <f>"01002809700"</f>
        <v>01002809700</v>
      </c>
      <c r="B11221" s="1" t="str">
        <f>"SELF MADE REAL ESTATE GROUP"</f>
        <v>SELF MADE REAL ESTATE GROUP</v>
      </c>
      <c r="C11221" s="1" t="str">
        <f>"375 LOEFFLER AVE STODDART ASSIGNEE PT LOT 1"</f>
        <v>375 LOEFFLER AVE STODDART ASSIGNEE PT LOT 1</v>
      </c>
      <c r="D11221" s="1">
        <v>2164.0700000000002</v>
      </c>
    </row>
    <row r="11222" spans="1:4" x14ac:dyDescent="0.3">
      <c r="A11222" s="1" t="str">
        <f>"08000981900"</f>
        <v>08000981900</v>
      </c>
      <c r="B11222" s="1" t="str">
        <f>"SELL JULIE"</f>
        <v>SELL JULIE</v>
      </c>
      <c r="C11222" s="1" t="str">
        <f>"FOXTRAIL CONDOMINIUM BLDG 14 UNIT 469 "</f>
        <v xml:space="preserve">FOXTRAIL CONDOMINIUM BLDG 14 UNIT 469 </v>
      </c>
      <c r="D11222" s="1">
        <v>17.239999999999998</v>
      </c>
    </row>
    <row r="11223" spans="1:4" x14ac:dyDescent="0.3">
      <c r="A11223" s="1" t="str">
        <f>"01012373900"</f>
        <v>01012373900</v>
      </c>
      <c r="B11223" s="1" t="str">
        <f>"SELLER CHRIS D"</f>
        <v>SELLER CHRIS D</v>
      </c>
      <c r="C11223" s="1" t="str">
        <f>"LAMBETH DR BRENTWOOD PARK LOT 93"</f>
        <v>LAMBETH DR BRENTWOOD PARK LOT 93</v>
      </c>
      <c r="D11223" s="1">
        <v>254.61</v>
      </c>
    </row>
    <row r="11224" spans="1:4" x14ac:dyDescent="0.3">
      <c r="A11224" s="1" t="str">
        <f>"01007595600"</f>
        <v>01007595600</v>
      </c>
      <c r="B11224" s="1" t="str">
        <f>"SELLERS CHRIS D"</f>
        <v>SELLERS CHRIS D</v>
      </c>
      <c r="C11224" s="1" t="str">
        <f>"GRASMERE AVE N GRASMERE LOT 200-201"</f>
        <v>GRASMERE AVE N GRASMERE LOT 200-201</v>
      </c>
      <c r="D11224" s="1">
        <v>101.62</v>
      </c>
    </row>
    <row r="11225" spans="1:4" x14ac:dyDescent="0.3">
      <c r="A11225" s="1" t="str">
        <f>"02000293300"</f>
        <v>02000293300</v>
      </c>
      <c r="B11225" s="1" t="str">
        <f>"SELTZER ELIZABETH B, SELTZER DANIEL"</f>
        <v>SELTZER ELIZABETH B, SELTZER DANIEL</v>
      </c>
      <c r="C11225" s="1" t="str">
        <f>"748 S ROOSEVELT AVE EAST LAWN LOT 27"</f>
        <v>748 S ROOSEVELT AVE EAST LAWN LOT 27</v>
      </c>
      <c r="D11225" s="1">
        <v>456.88</v>
      </c>
    </row>
    <row r="11226" spans="1:4" x14ac:dyDescent="0.3">
      <c r="A11226" s="1" t="str">
        <f>"01011478600"</f>
        <v>01011478600</v>
      </c>
      <c r="B11226" s="1" t="str">
        <f>"SEMCHISHIN MARK"</f>
        <v>SEMCHISHIN MARK</v>
      </c>
      <c r="C11226" s="1" t="str">
        <f>"GLENDOWER AVE ACRES .186 R22 T4 S3 LOT 4"</f>
        <v>GLENDOWER AVE ACRES .186 R22 T4 S3 LOT 4</v>
      </c>
      <c r="D11226" s="1">
        <v>1275.8699999999999</v>
      </c>
    </row>
    <row r="11227" spans="1:4" x14ac:dyDescent="0.3">
      <c r="A11227" s="1" t="str">
        <f>"16000154700"</f>
        <v>16000154700</v>
      </c>
      <c r="B11227" s="1" t="str">
        <f>"SEMENIAKA IVAN, SEMENIAKA ALONA"</f>
        <v>SEMENIAKA IVAN, SEMENIAKA ALONA</v>
      </c>
      <c r="C11227" s="1" t="str">
        <f>"2240 DEMOREST RD UNROE HEIGHTS LOT 8"</f>
        <v>2240 DEMOREST RD UNROE HEIGHTS LOT 8</v>
      </c>
      <c r="D11227" s="1">
        <v>144.27000000000001</v>
      </c>
    </row>
    <row r="11228" spans="1:4" x14ac:dyDescent="0.3">
      <c r="A11228" s="1" t="str">
        <f>"01001400800"</f>
        <v>01001400800</v>
      </c>
      <c r="B11228" s="1" t="str">
        <f>"SEMINOLE 33 INVESTMENTS LLC"</f>
        <v>SEMINOLE 33 INVESTMENTS LLC</v>
      </c>
      <c r="C11228" s="1" t="str">
        <f>"846-48 SEYMOUR AVE SEYMOUR LOT 49"</f>
        <v>846-48 SEYMOUR AVE SEYMOUR LOT 49</v>
      </c>
      <c r="D11228" s="1">
        <v>500.14</v>
      </c>
    </row>
    <row r="11229" spans="1:4" x14ac:dyDescent="0.3">
      <c r="A11229" s="1" t="str">
        <f>"01001401500"</f>
        <v>01001401500</v>
      </c>
      <c r="B11229" s="1" t="str">
        <f>"SEMINOLE 33 INVESTMENTS LLC"</f>
        <v>SEMINOLE 33 INVESTMENTS LLC</v>
      </c>
      <c r="C11229" s="1" t="str">
        <f>"SEYMOUR AVE MK ENGLISH'S SEYMOUR AVE SUB LOT 61"</f>
        <v>SEYMOUR AVE MK ENGLISH'S SEYMOUR AVE SUB LOT 61</v>
      </c>
      <c r="D11229" s="1">
        <v>527.77</v>
      </c>
    </row>
    <row r="11230" spans="1:4" x14ac:dyDescent="0.3">
      <c r="A11230" s="1" t="str">
        <f>"01026896900"</f>
        <v>01026896900</v>
      </c>
      <c r="B11230" s="1" t="str">
        <f>"SEN GENERAL BUSINESS SERVICES LLC"</f>
        <v>SEN GENERAL BUSINESS SERVICES LLC</v>
      </c>
      <c r="C11230" s="1" t="str">
        <f>"VILLAGE AT EASTERN GLEN S-F HOME CONDOMINIUM 19TH AMD UNIT 164"</f>
        <v>VILLAGE AT EASTERN GLEN S-F HOME CONDOMINIUM 19TH AMD UNIT 164</v>
      </c>
      <c r="D11230" s="1">
        <v>3715.22</v>
      </c>
    </row>
    <row r="11231" spans="1:4" x14ac:dyDescent="0.3">
      <c r="A11231" s="1" t="str">
        <f>"02501071900"</f>
        <v>02501071900</v>
      </c>
      <c r="B11231" s="1" t="str">
        <f>"SENDELBACH SARAH"</f>
        <v>SENDELBACH SARAH</v>
      </c>
      <c r="C11231" s="1" t="str">
        <f>"476 THREE OAKS COURT GAHANNA OAKS CONDO BLDG 5 UNIT 476"</f>
        <v>476 THREE OAKS COURT GAHANNA OAKS CONDO BLDG 5 UNIT 476</v>
      </c>
      <c r="D11231" s="1">
        <v>2307.39</v>
      </c>
    </row>
    <row r="11232" spans="1:4" x14ac:dyDescent="0.3">
      <c r="A11232" s="1" t="str">
        <f>"01011107000"</f>
        <v>01011107000</v>
      </c>
      <c r="B11232" s="1" t="str">
        <f>"SENG SERIVADDHANA, SENG SAMANTHA"</f>
        <v>SENG SERIVADDHANA, SENG SAMANTHA</v>
      </c>
      <c r="C11232" s="1" t="str">
        <f>"DERRER RD ROSARY BLK 3 LOT 1-2"</f>
        <v>DERRER RD ROSARY BLK 3 LOT 1-2</v>
      </c>
      <c r="D11232" s="1">
        <v>77</v>
      </c>
    </row>
    <row r="11233" spans="1:4" x14ac:dyDescent="0.3">
      <c r="A11233" s="1" t="str">
        <f>"01010734200"</f>
        <v>01010734200</v>
      </c>
      <c r="B11233" s="1" t="str">
        <f>"SENGAMPHAN THAVONE, SENGAMPHAN TOM"</f>
        <v>SENGAMPHAN THAVONE, SENGAMPHAN TOM</v>
      </c>
      <c r="C11233" s="1" t="str">
        <f>"SCOTTWOOD RD LIV-MOOR HTS 3 LOT 89"</f>
        <v>SCOTTWOOD RD LIV-MOOR HTS 3 LOT 89</v>
      </c>
      <c r="D11233" s="1">
        <v>2598.48</v>
      </c>
    </row>
    <row r="11234" spans="1:4" x14ac:dyDescent="0.3">
      <c r="A11234" s="1" t="str">
        <f>"01010422700"</f>
        <v>01010422700</v>
      </c>
      <c r="B11234" s="1" t="str">
        <f>"SENGVONGDEUAN ON"</f>
        <v>SENGVONGDEUAN ON</v>
      </c>
      <c r="C11234" s="1" t="str">
        <f>"MCCLOUD RD ACRES .415 R22 T5 S23 1/2 S32"</f>
        <v>MCCLOUD RD ACRES .415 R22 T5 S23 1/2 S32</v>
      </c>
      <c r="D11234" s="1">
        <v>142.66999999999999</v>
      </c>
    </row>
    <row r="11235" spans="1:4" x14ac:dyDescent="0.3">
      <c r="A11235" s="1" t="str">
        <f>"02500144600"</f>
        <v>02500144600</v>
      </c>
      <c r="B11235" s="1" t="str">
        <f>"SENNE MATTHEW B"</f>
        <v>SENNE MATTHEW B</v>
      </c>
      <c r="C11235" s="1" t="str">
        <f>"585 FENCHURCH WY ROYAL MANOR 264 "</f>
        <v xml:space="preserve">585 FENCHURCH WY ROYAL MANOR 264 </v>
      </c>
      <c r="D11235" s="1">
        <v>5141.8999999999996</v>
      </c>
    </row>
    <row r="11236" spans="1:4" x14ac:dyDescent="0.3">
      <c r="A11236" s="1" t="str">
        <f>"01011148000"</f>
        <v>01011148000</v>
      </c>
      <c r="B11236" s="1" t="str">
        <f>"SENTERS LARRY G"</f>
        <v>SENTERS LARRY G</v>
      </c>
      <c r="C11236" s="1" t="str">
        <f>"MAP  EWOOD RD 45X173 .90 FT NW COR HOME A CRES 6/T23"</f>
        <v>MAP  EWOOD RD 45X173 .90 FT NW COR HOME A CRES 6/T23</v>
      </c>
      <c r="D11236" s="1">
        <v>41.81</v>
      </c>
    </row>
    <row r="11237" spans="1:4" x14ac:dyDescent="0.3">
      <c r="A11237" s="1" t="str">
        <f>"14000715000"</f>
        <v>14000715000</v>
      </c>
      <c r="B11237" s="1" t="str">
        <f>"SENTERS SHYANNA"</f>
        <v>SENTERS SHYANNA</v>
      </c>
      <c r="C11237" s="1" t="str">
        <f>"1780 BROWN RD .261 ACRE ENTRY 717"</f>
        <v>1780 BROWN RD .261 ACRE ENTRY 717</v>
      </c>
      <c r="D11237" s="1">
        <v>1190.01</v>
      </c>
    </row>
    <row r="11238" spans="1:4" x14ac:dyDescent="0.3">
      <c r="A11238" s="1" t="str">
        <f>"01019745400"</f>
        <v>01019745400</v>
      </c>
      <c r="B11238" s="1" t="str">
        <f>"SEPERATE COLOURS LIMITED LLC"</f>
        <v>SEPERATE COLOURS LIMITED LLC</v>
      </c>
      <c r="C11238" s="1" t="str">
        <f>"ORCHARD PARK DR ORCHARD PARK N MID PT LOT 16"</f>
        <v>ORCHARD PARK DR ORCHARD PARK N MID PT LOT 16</v>
      </c>
      <c r="D11238" s="1">
        <v>2908.18</v>
      </c>
    </row>
    <row r="11239" spans="1:4" x14ac:dyDescent="0.3">
      <c r="A11239" s="1" t="str">
        <f>"19000139700"</f>
        <v>19000139700</v>
      </c>
      <c r="B11239" s="1" t="str">
        <f>"SERAFIN BUCIO"</f>
        <v>SERAFIN BUCIO</v>
      </c>
      <c r="C11239" s="1" t="str">
        <f>"MYRTLE AVE GREENDALE PLACE 43 "</f>
        <v xml:space="preserve">MYRTLE AVE GREENDALE PLACE 43 </v>
      </c>
      <c r="D11239" s="1">
        <v>2662.34</v>
      </c>
    </row>
    <row r="11240" spans="1:4" x14ac:dyDescent="0.3">
      <c r="A11240" s="1" t="str">
        <f>"19000476400"</f>
        <v>19000476400</v>
      </c>
      <c r="B11240" s="1" t="str">
        <f>"SERAFIN BUCIO"</f>
        <v>SERAFIN BUCIO</v>
      </c>
      <c r="C11240" s="1" t="str">
        <f>"MYRTLE AVE GREENDALE PLACE 20 FT E S 42"</f>
        <v>MYRTLE AVE GREENDALE PLACE 20 FT E S 42</v>
      </c>
      <c r="D11240" s="1">
        <v>250.4</v>
      </c>
    </row>
    <row r="11241" spans="1:4" x14ac:dyDescent="0.3">
      <c r="A11241" s="1" t="str">
        <f>"01018315700"</f>
        <v>01018315700</v>
      </c>
      <c r="B11241" s="1" t="str">
        <f>"SERI ALEXANDER TR"</f>
        <v>SERI ALEXANDER TR</v>
      </c>
      <c r="C11241" s="1" t="str">
        <f>"SCOTLAND YARD CONDO UNIT 5757   BLDG 28 "</f>
        <v xml:space="preserve">SCOTLAND YARD CONDO UNIT 5757   BLDG 28 </v>
      </c>
      <c r="D11241" s="1">
        <v>67.52</v>
      </c>
    </row>
    <row r="11242" spans="1:4" x14ac:dyDescent="0.3">
      <c r="A11242" s="1" t="str">
        <f>"01007320500"</f>
        <v>01007320500</v>
      </c>
      <c r="B11242" s="1" t="str">
        <f>"SERNA JOSE A"</f>
        <v>SERNA JOSE A</v>
      </c>
      <c r="C11242" s="1" t="str">
        <f>"1171 TWENTIETH AVE RICHMOND LOT 120"</f>
        <v>1171 TWENTIETH AVE RICHMOND LOT 120</v>
      </c>
      <c r="D11242" s="1">
        <v>3298.13</v>
      </c>
    </row>
    <row r="11243" spans="1:4" x14ac:dyDescent="0.3">
      <c r="A11243" s="1" t="str">
        <f>"01015271800"</f>
        <v>01015271800</v>
      </c>
      <c r="B11243" s="1" t="str">
        <f>"SERRANO FELIPE, MONTER LILIA GAVINO"</f>
        <v>SERRANO FELIPE, MONTER LILIA GAVINO</v>
      </c>
      <c r="C11243" s="1" t="str">
        <f>"WHITE PINE COURT FOREST PARK E SEC 9 LOT 1224"</f>
        <v>WHITE PINE COURT FOREST PARK E SEC 9 LOT 1224</v>
      </c>
      <c r="D11243" s="1">
        <v>2634.74</v>
      </c>
    </row>
    <row r="11244" spans="1:4" x14ac:dyDescent="0.3">
      <c r="A11244" s="1" t="str">
        <f>"01003667600"</f>
        <v>01003667600</v>
      </c>
      <c r="B11244" s="1" t="str">
        <f>"SESSLEY ROBERT L, SESSLEY BONNIE G"</f>
        <v>SESSLEY ROBERT L, SESSLEY BONNIE G</v>
      </c>
      <c r="C11244" s="1" t="str">
        <f>"338 SHERBORNE DRIVE EAST GATE 2 LOT 3-4 BLK 8"</f>
        <v>338 SHERBORNE DRIVE EAST GATE 2 LOT 3-4 BLK 8</v>
      </c>
      <c r="D11244" s="1">
        <v>193.52</v>
      </c>
    </row>
    <row r="11245" spans="1:4" x14ac:dyDescent="0.3">
      <c r="A11245" s="1" t="str">
        <f>"01025324300"</f>
        <v>01025324300</v>
      </c>
      <c r="B11245" s="1" t="str">
        <f>"SESTINA MARY B"</f>
        <v>SESTINA MARY B</v>
      </c>
      <c r="C11245" s="1" t="str">
        <f>"BETHEL GROVE OFFICE CONDOMINIUM UNIT 201-A"</f>
        <v>BETHEL GROVE OFFICE CONDOMINIUM UNIT 201-A</v>
      </c>
      <c r="D11245" s="1">
        <v>873.59</v>
      </c>
    </row>
    <row r="11246" spans="1:4" x14ac:dyDescent="0.3">
      <c r="A11246" s="1" t="str">
        <f>"01025324400"</f>
        <v>01025324400</v>
      </c>
      <c r="B11246" s="1" t="str">
        <f>"SESTINA MARY B"</f>
        <v>SESTINA MARY B</v>
      </c>
      <c r="C11246" s="1" t="str">
        <f>"BETHEL GROVE OFFICE CONDOMINIUM UNIT 202-A"</f>
        <v>BETHEL GROVE OFFICE CONDOMINIUM UNIT 202-A</v>
      </c>
      <c r="D11246" s="1">
        <v>631.34</v>
      </c>
    </row>
    <row r="11247" spans="1:4" x14ac:dyDescent="0.3">
      <c r="A11247" s="1" t="str">
        <f>"01016492900"</f>
        <v>01016492900</v>
      </c>
      <c r="B11247" s="1" t="str">
        <f>"SETAY ENTERPRISE LLC"</f>
        <v>SETAY ENTERPRISE LLC</v>
      </c>
      <c r="C11247" s="1" t="str">
        <f>"KIMBERLY VILLAS CONDOMINIUM PHASE VI BLDG 48 UNIT A"</f>
        <v>KIMBERLY VILLAS CONDOMINIUM PHASE VI BLDG 48 UNIT A</v>
      </c>
      <c r="D11247" s="1">
        <v>62.23</v>
      </c>
    </row>
    <row r="11248" spans="1:4" x14ac:dyDescent="0.3">
      <c r="A11248" s="1" t="str">
        <f>"01002571300"</f>
        <v>01002571300</v>
      </c>
      <c r="B11248" s="1" t="str">
        <f>"SETAY FOOD CHAIN LLC"</f>
        <v>SETAY FOOD CHAIN LLC</v>
      </c>
      <c r="C11248" s="1" t="str">
        <f>"2384 SULLIVANT AVE 42.8 FT EE ARLINGTON LOT 1-2"</f>
        <v>2384 SULLIVANT AVE 42.8 FT EE ARLINGTON LOT 1-2</v>
      </c>
      <c r="D11248" s="1">
        <v>12.31</v>
      </c>
    </row>
    <row r="11249" spans="1:4" x14ac:dyDescent="0.3">
      <c r="A11249" s="1" t="str">
        <f>"09000121200"</f>
        <v>09000121200</v>
      </c>
      <c r="B11249" s="1" t="str">
        <f>"SETEGNE ROBEL"</f>
        <v>SETEGNE ROBEL</v>
      </c>
      <c r="C11249" s="1" t="str">
        <f>"211 SANTA MARIA LN NORTON FIELD PLAT 2 LOT 327"</f>
        <v>211 SANTA MARIA LN NORTON FIELD PLAT 2 LOT 327</v>
      </c>
      <c r="D11249" s="1">
        <v>2383.16</v>
      </c>
    </row>
    <row r="11250" spans="1:4" x14ac:dyDescent="0.3">
      <c r="A11250" s="1" t="str">
        <f>"03000301000"</f>
        <v>03000301000</v>
      </c>
      <c r="B11250" s="1" t="str">
        <f>"SETH AJAY, SETH JAIDEEP, SETH KIMBERLY"</f>
        <v>SETH AJAY, SETH JAIDEEP, SETH KIMBERLY</v>
      </c>
      <c r="C11250" s="1" t="str">
        <f>"HAINES AVENUE CONDOMINIUM UNIT 1436"</f>
        <v>HAINES AVENUE CONDOMINIUM UNIT 1436</v>
      </c>
      <c r="D11250" s="1">
        <v>384.34</v>
      </c>
    </row>
    <row r="11251" spans="1:4" x14ac:dyDescent="0.3">
      <c r="A11251" s="1" t="str">
        <f>"01011375400"</f>
        <v>01011375400</v>
      </c>
      <c r="B11251" s="1" t="str">
        <f>"SETH GORDON CAPITAL LLC"</f>
        <v>SETH GORDON CAPITAL LLC</v>
      </c>
      <c r="C11251" s="1" t="str">
        <f>"FAIRWOOD AVE OPPORTUNITY FARMS LOT 124"</f>
        <v>FAIRWOOD AVE OPPORTUNITY FARMS LOT 124</v>
      </c>
      <c r="D11251" s="1">
        <v>3175.95</v>
      </c>
    </row>
    <row r="11252" spans="1:4" x14ac:dyDescent="0.3">
      <c r="A11252" s="1" t="str">
        <f>"20000066300"</f>
        <v>20000066300</v>
      </c>
      <c r="B11252" s="1" t="str">
        <f>"SETTERLIN RALPH F III"</f>
        <v>SETTERLIN RALPH F III</v>
      </c>
      <c r="C11252" s="1" t="str">
        <f>"SCHIRTZINGER RD ACRES 1.417 ENTRY 1406"</f>
        <v>SCHIRTZINGER RD ACRES 1.417 ENTRY 1406</v>
      </c>
      <c r="D11252" s="1">
        <v>11249.87</v>
      </c>
    </row>
    <row r="11253" spans="1:4" x14ac:dyDescent="0.3">
      <c r="A11253" s="1" t="str">
        <f>"07000142200"</f>
        <v>07000142200</v>
      </c>
      <c r="B11253" s="1" t="str">
        <f>"SETTERLIN STEVE R"</f>
        <v>SETTERLIN STEVE R</v>
      </c>
      <c r="C11253" s="1" t="str">
        <f>"2694 HENTHORN RD GUILFORD PLACE LOT 291"</f>
        <v>2694 HENTHORN RD GUILFORD PLACE LOT 291</v>
      </c>
      <c r="D11253" s="1">
        <v>20943.7</v>
      </c>
    </row>
    <row r="11254" spans="1:4" x14ac:dyDescent="0.3">
      <c r="A11254" s="1" t="str">
        <f>"01026923400"</f>
        <v>01026923400</v>
      </c>
      <c r="B11254" s="1" t="str">
        <f>"SEVEN SOLUTIONS MANAGEMENT LLC"</f>
        <v>SEVEN SOLUTIONS MANAGEMENT LLC</v>
      </c>
      <c r="C11254" s="1" t="str">
        <f>"NEW ALBANY PARK           CONDOMINIUM 7TH AMD       BLDG 11 UNIT 11-7004     "</f>
        <v xml:space="preserve">NEW ALBANY PARK           CONDOMINIUM 7TH AMD       BLDG 11 UNIT 11-7004     </v>
      </c>
      <c r="D11254" s="1">
        <v>3910.64</v>
      </c>
    </row>
    <row r="11255" spans="1:4" x14ac:dyDescent="0.3">
      <c r="A11255" s="1" t="str">
        <f>"60030724900"</f>
        <v>60030724900</v>
      </c>
      <c r="B11255" s="1" t="str">
        <f>"SEVENICH GERY J"</f>
        <v>SEVENICH GERY J</v>
      </c>
      <c r="C11255" s="1" t="str">
        <f>"HIGHPOINTE AT LITTLE TURTLE CONDOMINIUMS 2ND AMD BLDG 6 UNIT 6403"</f>
        <v>HIGHPOINTE AT LITTLE TURTLE CONDOMINIUMS 2ND AMD BLDG 6 UNIT 6403</v>
      </c>
      <c r="D11255" s="1">
        <v>270.38</v>
      </c>
    </row>
    <row r="11256" spans="1:4" x14ac:dyDescent="0.3">
      <c r="A11256" s="1" t="str">
        <f>"01013527600"</f>
        <v>01013527600</v>
      </c>
      <c r="B11256" s="1" t="str">
        <f>"SEVERIANO LINARES MARIBEL, SEVERIANO LEONARDO E RODRIGUEZ"</f>
        <v>SEVERIANO LINARES MARIBEL, SEVERIANO LEONARDO E RODRIGUEZ</v>
      </c>
      <c r="C11256" s="1" t="str">
        <f>"KENILWORTH RD RESUB PT OF KENSINGTON LOT 46"</f>
        <v>KENILWORTH RD RESUB PT OF KENSINGTON LOT 46</v>
      </c>
      <c r="D11256" s="1">
        <v>87.45</v>
      </c>
    </row>
    <row r="11257" spans="1:4" x14ac:dyDescent="0.3">
      <c r="A11257" s="1" t="str">
        <f>"01000042700"</f>
        <v>01000042700</v>
      </c>
      <c r="B11257" s="1" t="str">
        <f>"SEVILLA-ROBLES SUSAN"</f>
        <v>SEVILLA-ROBLES SUSAN</v>
      </c>
      <c r="C11257" s="1" t="str">
        <f>"44 N WAYNE AVE HIGHLAND PARK LOT 127"</f>
        <v>44 N WAYNE AVE HIGHLAND PARK LOT 127</v>
      </c>
      <c r="D11257" s="1">
        <v>2500.41</v>
      </c>
    </row>
    <row r="11258" spans="1:4" x14ac:dyDescent="0.3">
      <c r="A11258" s="1" t="str">
        <f>"01005975400"</f>
        <v>01005975400</v>
      </c>
      <c r="B11258" s="1" t="str">
        <f>"SEWARD JASON, SEWARD MICHELLE L"</f>
        <v>SEWARD JASON, SEWARD MICHELLE L</v>
      </c>
      <c r="C11258" s="1" t="str">
        <f>"1286 ABERDEEN AVE LINDEN LOT 398"</f>
        <v>1286 ABERDEEN AVE LINDEN LOT 398</v>
      </c>
      <c r="D11258" s="1">
        <v>1981.66</v>
      </c>
    </row>
    <row r="11259" spans="1:4" x14ac:dyDescent="0.3">
      <c r="A11259" s="1" t="str">
        <f>"01013351600"</f>
        <v>01013351600</v>
      </c>
      <c r="B11259" s="1" t="str">
        <f>"SEWARD MARIA E"</f>
        <v>SEWARD MARIA E</v>
      </c>
      <c r="C11259" s="1" t="str">
        <f>"NORWALK RD SOUTHFIELD 3 LOT 415"</f>
        <v>NORWALK RD SOUTHFIELD 3 LOT 415</v>
      </c>
      <c r="D11259" s="1">
        <v>1308.57</v>
      </c>
    </row>
    <row r="11260" spans="1:4" x14ac:dyDescent="0.3">
      <c r="A11260" s="1" t="str">
        <f>"01003478100"</f>
        <v>01003478100</v>
      </c>
      <c r="B11260" s="1" t="str">
        <f>"SEWARD MICHELLE LP, PARKS ROBERT L"</f>
        <v>SEWARD MICHELLE LP, PARKS ROBERT L</v>
      </c>
      <c r="C11260" s="1" t="str">
        <f>"44 S BURGESS AVE LANDSCAPE LOT 257"</f>
        <v>44 S BURGESS AVE LANDSCAPE LOT 257</v>
      </c>
      <c r="D11260" s="1">
        <v>2485.0300000000002</v>
      </c>
    </row>
    <row r="11261" spans="1:4" x14ac:dyDescent="0.3">
      <c r="A11261" s="1" t="str">
        <f>"01000821900"</f>
        <v>01000821900</v>
      </c>
      <c r="B11261" s="1" t="str">
        <f>"SEWARDS FREDERICK A"</f>
        <v>SEWARDS FREDERICK A</v>
      </c>
      <c r="C11261" s="1" t="str">
        <f>"1007-9 HIGHLAND ST COL ATK &amp; GUITNER LT 107-108&amp;10' SE LT107"</f>
        <v>1007-9 HIGHLAND ST COL ATK &amp; GUITNER LT 107-108&amp;10' SE LT107</v>
      </c>
      <c r="D11261" s="1">
        <v>3733.35</v>
      </c>
    </row>
    <row r="11262" spans="1:4" x14ac:dyDescent="0.3">
      <c r="A11262" s="1" t="str">
        <f>"24000089200"</f>
        <v>24000089200</v>
      </c>
      <c r="B11262" s="1" t="str">
        <f>"SEXTON DANNY W"</f>
        <v>SEXTON DANNY W</v>
      </c>
      <c r="C11262" s="1" t="str">
        <f>"INAH AVE WOODLAWN 55 "</f>
        <v xml:space="preserve">INAH AVE WOODLAWN 55 </v>
      </c>
      <c r="D11262" s="1">
        <v>812.46</v>
      </c>
    </row>
    <row r="11263" spans="1:4" x14ac:dyDescent="0.3">
      <c r="A11263" s="1" t="str">
        <f>"57018212800"</f>
        <v>57018212800</v>
      </c>
      <c r="B11263" s="1" t="str">
        <f>"SEXTON MARK E, SEXTON ENITH J"</f>
        <v>SEXTON MARK E, SEXTON ENITH J</v>
      </c>
      <c r="C11263" s="1" t="str">
        <f>"SHELBA DR LAUREL GREENE 4 PH 2 LOT 588"</f>
        <v>SHELBA DR LAUREL GREENE 4 PH 2 LOT 588</v>
      </c>
      <c r="D11263" s="1">
        <v>700</v>
      </c>
    </row>
    <row r="11264" spans="1:4" x14ac:dyDescent="0.3">
      <c r="A11264" s="1" t="str">
        <f>"18000421100"</f>
        <v>18000421100</v>
      </c>
      <c r="B11264" s="1" t="str">
        <f>"SEXTON TEDDY R"</f>
        <v>SEXTON TEDDY R</v>
      </c>
      <c r="C11264" s="1" t="str">
        <f>"EBRIGHT RD ACRES .528 TR 4 URP R21 T11 SEC 22"</f>
        <v>EBRIGHT RD ACRES .528 TR 4 URP R21 T11 SEC 22</v>
      </c>
      <c r="D11264" s="1">
        <v>6013.14</v>
      </c>
    </row>
    <row r="11265" spans="1:4" x14ac:dyDescent="0.3">
      <c r="A11265" s="1" t="str">
        <f>"01003797000"</f>
        <v>01003797000</v>
      </c>
      <c r="B11265" s="1" t="str">
        <f>"SEYMOUR ANGELA K TTEE"</f>
        <v>SEYMOUR ANGELA K TTEE</v>
      </c>
      <c r="C11265" s="1" t="str">
        <f>"419 EN BROADWAY 54FT WS N BROADWAY LOT 44"</f>
        <v>419 EN BROADWAY 54FT WS N BROADWAY LOT 44</v>
      </c>
      <c r="D11265" s="1">
        <v>8049.59</v>
      </c>
    </row>
    <row r="11266" spans="1:4" x14ac:dyDescent="0.3">
      <c r="A11266" s="1" t="str">
        <f>"18400127800"</f>
        <v>18400127800</v>
      </c>
      <c r="B11266" s="1" t="str">
        <f>"SEYMOUR DWIGHT"</f>
        <v>SEYMOUR DWIGHT</v>
      </c>
      <c r="C11266" s="1" t="str">
        <f>"S WASHINGTON R20 T15 S30 .446 AC"</f>
        <v>S WASHINGTON R20 T15 S30 .446 AC</v>
      </c>
      <c r="D11266" s="1">
        <v>853.08</v>
      </c>
    </row>
    <row r="11267" spans="1:4" x14ac:dyDescent="0.3">
      <c r="A11267" s="1" t="str">
        <f>"14000172800"</f>
        <v>14000172800</v>
      </c>
      <c r="B11267" s="1" t="str">
        <f>"SEYMOUR MICHAEL"</f>
        <v>SEYMOUR MICHAEL</v>
      </c>
      <c r="C11267" s="1" t="str">
        <f>"1495 MARSDALE AVE MARSDALE 56 "</f>
        <v xml:space="preserve">1495 MARSDALE AVE MARSDALE 56 </v>
      </c>
      <c r="D11267" s="1">
        <v>378.92</v>
      </c>
    </row>
    <row r="11268" spans="1:4" x14ac:dyDescent="0.3">
      <c r="A11268" s="1" t="str">
        <f>"14000171300"</f>
        <v>14000171300</v>
      </c>
      <c r="B11268" s="1" t="str">
        <f>"SEYMOUR MICHAEL"</f>
        <v>SEYMOUR MICHAEL</v>
      </c>
      <c r="C11268" s="1" t="str">
        <f>"FRANK RD MARSDALE LOT 41 "</f>
        <v xml:space="preserve">FRANK RD MARSDALE LOT 41 </v>
      </c>
      <c r="D11268" s="1">
        <v>13.3</v>
      </c>
    </row>
    <row r="11269" spans="1:4" x14ac:dyDescent="0.3">
      <c r="A11269" s="1" t="str">
        <f>"14000172900"</f>
        <v>14000172900</v>
      </c>
      <c r="B11269" s="1" t="str">
        <f>"SEYMOUR MICHAEL"</f>
        <v>SEYMOUR MICHAEL</v>
      </c>
      <c r="C11269" s="1" t="str">
        <f>"MARSDALE AVE MARSDALE 57 "</f>
        <v xml:space="preserve">MARSDALE AVE MARSDALE 57 </v>
      </c>
      <c r="D11269" s="1">
        <v>421.49</v>
      </c>
    </row>
    <row r="11270" spans="1:4" x14ac:dyDescent="0.3">
      <c r="A11270" s="1" t="str">
        <f>"01007465800"</f>
        <v>01007465800</v>
      </c>
      <c r="B11270" s="1" t="str">
        <f>"SEYMOUR MICHAEL D, PRESTON LINDA"</f>
        <v>SEYMOUR MICHAEL D, PRESTON LINDA</v>
      </c>
      <c r="C11270" s="1" t="str">
        <f>"VELMA ST HIAWATHA PARK PLACE LOT 84"</f>
        <v>VELMA ST HIAWATHA PARK PLACE LOT 84</v>
      </c>
      <c r="D11270" s="1">
        <v>1230.33</v>
      </c>
    </row>
    <row r="11271" spans="1:4" x14ac:dyDescent="0.3">
      <c r="A11271" s="1" t="str">
        <f>"01009322100"</f>
        <v>01009322100</v>
      </c>
      <c r="B11271" s="1" t="str">
        <f>"SEYMOUR SHAUN"</f>
        <v>SEYMOUR SHAUN</v>
      </c>
      <c r="C11271" s="1" t="str">
        <f>"160 S ASHBURTON RD MAYFAIR LOT 155"</f>
        <v>160 S ASHBURTON RD MAYFAIR LOT 155</v>
      </c>
      <c r="D11271" s="1">
        <v>1401.03</v>
      </c>
    </row>
    <row r="11272" spans="1:4" x14ac:dyDescent="0.3">
      <c r="A11272" s="1" t="str">
        <f>"53019324600"</f>
        <v>53019324600</v>
      </c>
      <c r="B11272" s="1" t="str">
        <f>"SEYOUM KIDANE M"</f>
        <v>SEYOUM KIDANE M</v>
      </c>
      <c r="C11272" s="1" t="str">
        <f>"BRITWELL LN RESUB PT INDEPEND VIL EAST 5 LOT 458"</f>
        <v>BRITWELL LN RESUB PT INDEPEND VIL EAST 5 LOT 458</v>
      </c>
      <c r="D11272" s="1">
        <v>175.6</v>
      </c>
    </row>
    <row r="11273" spans="1:4" x14ac:dyDescent="0.3">
      <c r="A11273" s="1" t="str">
        <f>"59020626100"</f>
        <v>59020626100</v>
      </c>
      <c r="B11273" s="1" t="str">
        <f>"SFALCIN ADRIANA A"</f>
        <v>SFALCIN ADRIANA A</v>
      </c>
      <c r="C11273" s="1" t="str">
        <f>"LEITRIM COURT KILBANNON SECTION 2 LOT 107"</f>
        <v>LEITRIM COURT KILBANNON SECTION 2 LOT 107</v>
      </c>
      <c r="D11273" s="1">
        <v>312.67</v>
      </c>
    </row>
    <row r="11274" spans="1:4" x14ac:dyDescent="0.3">
      <c r="A11274" s="1" t="str">
        <f>"01015747300"</f>
        <v>01015747300</v>
      </c>
      <c r="B11274" s="1" t="str">
        <f>"SFIKAS LAURA"</f>
        <v>SFIKAS LAURA</v>
      </c>
      <c r="C11274" s="1" t="str">
        <f>"BETHEL RD THE GABLES WEST LOT 199"</f>
        <v>BETHEL RD THE GABLES WEST LOT 199</v>
      </c>
      <c r="D11274" s="1">
        <v>259.76</v>
      </c>
    </row>
    <row r="11275" spans="1:4" x14ac:dyDescent="0.3">
      <c r="A11275" s="1" t="str">
        <f>"04000770600"</f>
        <v>04000770600</v>
      </c>
      <c r="B11275" s="1" t="str">
        <f>"SFR OWNER I LLC"</f>
        <v>SFR OWNER I LLC</v>
      </c>
      <c r="C11275" s="1" t="str">
        <f>"BUCKEYE PARKWAY CROSSING AT GRANT RUN SEC 1   LOT 30"</f>
        <v>BUCKEYE PARKWAY CROSSING AT GRANT RUN SEC 1   LOT 30</v>
      </c>
      <c r="D11275" s="1">
        <v>5951.78</v>
      </c>
    </row>
    <row r="11276" spans="1:4" x14ac:dyDescent="0.3">
      <c r="A11276" s="1" t="str">
        <f>"01015562000"</f>
        <v>01015562000</v>
      </c>
      <c r="B11276" s="1" t="str">
        <f>"SHACKELFORD ERIC T"</f>
        <v>SHACKELFORD ERIC T</v>
      </c>
      <c r="C11276" s="1" t="str">
        <f>"KIMBERLY VILLAS CONDOMINIUM PHASE 3 UNIT 35-A"</f>
        <v>KIMBERLY VILLAS CONDOMINIUM PHASE 3 UNIT 35-A</v>
      </c>
      <c r="D11276" s="1">
        <v>51.84</v>
      </c>
    </row>
    <row r="11277" spans="1:4" x14ac:dyDescent="0.3">
      <c r="A11277" s="1" t="str">
        <f>"14000282200"</f>
        <v>14000282200</v>
      </c>
      <c r="B11277" s="1" t="str">
        <f>"SHACKELFORD STEVEN TTEE"</f>
        <v>SHACKELFORD STEVEN TTEE</v>
      </c>
      <c r="C11277" s="1" t="str">
        <f>"30 FLORENCE AVE BROAD LAWN LOT 111"</f>
        <v>30 FLORENCE AVE BROAD LAWN LOT 111</v>
      </c>
      <c r="D11277" s="1">
        <v>1076.44</v>
      </c>
    </row>
    <row r="11278" spans="1:4" x14ac:dyDescent="0.3">
      <c r="A11278" s="1" t="str">
        <f>"01003851200"</f>
        <v>01003851200</v>
      </c>
      <c r="B11278" s="1" t="str">
        <f>"SHACKELFORD STEVEN TTEE"</f>
        <v>SHACKELFORD STEVEN TTEE</v>
      </c>
      <c r="C11278" s="1" t="str">
        <f>"INDIANOLA HTS LOT 30  "</f>
        <v xml:space="preserve">INDIANOLA HTS LOT 30  </v>
      </c>
      <c r="D11278" s="1">
        <v>4284.54</v>
      </c>
    </row>
    <row r="11279" spans="1:4" x14ac:dyDescent="0.3">
      <c r="A11279" s="1" t="str">
        <f>"14000283100"</f>
        <v>14000283100</v>
      </c>
      <c r="B11279" s="1" t="str">
        <f>"SHACKELFORD STEVEN TTEE (DLS TRUST)"</f>
        <v>SHACKELFORD STEVEN TTEE (DLS TRUST)</v>
      </c>
      <c r="C11279" s="1" t="str">
        <f>"61 BROADLAWN AVE BROAD LAWN LOT 120"</f>
        <v>61 BROADLAWN AVE BROAD LAWN LOT 120</v>
      </c>
      <c r="D11279" s="1">
        <v>1105.3399999999999</v>
      </c>
    </row>
    <row r="11280" spans="1:4" x14ac:dyDescent="0.3">
      <c r="A11280" s="1" t="str">
        <f>"02000139100"</f>
        <v>02000139100</v>
      </c>
      <c r="B11280" s="1" t="str">
        <f>"SHACKETT MICHAEL J TTEE"</f>
        <v>SHACKETT MICHAEL J TTEE</v>
      </c>
      <c r="C11280" s="1" t="str">
        <f>"2403 BEXLEY PARK RD BEXLEY PARK LOT 187"</f>
        <v>2403 BEXLEY PARK RD BEXLEY PARK LOT 187</v>
      </c>
      <c r="D11280" s="1">
        <v>5125.3900000000003</v>
      </c>
    </row>
    <row r="11281" spans="1:4" x14ac:dyDescent="0.3">
      <c r="A11281" s="1" t="str">
        <f>"02000456700"</f>
        <v>02000456700</v>
      </c>
      <c r="B11281" s="1" t="str">
        <f>"SHACKETT MICHAEL J TTEE"</f>
        <v>SHACKETT MICHAEL J TTEE</v>
      </c>
      <c r="C11281" s="1" t="str">
        <f>"95 BISHOP SQ UNIT 95 "</f>
        <v xml:space="preserve">95 BISHOP SQ UNIT 95 </v>
      </c>
      <c r="D11281" s="1">
        <v>3866.29</v>
      </c>
    </row>
    <row r="11282" spans="1:4" x14ac:dyDescent="0.3">
      <c r="A11282" s="1" t="str">
        <f>"02000457200"</f>
        <v>02000457200</v>
      </c>
      <c r="B11282" s="1" t="str">
        <f>"SHACKETT MICHAEL J TTEE"</f>
        <v>SHACKETT MICHAEL J TTEE</v>
      </c>
      <c r="C11282" s="1" t="str">
        <f>"00000 BISHOP SQ UNIT B1 GARAGE"</f>
        <v>00000 BISHOP SQ UNIT B1 GARAGE</v>
      </c>
      <c r="D11282" s="1">
        <v>164.69</v>
      </c>
    </row>
    <row r="11283" spans="1:4" x14ac:dyDescent="0.3">
      <c r="A11283" s="1" t="str">
        <f>"01009050500"</f>
        <v>01009050500</v>
      </c>
      <c r="B11283" s="1" t="str">
        <f>"SHACKETT MICHAEL J TTEE"</f>
        <v>SHACKETT MICHAEL J TTEE</v>
      </c>
      <c r="C11283" s="1" t="str">
        <f>"LOWELL RD EASTMINSTER LOT 282 &amp; PT VAC AL"</f>
        <v>LOWELL RD EASTMINSTER LOT 282 &amp; PT VAC AL</v>
      </c>
      <c r="D11283" s="1">
        <v>1679.74</v>
      </c>
    </row>
    <row r="11284" spans="1:4" x14ac:dyDescent="0.3">
      <c r="A11284" s="1" t="str">
        <f>"61018699300"</f>
        <v>61018699300</v>
      </c>
      <c r="B11284" s="1" t="str">
        <f>"SHADD SARAH M"</f>
        <v>SHADD SARAH M</v>
      </c>
      <c r="C11284" s="1" t="str">
        <f>"LARIAT CT RESUB PT WESTERN HILLS SEC 1 LOT 37"</f>
        <v>LARIAT CT RESUB PT WESTERN HILLS SEC 1 LOT 37</v>
      </c>
      <c r="D11284" s="1">
        <v>170.5</v>
      </c>
    </row>
    <row r="11285" spans="1:4" x14ac:dyDescent="0.3">
      <c r="A11285" s="1" t="str">
        <f>"01006773000"</f>
        <v>01006773000</v>
      </c>
      <c r="B11285" s="1" t="str">
        <f>"SHADE CASEY MARIE"</f>
        <v>SHADE CASEY MARIE</v>
      </c>
      <c r="C11285" s="1" t="str">
        <f>"583 TOWNSEND AVE HILLTONIA LOT 79 &amp; 80"</f>
        <v>583 TOWNSEND AVE HILLTONIA LOT 79 &amp; 80</v>
      </c>
      <c r="D11285" s="1">
        <v>3112.49</v>
      </c>
    </row>
    <row r="11286" spans="1:4" x14ac:dyDescent="0.3">
      <c r="A11286" s="1" t="str">
        <f>"10000567600"</f>
        <v>10000567600</v>
      </c>
      <c r="B11286" s="1" t="str">
        <f>"SHADE PAULA H TR"</f>
        <v>SHADE PAULA H TR</v>
      </c>
      <c r="C11286" s="1" t="str">
        <f>"129 SELBY BLVD SELBY EAST CONDO UNIT 129"</f>
        <v>129 SELBY BLVD SELBY EAST CONDO UNIT 129</v>
      </c>
      <c r="D11286" s="1">
        <v>173.01</v>
      </c>
    </row>
    <row r="11287" spans="1:4" x14ac:dyDescent="0.3">
      <c r="A11287" s="1" t="str">
        <f>"01007860400"</f>
        <v>01007860400</v>
      </c>
      <c r="B11287" s="1" t="str">
        <f>"SHAFER KEVIN D, MORGAN RONALD"</f>
        <v>SHAFER KEVIN D, MORGAN RONALD</v>
      </c>
      <c r="C11287" s="1" t="str">
        <f>"SYLVAN AVE WESTGATE PARK LOT 90"</f>
        <v>SYLVAN AVE WESTGATE PARK LOT 90</v>
      </c>
      <c r="D11287" s="1">
        <v>180.4</v>
      </c>
    </row>
    <row r="11288" spans="1:4" x14ac:dyDescent="0.3">
      <c r="A11288" s="1" t="str">
        <f>"05000454300"</f>
        <v>05000454300</v>
      </c>
      <c r="B11288" s="1" t="str">
        <f>"SHAFFSTALL JAMES D, SHAFFSTALL JANET J"</f>
        <v>SHAFFSTALL JAMES D, SHAFFSTALL JANET J</v>
      </c>
      <c r="C11288" s="1" t="str">
        <f>"BOHLEN DRIVE BROOKFIELD VILLAGE SECTION 3 LOT 207"</f>
        <v>BOHLEN DRIVE BROOKFIELD VILLAGE SECTION 3 LOT 207</v>
      </c>
      <c r="D11288" s="1">
        <v>4968.67</v>
      </c>
    </row>
    <row r="11289" spans="1:4" x14ac:dyDescent="0.3">
      <c r="A11289" s="1" t="str">
        <f>"56024476400"</f>
        <v>56024476400</v>
      </c>
      <c r="B11289" s="1" t="str">
        <f>"SHAH NIKETA A, ALVINA JAMES V"</f>
        <v>SHAH NIKETA A, ALVINA JAMES V</v>
      </c>
      <c r="C11289" s="1" t="str">
        <f>"MENZOLA DRIVE LIMESTONE POINTE SEC 2 PART 2 LOT 60"</f>
        <v>MENZOLA DRIVE LIMESTONE POINTE SEC 2 PART 2 LOT 60</v>
      </c>
      <c r="D11289" s="1">
        <v>189.33</v>
      </c>
    </row>
    <row r="11290" spans="1:4" x14ac:dyDescent="0.3">
      <c r="A11290" s="1" t="str">
        <f>"01028781400"</f>
        <v>01028781400</v>
      </c>
      <c r="B11290" s="1" t="str">
        <f>"SHAH NUSRAT, MUHAMMAD TAJ"</f>
        <v>SHAH NUSRAT, MUHAMMAD TAJ</v>
      </c>
      <c r="C11290" s="1" t="str">
        <f>"HUY RD KENMORE KNOLLS 19.6FT ES LOT 211"</f>
        <v>HUY RD KENMORE KNOLLS 19.6FT ES LOT 211</v>
      </c>
      <c r="D11290" s="1">
        <v>133.93</v>
      </c>
    </row>
    <row r="11291" spans="1:4" x14ac:dyDescent="0.3">
      <c r="A11291" s="1" t="str">
        <f>"01003438100"</f>
        <v>01003438100</v>
      </c>
      <c r="B11291" s="1" t="str">
        <f>"SHAH SHRENA"</f>
        <v>SHAH SHRENA</v>
      </c>
      <c r="C11291" s="1" t="str">
        <f>"130 CHICAGO AVE FRANKLIN LOT 118"</f>
        <v>130 CHICAGO AVE FRANKLIN LOT 118</v>
      </c>
      <c r="D11291" s="1">
        <v>3116.18</v>
      </c>
    </row>
    <row r="11292" spans="1:4" x14ac:dyDescent="0.3">
      <c r="A11292" s="1" t="str">
        <f>"27301192800"</f>
        <v>27301192800</v>
      </c>
      <c r="B11292" s="1" t="str">
        <f>"SHAHNAZI SHAHIN, SHAHNAZI NATALIE"</f>
        <v>SHAHNAZI SHAHIN, SHAHNAZI NATALIE</v>
      </c>
      <c r="C11292" s="1" t="str">
        <f>"MANOR AT CRAUGHWELL       VILLAGE CONDOMINIUM       BLDG 3 UNIT 6105         "</f>
        <v xml:space="preserve">MANOR AT CRAUGHWELL       VILLAGE CONDOMINIUM       BLDG 3 UNIT 6105         </v>
      </c>
      <c r="D11292" s="1">
        <v>2079.63</v>
      </c>
    </row>
    <row r="11293" spans="1:4" x14ac:dyDescent="0.3">
      <c r="A11293" s="1" t="str">
        <f>"05001002100"</f>
        <v>05001002100</v>
      </c>
      <c r="B11293" s="1" t="str">
        <f>"SHAIRZAI NAJIBA"</f>
        <v>SHAIRZAI NAJIBA</v>
      </c>
      <c r="C11293" s="1" t="str">
        <f>"VININGS CONDOMINIUM COMMUNITY 3RD AMD UNIT 5153"</f>
        <v>VININGS CONDOMINIUM COMMUNITY 3RD AMD UNIT 5153</v>
      </c>
      <c r="D11293" s="1">
        <v>1600.01</v>
      </c>
    </row>
    <row r="11294" spans="1:4" x14ac:dyDescent="0.3">
      <c r="A11294" s="1" t="str">
        <f>"27300249400"</f>
        <v>27300249400</v>
      </c>
      <c r="B11294" s="1" t="str">
        <f>"SHAKTI NORTHSTAR INVESTMENTS INC"</f>
        <v>SHAKTI NORTHSTAR INVESTMENTS INC</v>
      </c>
      <c r="C11294" s="1" t="str">
        <f>"PARKWAY PROFESSIONAL PLAZA CONDO PHASE 1 BLDG 1 UNIT 5178"</f>
        <v>PARKWAY PROFESSIONAL PLAZA CONDO PHASE 1 BLDG 1 UNIT 5178</v>
      </c>
      <c r="D11294" s="1">
        <v>6050.01</v>
      </c>
    </row>
    <row r="11295" spans="1:4" x14ac:dyDescent="0.3">
      <c r="A11295" s="1" t="str">
        <f>"14000500900"</f>
        <v>14000500900</v>
      </c>
      <c r="B11295" s="1" t="str">
        <f>"SHALASH HUTHAYFA"</f>
        <v>SHALASH HUTHAYFA</v>
      </c>
      <c r="C11295" s="1" t="str">
        <f>"861 JOSEPHINE AVE ROSARY 2 LOT 18 BLK 10"</f>
        <v>861 JOSEPHINE AVE ROSARY 2 LOT 18 BLK 10</v>
      </c>
      <c r="D11295" s="1">
        <v>2995.64</v>
      </c>
    </row>
    <row r="11296" spans="1:4" x14ac:dyDescent="0.3">
      <c r="A11296" s="1" t="str">
        <f>"06000748600"</f>
        <v>06000748600</v>
      </c>
      <c r="B11296" s="1" t="str">
        <f>"SHALASH MAZIN"</f>
        <v>SHALASH MAZIN</v>
      </c>
      <c r="C11296" s="1" t="str">
        <f>"E MAIN ST R21 T12 S13 1/2S30 0.762 ACRE"</f>
        <v>E MAIN ST R21 T12 S13 1/2S30 0.762 ACRE</v>
      </c>
      <c r="D11296" s="1">
        <v>8942.57</v>
      </c>
    </row>
    <row r="11297" spans="1:4" x14ac:dyDescent="0.3">
      <c r="A11297" s="1" t="str">
        <f>"26000042100"</f>
        <v>26000042100</v>
      </c>
      <c r="B11297" s="1" t="str">
        <f>"SHALASH MUSTAFA"</f>
        <v>SHALASH MUSTAFA</v>
      </c>
      <c r="C11297" s="1" t="str">
        <f>"NOE BIXBY RD QUALSTAN EAST PT RES B=0.347 ACRE"</f>
        <v>NOE BIXBY RD QUALSTAN EAST PT RES B=0.347 ACRE</v>
      </c>
      <c r="D11297" s="1">
        <v>5224.54</v>
      </c>
    </row>
    <row r="11298" spans="1:4" x14ac:dyDescent="0.3">
      <c r="A11298" s="1" t="str">
        <f>"01001195700"</f>
        <v>01001195700</v>
      </c>
      <c r="B11298" s="1" t="str">
        <f>"SHALASH MUSTAFA"</f>
        <v>SHALASH MUSTAFA</v>
      </c>
      <c r="C11298" s="1" t="str">
        <f>"1600 E MAIN ST THOMAS MILLERS HEIRS PART LOT 6"</f>
        <v>1600 E MAIN ST THOMAS MILLERS HEIRS PART LOT 6</v>
      </c>
      <c r="D11298" s="1">
        <v>1703.29</v>
      </c>
    </row>
    <row r="11299" spans="1:4" x14ac:dyDescent="0.3">
      <c r="A11299" s="1" t="str">
        <f>"01006034400"</f>
        <v>01006034400</v>
      </c>
      <c r="B11299" s="1" t="str">
        <f>"SHALASH MUSTAFA"</f>
        <v>SHALASH MUSTAFA</v>
      </c>
      <c r="C11299" s="1" t="str">
        <f>"CLEVELAND AVE WALDEMERE LOT 36"</f>
        <v>CLEVELAND AVE WALDEMERE LOT 36</v>
      </c>
      <c r="D11299" s="1">
        <v>634</v>
      </c>
    </row>
    <row r="11300" spans="1:4" x14ac:dyDescent="0.3">
      <c r="A11300" s="1" t="str">
        <f>"06000469700"</f>
        <v>06000469700</v>
      </c>
      <c r="B11300" s="1" t="str">
        <f>"SHALASH REEM, SHALASH FAYEZ"</f>
        <v>SHALASH REEM, SHALASH FAYEZ</v>
      </c>
      <c r="C11300" s="1" t="str">
        <f>"MATTERHORN DR BRIARCLIFF NO 5 LOT 433"</f>
        <v>MATTERHORN DR BRIARCLIFF NO 5 LOT 433</v>
      </c>
      <c r="D11300" s="1">
        <v>6021.77</v>
      </c>
    </row>
    <row r="11301" spans="1:4" x14ac:dyDescent="0.3">
      <c r="A11301" s="1" t="str">
        <f>"06000682200"</f>
        <v>06000682200</v>
      </c>
      <c r="B11301" s="1" t="str">
        <f>"SHALASH REQUOIA"</f>
        <v>SHALASH REQUOIA</v>
      </c>
      <c r="C11301" s="1" t="str">
        <f>"JONELL LANE MEADOWS REYN SEC 1 LOT 18"</f>
        <v>JONELL LANE MEADOWS REYN SEC 1 LOT 18</v>
      </c>
      <c r="D11301" s="1">
        <v>3136.41</v>
      </c>
    </row>
    <row r="11302" spans="1:4" x14ac:dyDescent="0.3">
      <c r="A11302" s="1" t="str">
        <f>"01005289000"</f>
        <v>01005289000</v>
      </c>
      <c r="B11302" s="1" t="str">
        <f>"SHALASH REQUOIA"</f>
        <v>SHALASH REQUOIA</v>
      </c>
      <c r="C11302" s="1" t="str">
        <f>"1850 E MAIN ST MARTIN &amp; STAGES FAIRWOOD E 1/2 LT 9"</f>
        <v>1850 E MAIN ST MARTIN &amp; STAGES FAIRWOOD E 1/2 LT 9</v>
      </c>
      <c r="D11302" s="1">
        <v>352.19</v>
      </c>
    </row>
    <row r="11303" spans="1:4" x14ac:dyDescent="0.3">
      <c r="A11303" s="1" t="str">
        <f>"02500089200"</f>
        <v>02500089200</v>
      </c>
      <c r="B11303" s="1" t="str">
        <f>"SHAMBAUGH SCOTT, SHAMBAUGH LINDSAY"</f>
        <v>SHAMBAUGH SCOTT, SHAMBAUGH LINDSAY</v>
      </c>
      <c r="C11303" s="1" t="str">
        <f>"507 CHERRY RD R17 T1 1/4T4 .35 ACRES"</f>
        <v>507 CHERRY RD R17 T1 1/4T4 .35 ACRES</v>
      </c>
      <c r="D11303" s="1">
        <v>1800.93</v>
      </c>
    </row>
    <row r="11304" spans="1:4" x14ac:dyDescent="0.3">
      <c r="A11304" s="1" t="str">
        <f>"23630064400"</f>
        <v>23630064400</v>
      </c>
      <c r="B11304" s="1" t="str">
        <f>"SHANER GEORGE M"</f>
        <v>SHANER GEORGE M</v>
      </c>
      <c r="C11304" s="1" t="str">
        <f>"2900 NORTON RD ENTRY 3028 0.664 ACRE"</f>
        <v>2900 NORTON RD ENTRY 3028 0.664 ACRE</v>
      </c>
      <c r="D11304" s="1">
        <v>27.5</v>
      </c>
    </row>
    <row r="11305" spans="1:4" x14ac:dyDescent="0.3">
      <c r="A11305" s="1" t="str">
        <f>"27300003600"</f>
        <v>27300003600</v>
      </c>
      <c r="B11305" s="1" t="str">
        <f>"SHANGHI ENTERPRISES LLC"</f>
        <v>SHANGHI ENTERPRISES LLC</v>
      </c>
      <c r="C11305" s="1" t="str">
        <f>"BRIDGE ST 66 X 198 FT "</f>
        <v xml:space="preserve">BRIDGE ST 66 X 198 FT </v>
      </c>
      <c r="D11305" s="1">
        <v>10955.38</v>
      </c>
    </row>
    <row r="11306" spans="1:4" x14ac:dyDescent="0.3">
      <c r="A11306" s="1" t="str">
        <f>"55015384200"</f>
        <v>55015384200</v>
      </c>
      <c r="B11306" s="1" t="str">
        <f>"SHANK JENNIFER TTEE"</f>
        <v>SHANK JENNIFER TTEE</v>
      </c>
      <c r="C11306" s="1" t="str">
        <f>"BORR AVE KINGS RIDGE LOT 30"</f>
        <v>BORR AVE KINGS RIDGE LOT 30</v>
      </c>
      <c r="D11306" s="1">
        <v>182.7</v>
      </c>
    </row>
    <row r="11307" spans="1:4" x14ac:dyDescent="0.3">
      <c r="A11307" s="1" t="str">
        <f>"18000022800"</f>
        <v>18000022800</v>
      </c>
      <c r="B11307" s="1" t="str">
        <f>"SHANKLIN WILEY"</f>
        <v>SHANKLIN WILEY</v>
      </c>
      <c r="C11307" s="1" t="str">
        <f>"FLOYD DR EDGEWATER PK PARCELS LOT 30"</f>
        <v>FLOYD DR EDGEWATER PK PARCELS LOT 30</v>
      </c>
      <c r="D11307" s="1">
        <v>434.19</v>
      </c>
    </row>
    <row r="11308" spans="1:4" x14ac:dyDescent="0.3">
      <c r="A11308" s="1" t="str">
        <f>"01009123300"</f>
        <v>01009123300</v>
      </c>
      <c r="B11308" s="1" t="str">
        <f>"SHANNON CARMELLA J"</f>
        <v>SHANNON CARMELLA J</v>
      </c>
      <c r="C11308" s="1" t="str">
        <f>"JAMES RD EASTHAMPTON LOT 9"</f>
        <v>JAMES RD EASTHAMPTON LOT 9</v>
      </c>
      <c r="D11308" s="1">
        <v>2539.0100000000002</v>
      </c>
    </row>
    <row r="11309" spans="1:4" x14ac:dyDescent="0.3">
      <c r="A11309" s="1" t="str">
        <f>"01009180300"</f>
        <v>01009180300</v>
      </c>
      <c r="B11309" s="1" t="str">
        <f>"SHANNON EDWARD M"</f>
        <v>SHANNON EDWARD M</v>
      </c>
      <c r="C11309" s="1" t="str">
        <f>"877 KENWICK RD BEXLEY ANNEX LOT 145-146"</f>
        <v>877 KENWICK RD BEXLEY ANNEX LOT 145-146</v>
      </c>
      <c r="D11309" s="1">
        <v>534.35</v>
      </c>
    </row>
    <row r="11310" spans="1:4" x14ac:dyDescent="0.3">
      <c r="A11310" s="1" t="str">
        <f>"01007448200"</f>
        <v>01007448200</v>
      </c>
      <c r="B11310" s="1" t="str">
        <f>"SHAPPY LEONARD"</f>
        <v>SHAPPY LEONARD</v>
      </c>
      <c r="C11310" s="1" t="str">
        <f>"HIGHWAY PARK LOT 84 "</f>
        <v xml:space="preserve">HIGHWAY PARK LOT 84 </v>
      </c>
      <c r="D11310" s="1">
        <v>3596.07</v>
      </c>
    </row>
    <row r="11311" spans="1:4" x14ac:dyDescent="0.3">
      <c r="A11311" s="1" t="str">
        <f>"01018617200"</f>
        <v>01018617200</v>
      </c>
      <c r="B11311" s="1" t="str">
        <f>"SHARIF BAKAR"</f>
        <v>SHARIF BAKAR</v>
      </c>
      <c r="C11311" s="1" t="str">
        <f>"HIDDEN ACRES CT THE HIDDEN AC CONDO BLDG 4 UNIT 971"</f>
        <v>HIDDEN ACRES CT THE HIDDEN AC CONDO BLDG 4 UNIT 971</v>
      </c>
      <c r="D11311" s="1">
        <v>68.34</v>
      </c>
    </row>
    <row r="11312" spans="1:4" x14ac:dyDescent="0.3">
      <c r="A11312" s="1" t="str">
        <f>"60022432200"</f>
        <v>60022432200</v>
      </c>
      <c r="B11312" s="1" t="str">
        <f>"SHARIF OMAR ALWI"</f>
        <v>SHARIF OMAR ALWI</v>
      </c>
      <c r="C11312" s="1" t="str">
        <f>"GRAYS MARKET DRIVE BRENTHURST SECTION 2 LOT 40"</f>
        <v>GRAYS MARKET DRIVE BRENTHURST SECTION 2 LOT 40</v>
      </c>
      <c r="D11312" s="1">
        <v>288.17</v>
      </c>
    </row>
    <row r="11313" spans="1:4" x14ac:dyDescent="0.3">
      <c r="A11313" s="1" t="str">
        <f>"01016186200"</f>
        <v>01016186200</v>
      </c>
      <c r="B11313" s="1" t="str">
        <f>"SHARIF OMAR ALWI"</f>
        <v>SHARIF OMAR ALWI</v>
      </c>
      <c r="C11313" s="1" t="str">
        <f>"SAUGUS CIRCLE FRAMINGHAM LOT 36"</f>
        <v>SAUGUS CIRCLE FRAMINGHAM LOT 36</v>
      </c>
      <c r="D11313" s="1">
        <v>175.22</v>
      </c>
    </row>
    <row r="11314" spans="1:4" x14ac:dyDescent="0.3">
      <c r="A11314" s="1" t="str">
        <f>"60018702400"</f>
        <v>60018702400</v>
      </c>
      <c r="B11314" s="1" t="str">
        <f>"SHARIFF OMAR"</f>
        <v>SHARIFF OMAR</v>
      </c>
      <c r="C11314" s="1" t="str">
        <f>"RAKEFORD DR THE CMN AT PARKRIDGE LOT 7"</f>
        <v>RAKEFORD DR THE CMN AT PARKRIDGE LOT 7</v>
      </c>
      <c r="D11314" s="1">
        <v>59.48</v>
      </c>
    </row>
    <row r="11315" spans="1:4" x14ac:dyDescent="0.3">
      <c r="A11315" s="1" t="str">
        <f>"54522048500"</f>
        <v>54522048500</v>
      </c>
      <c r="B11315" s="1" t="str">
        <f>"SHARMA ANSHUL, SHARMA NIDHI"</f>
        <v>SHARMA ANSHUL, SHARMA NIDHI</v>
      </c>
      <c r="C11315" s="1" t="str">
        <f>"RESUBDIVISION OF TIMBER LEAF SEC 1 LOT 22"</f>
        <v>RESUBDIVISION OF TIMBER LEAF SEC 1 LOT 22</v>
      </c>
      <c r="D11315" s="1">
        <v>3046.58</v>
      </c>
    </row>
    <row r="11316" spans="1:4" x14ac:dyDescent="0.3">
      <c r="A11316" s="1" t="str">
        <f>"22000180900"</f>
        <v>22000180900</v>
      </c>
      <c r="B11316" s="1" t="str">
        <f>"SHARMA ANSHUL, SHARMA NIDHI"</f>
        <v>SHARMA ANSHUL, SHARMA NIDHI</v>
      </c>
      <c r="C11316" s="1" t="str">
        <f>"SMOTHERS RD R16T2 1/4T2 5.001 ACRES LOT 5"</f>
        <v>SMOTHERS RD R16T2 1/4T2 5.001 ACRES LOT 5</v>
      </c>
      <c r="D11316" s="1">
        <v>8915.85</v>
      </c>
    </row>
    <row r="11317" spans="1:4" x14ac:dyDescent="0.3">
      <c r="A11317" s="1" t="str">
        <f>"60017682900"</f>
        <v>60017682900</v>
      </c>
      <c r="B11317" s="1" t="str">
        <f>"SHARMA NARAYAN"</f>
        <v>SHARMA NARAYAN</v>
      </c>
      <c r="C11317" s="1" t="str">
        <f>"SPRING FLOWER COURT STRAWBERRY FARMS 4 LOT 196"</f>
        <v>SPRING FLOWER COURT STRAWBERRY FARMS 4 LOT 196</v>
      </c>
      <c r="D11317" s="1">
        <v>2371.9299999999998</v>
      </c>
    </row>
    <row r="11318" spans="1:4" x14ac:dyDescent="0.3">
      <c r="A11318" s="1" t="str">
        <f>"22200243300"</f>
        <v>22200243300</v>
      </c>
      <c r="B11318" s="1" t="str">
        <f>"SHARMA NIDHI, SHARMA ANSHUL"</f>
        <v>SHARMA NIDHI, SHARMA ANSHUL</v>
      </c>
      <c r="C11318" s="1" t="str">
        <f>"MAYNARD PLACE NEW ALBANY LINKS SECTION 3 LOT 109"</f>
        <v>MAYNARD PLACE NEW ALBANY LINKS SECTION 3 LOT 109</v>
      </c>
      <c r="D11318" s="1">
        <v>6743.18</v>
      </c>
    </row>
    <row r="11319" spans="1:4" x14ac:dyDescent="0.3">
      <c r="A11319" s="1" t="str">
        <f>"59016809700"</f>
        <v>59016809700</v>
      </c>
      <c r="B11319" s="1" t="str">
        <f>"SHARP CARL E"</f>
        <v>SHARP CARL E</v>
      </c>
      <c r="C11319" s="1" t="str">
        <f>"OLDE SAWMILL-1 RESUB OF LOTS SOVRON COURT LOT 242"</f>
        <v>OLDE SAWMILL-1 RESUB OF LOTS SOVRON COURT LOT 242</v>
      </c>
      <c r="D11319" s="1">
        <v>411.46</v>
      </c>
    </row>
    <row r="11320" spans="1:4" x14ac:dyDescent="0.3">
      <c r="A11320" s="1" t="str">
        <f>"01001974400"</f>
        <v>01001974400</v>
      </c>
      <c r="B11320" s="1" t="str">
        <f>"SHARP MATT, QUIGLEY PAMELA"</f>
        <v>SHARP MATT, QUIGLEY PAMELA</v>
      </c>
      <c r="C11320" s="1" t="str">
        <f>"901 CAMPBELL AVE OSBORN PLACE LOT 308"</f>
        <v>901 CAMPBELL AVE OSBORN PLACE LOT 308</v>
      </c>
      <c r="D11320" s="1">
        <v>338.21</v>
      </c>
    </row>
    <row r="11321" spans="1:4" x14ac:dyDescent="0.3">
      <c r="A11321" s="1" t="str">
        <f>"56019281900"</f>
        <v>56019281900</v>
      </c>
      <c r="B11321" s="1" t="str">
        <f>"SHARP MICHAEL R, SHARP KAREN M"</f>
        <v>SHARP MICHAEL R, SHARP KAREN M</v>
      </c>
      <c r="C11321" s="1" t="str">
        <f>"3233 STONECREST CT STONEBROOKE CONDO 2 BLDG 5 UNIT 41"</f>
        <v>3233 STONECREST CT STONEBROOKE CONDO 2 BLDG 5 UNIT 41</v>
      </c>
      <c r="D11321" s="1">
        <v>197.78</v>
      </c>
    </row>
    <row r="11322" spans="1:4" x14ac:dyDescent="0.3">
      <c r="A11322" s="1" t="str">
        <f>"01000299700"</f>
        <v>01000299700</v>
      </c>
      <c r="B11322" s="1" t="str">
        <f>"SHARP REAL ESTATE LLC"</f>
        <v>SHARP REAL ESTATE LLC</v>
      </c>
      <c r="C11322" s="1" t="str">
        <f>"1050-1052 SCOTT ST J S SULLIVANT PT SUB 28"</f>
        <v>1050-1052 SCOTT ST J S SULLIVANT PT SUB 28</v>
      </c>
      <c r="D11322" s="1">
        <v>2414.23</v>
      </c>
    </row>
    <row r="11323" spans="1:4" x14ac:dyDescent="0.3">
      <c r="A11323" s="1" t="str">
        <f>"24000399000"</f>
        <v>24000399000</v>
      </c>
      <c r="B11323" s="1" t="str">
        <f>"SHARROCK KIMBERLY TTEE"</f>
        <v>SHARROCK KIMBERLY TTEE</v>
      </c>
      <c r="C11323" s="1" t="str">
        <f>"HAMDEN WAY LINCOLN VILLAGE LOT 850"</f>
        <v>HAMDEN WAY LINCOLN VILLAGE LOT 850</v>
      </c>
      <c r="D11323" s="1">
        <v>118.28</v>
      </c>
    </row>
    <row r="11324" spans="1:4" x14ac:dyDescent="0.3">
      <c r="A11324" s="1" t="str">
        <f>"01006092400"</f>
        <v>01006092400</v>
      </c>
      <c r="B11324" s="1" t="str">
        <f>"SHAVER WARREN"</f>
        <v>SHAVER WARREN</v>
      </c>
      <c r="C11324" s="1" t="str">
        <f>"INNIS CREST LOT 345 "</f>
        <v xml:space="preserve">INNIS CREST LOT 345 </v>
      </c>
      <c r="D11324" s="1">
        <v>1616.75</v>
      </c>
    </row>
    <row r="11325" spans="1:4" x14ac:dyDescent="0.3">
      <c r="A11325" s="1" t="str">
        <f>"01012817400"</f>
        <v>01012817400</v>
      </c>
      <c r="B11325" s="1" t="str">
        <f>"SHAVERS ERLIENE"</f>
        <v>SHAVERS ERLIENE</v>
      </c>
      <c r="C11325" s="1" t="str">
        <f>"KEYSTONE DR BERWYN LOT 300"</f>
        <v>KEYSTONE DR BERWYN LOT 300</v>
      </c>
      <c r="D11325" s="1">
        <v>3855.02</v>
      </c>
    </row>
    <row r="11326" spans="1:4" x14ac:dyDescent="0.3">
      <c r="A11326" s="1" t="str">
        <f>"01001559300"</f>
        <v>01001559300</v>
      </c>
      <c r="B11326" s="1" t="str">
        <f>"SHAW ELWIN S"</f>
        <v>SHAW ELWIN S</v>
      </c>
      <c r="C11326" s="1" t="str">
        <f>"70-72 W BLAKE MONTGOMERY &amp; MC KEE LOT111"</f>
        <v>70-72 W BLAKE MONTGOMERY &amp; MC KEE LOT111</v>
      </c>
      <c r="D11326" s="1">
        <v>7820.4</v>
      </c>
    </row>
    <row r="11327" spans="1:4" x14ac:dyDescent="0.3">
      <c r="A11327" s="1" t="str">
        <f>"09000268100"</f>
        <v>09000268100</v>
      </c>
      <c r="B11327" s="1" t="str">
        <f>"SHAW JAMES E, SHAW WILLA"</f>
        <v>SHAW JAMES E, SHAW WILLA</v>
      </c>
      <c r="C11327" s="1" t="str">
        <f>"4045 ELBERN PINEWOOD LOT 216"</f>
        <v>4045 ELBERN PINEWOOD LOT 216</v>
      </c>
      <c r="D11327" s="1">
        <v>1310.88</v>
      </c>
    </row>
    <row r="11328" spans="1:4" x14ac:dyDescent="0.3">
      <c r="A11328" s="1" t="str">
        <f>"60018139200"</f>
        <v>60018139200</v>
      </c>
      <c r="B11328" s="1" t="str">
        <f>"SHAW LORA, ROBERTSON ANTHONY"</f>
        <v>SHAW LORA, ROBERTSON ANTHONY</v>
      </c>
      <c r="C11328" s="1" t="str">
        <f>"BERRYHILL CT DARYNGTON PLACE COND UNIT 4882"</f>
        <v>BERRYHILL CT DARYNGTON PLACE COND UNIT 4882</v>
      </c>
      <c r="D11328" s="1">
        <v>1027.0899999999999</v>
      </c>
    </row>
    <row r="11329" spans="1:4" x14ac:dyDescent="0.3">
      <c r="A11329" s="1" t="str">
        <f>"01016705500"</f>
        <v>01016705500</v>
      </c>
      <c r="B11329" s="1" t="str">
        <f>"SHAW MARKEILA"</f>
        <v>SHAW MARKEILA</v>
      </c>
      <c r="C11329" s="1" t="str">
        <f>"VENDOME DR S AMVET HOMESTD SUB 1 LOT 7 BLK B"</f>
        <v>VENDOME DR S AMVET HOMESTD SUB 1 LOT 7 BLK B</v>
      </c>
      <c r="D11329" s="1">
        <v>95.87</v>
      </c>
    </row>
    <row r="11330" spans="1:4" x14ac:dyDescent="0.3">
      <c r="A11330" s="1" t="str">
        <f>"01007991900"</f>
        <v>01007991900</v>
      </c>
      <c r="B11330" s="1" t="str">
        <f>"SHAW STEPHANIE J"</f>
        <v>SHAW STEPHANIE J</v>
      </c>
      <c r="C11330" s="1" t="str">
        <f>"OAKLAWN ST KENMORE PARK BLK7 LOT 6"</f>
        <v>OAKLAWN ST KENMORE PARK BLK7 LOT 6</v>
      </c>
      <c r="D11330" s="1">
        <v>168.28</v>
      </c>
    </row>
    <row r="11331" spans="1:4" x14ac:dyDescent="0.3">
      <c r="A11331" s="1" t="str">
        <f>"05000155600"</f>
        <v>05000155600</v>
      </c>
      <c r="B11331" s="1" t="str">
        <f>"SHAW TIMOTHY C"</f>
        <v>SHAW TIMOTHY C</v>
      </c>
      <c r="C11331" s="1" t="str">
        <f>"3820 BRADFORD DRIVE COLONIAL LANES LOT 7"</f>
        <v>3820 BRADFORD DRIVE COLONIAL LANES LOT 7</v>
      </c>
      <c r="D11331" s="1">
        <v>2821.5</v>
      </c>
    </row>
    <row r="11332" spans="1:4" x14ac:dyDescent="0.3">
      <c r="A11332" s="1" t="str">
        <f>"01019527600"</f>
        <v>01019527600</v>
      </c>
      <c r="B11332" s="1" t="str">
        <f>"SHAW WILMA JEAN"</f>
        <v>SHAW WILMA JEAN</v>
      </c>
      <c r="C11332" s="1" t="str">
        <f>"E BROAD ST PARK TOWERS CONDO UNIT 1510"</f>
        <v>E BROAD ST PARK TOWERS CONDO UNIT 1510</v>
      </c>
      <c r="D11332" s="1">
        <v>3213.49</v>
      </c>
    </row>
    <row r="11333" spans="1:4" x14ac:dyDescent="0.3">
      <c r="A11333" s="1" t="str">
        <f>"01010562600"</f>
        <v>01010562600</v>
      </c>
      <c r="B11333" s="1" t="str">
        <f>"SHAW WILMA JEAN"</f>
        <v>SHAW WILMA JEAN</v>
      </c>
      <c r="C11333" s="1" t="str">
        <f>"GERTRUDE DR WILLIS PARK 2 LOT 146"</f>
        <v>GERTRUDE DR WILLIS PARK 2 LOT 146</v>
      </c>
      <c r="D11333" s="1">
        <v>894.14</v>
      </c>
    </row>
    <row r="11334" spans="1:4" x14ac:dyDescent="0.3">
      <c r="A11334" s="1" t="str">
        <f>"01009801800"</f>
        <v>01009801800</v>
      </c>
      <c r="B11334" s="1" t="str">
        <f>"SHAWLER ANITA K"</f>
        <v>SHAWLER ANITA K</v>
      </c>
      <c r="C11334" s="1" t="str">
        <f>"ST PATRICK RD BROOKSHIRE PK LOT 141"</f>
        <v>ST PATRICK RD BROOKSHIRE PK LOT 141</v>
      </c>
      <c r="D11334" s="1">
        <v>2801.06</v>
      </c>
    </row>
    <row r="11335" spans="1:4" x14ac:dyDescent="0.3">
      <c r="A11335" s="1" t="str">
        <f>"02500275200"</f>
        <v>02500275200</v>
      </c>
      <c r="B11335" s="1" t="str">
        <f>"SHAY TERRY L"</f>
        <v>SHAY TERRY L</v>
      </c>
      <c r="C11335" s="1" t="str">
        <f>"364 HAYMARKET PLACE ROYAL MANOR 2 923 "</f>
        <v xml:space="preserve">364 HAYMARKET PLACE ROYAL MANOR 2 923 </v>
      </c>
      <c r="D11335" s="1">
        <v>270.38</v>
      </c>
    </row>
    <row r="11336" spans="1:4" x14ac:dyDescent="0.3">
      <c r="A11336" s="1" t="str">
        <f>"01012036200"</f>
        <v>01012036200</v>
      </c>
      <c r="B11336" s="1" t="str">
        <f>"SHC ACQUISITIONS LTD"</f>
        <v>SHC ACQUISITIONS LTD</v>
      </c>
      <c r="C11336" s="1" t="str">
        <f>"SIBLEY AVE THUNDERBI RDACERS LOT 60"</f>
        <v>SIBLEY AVE THUNDERBI RDACERS LOT 60</v>
      </c>
      <c r="D11336" s="1">
        <v>996.62</v>
      </c>
    </row>
    <row r="11337" spans="1:4" x14ac:dyDescent="0.3">
      <c r="A11337" s="1" t="str">
        <f>"60021667100"</f>
        <v>60021667100</v>
      </c>
      <c r="B11337" s="1" t="str">
        <f>"SHEA MICHAEL P, SHEA JERRIE ROBYN"</f>
        <v>SHEA MICHAEL P, SHEA JERRIE ROBYN</v>
      </c>
      <c r="C11337" s="1" t="str">
        <f>"THE WOODS AT BLENDON ESTATES SECTION 1 LOT 74"</f>
        <v>THE WOODS AT BLENDON ESTATES SECTION 1 LOT 74</v>
      </c>
      <c r="D11337" s="1">
        <v>3450.32</v>
      </c>
    </row>
    <row r="11338" spans="1:4" x14ac:dyDescent="0.3">
      <c r="A11338" s="1" t="str">
        <f>"01019916200"</f>
        <v>01019916200</v>
      </c>
      <c r="B11338" s="1" t="str">
        <f>"SHEALEY GWENDOLYN R, HARWELL BRANDON"</f>
        <v>SHEALEY GWENDOLYN R, HARWELL BRANDON</v>
      </c>
      <c r="C11338" s="1" t="str">
        <f>"STORNOWAY DR N MCNAUGHTEN COM CONDO BLDG 10 UNIT 6179"</f>
        <v>STORNOWAY DR N MCNAUGHTEN COM CONDO BLDG 10 UNIT 6179</v>
      </c>
      <c r="D11338" s="1">
        <v>2751</v>
      </c>
    </row>
    <row r="11339" spans="1:4" x14ac:dyDescent="0.3">
      <c r="A11339" s="1" t="str">
        <f>"60016781900"</f>
        <v>60016781900</v>
      </c>
      <c r="B11339" s="1" t="str">
        <f>"SHEALEY GWENDOLYN R, HARWELL BRANDON"</f>
        <v>SHEALEY GWENDOLYN R, HARWELL BRANDON</v>
      </c>
      <c r="C11339" s="1" t="str">
        <f>"CHIPPEWILL CONDOMINIUM BLDG 52 UNIT 5"</f>
        <v>CHIPPEWILL CONDOMINIUM BLDG 52 UNIT 5</v>
      </c>
      <c r="D11339" s="1">
        <v>3870.66</v>
      </c>
    </row>
    <row r="11340" spans="1:4" x14ac:dyDescent="0.3">
      <c r="A11340" s="1" t="str">
        <f>"27300916200"</f>
        <v>27300916200</v>
      </c>
      <c r="B11340" s="1" t="str">
        <f>"SHEALY RAMON M"</f>
        <v>SHEALY RAMON M</v>
      </c>
      <c r="C11340" s="1" t="str">
        <f>"GWYNEDD COURT WEDGEWOOD HILLS LOT 7"</f>
        <v>GWYNEDD COURT WEDGEWOOD HILLS LOT 7</v>
      </c>
      <c r="D11340" s="1">
        <v>1075.48</v>
      </c>
    </row>
    <row r="11341" spans="1:4" x14ac:dyDescent="0.3">
      <c r="A11341" s="1" t="str">
        <f>"01002054300"</f>
        <v>01002054300</v>
      </c>
      <c r="B11341" s="1" t="str">
        <f>"SHEAU LANG PROPERTIES LLC"</f>
        <v>SHEAU LANG PROPERTIES LLC</v>
      </c>
      <c r="C11341" s="1" t="str">
        <f>"528 N CHAMPION AVE N 1/2 LOT 30 E LOT 30"</f>
        <v>528 N CHAMPION AVE N 1/2 LOT 30 E LOT 30</v>
      </c>
      <c r="D11341" s="1">
        <v>54.74</v>
      </c>
    </row>
    <row r="11342" spans="1:4" x14ac:dyDescent="0.3">
      <c r="A11342" s="1" t="str">
        <f>"01009260500"</f>
        <v>01009260500</v>
      </c>
      <c r="B11342" s="1" t="str">
        <f>"SHEDD LAVON R"</f>
        <v>SHEDD LAVON R</v>
      </c>
      <c r="C11342" s="1" t="str">
        <f>"WELLESLEY RD L668&amp;20FT WS L667 BERWICK L667-668"</f>
        <v>WELLESLEY RD L668&amp;20FT WS L667 BERWICK L667-668</v>
      </c>
      <c r="D11342" s="1">
        <v>334.59</v>
      </c>
    </row>
    <row r="11343" spans="1:4" x14ac:dyDescent="0.3">
      <c r="A11343" s="1" t="str">
        <f>"27300308400"</f>
        <v>27300308400</v>
      </c>
      <c r="B11343" s="1" t="str">
        <f>"SHEEDY SAMUEL R, SHEEDY BRITTANY R"</f>
        <v>SHEEDY SAMUEL R, SHEEDY BRITTANY R</v>
      </c>
      <c r="C11343" s="1" t="str">
        <f>"7873 DEVINWOOD DR THE WOODS OF DUBLIN SEC 1 LOT 15"</f>
        <v>7873 DEVINWOOD DR THE WOODS OF DUBLIN SEC 1 LOT 15</v>
      </c>
      <c r="D11343" s="1">
        <v>16213.82</v>
      </c>
    </row>
    <row r="11344" spans="1:4" x14ac:dyDescent="0.3">
      <c r="A11344" s="1" t="str">
        <f>"18000458200"</f>
        <v>18000458200</v>
      </c>
      <c r="B11344" s="1" t="str">
        <f>"SHEETS JENNIFER F"</f>
        <v>SHEETS JENNIFER F</v>
      </c>
      <c r="C11344" s="1" t="str">
        <f>"SUNDALE RD RESUB PRT BLACKLICK ESTATES 6 1136"</f>
        <v>SUNDALE RD RESUB PRT BLACKLICK ESTATES 6 1136</v>
      </c>
      <c r="D11344" s="1">
        <v>2222.34</v>
      </c>
    </row>
    <row r="11345" spans="1:4" x14ac:dyDescent="0.3">
      <c r="A11345" s="1" t="str">
        <f>"57024554400"</f>
        <v>57024554400</v>
      </c>
      <c r="B11345" s="1" t="str">
        <f>"SHEETS KRISTA M"</f>
        <v>SHEETS KRISTA M</v>
      </c>
      <c r="C11345" s="1" t="str">
        <f>"ALKIRE PARK CONDOMINIUM 3RD AMD UNIT 23B"</f>
        <v>ALKIRE PARK CONDOMINIUM 3RD AMD UNIT 23B</v>
      </c>
      <c r="D11345" s="1">
        <v>1120.1500000000001</v>
      </c>
    </row>
    <row r="11346" spans="1:4" x14ac:dyDescent="0.3">
      <c r="A11346" s="1" t="str">
        <f>"27300247900"</f>
        <v>27300247900</v>
      </c>
      <c r="B11346" s="1" t="str">
        <f>"SHEFFERSON ARTURO MIGUEL, POOLE TODD L, POOLE GARRETT T"</f>
        <v>SHEFFERSON ARTURO MIGUEL, POOLE TODD L, POOLE GARRETT T</v>
      </c>
      <c r="C11346" s="1" t="str">
        <f>"5176 S WILLOW GROVE CONDO HOMES PH 3B UNIT 5176 BLDG 8"</f>
        <v>5176 S WILLOW GROVE CONDO HOMES PH 3B UNIT 5176 BLDG 8</v>
      </c>
      <c r="D11346" s="1">
        <v>6599.3</v>
      </c>
    </row>
    <row r="11347" spans="1:4" x14ac:dyDescent="0.3">
      <c r="A11347" s="1" t="str">
        <f>"01012655400"</f>
        <v>01012655400</v>
      </c>
      <c r="B11347" s="1" t="str">
        <f>"SHEHAB AHMED"</f>
        <v>SHEHAB AHMED</v>
      </c>
      <c r="C11347" s="1" t="str">
        <f>"ATCHESON AVE AMERICAN LOT 11"</f>
        <v>ATCHESON AVE AMERICAN LOT 11</v>
      </c>
      <c r="D11347" s="1">
        <v>121.35</v>
      </c>
    </row>
    <row r="11348" spans="1:4" x14ac:dyDescent="0.3">
      <c r="A11348" s="1" t="str">
        <f>"01023738100"</f>
        <v>01023738100</v>
      </c>
      <c r="B11348" s="1" t="str">
        <f>"SHEIDLER DAN"</f>
        <v>SHEIDLER DAN</v>
      </c>
      <c r="C11348" s="1" t="str">
        <f>"MONROE AVENUE EAST GROVE 100'ES LOTS 53 &amp; 56"</f>
        <v>MONROE AVENUE EAST GROVE 100'ES LOTS 53 &amp; 56</v>
      </c>
      <c r="D11348" s="1">
        <v>171.16</v>
      </c>
    </row>
    <row r="11349" spans="1:4" x14ac:dyDescent="0.3">
      <c r="A11349" s="1" t="str">
        <f>"60016814700"</f>
        <v>60016814700</v>
      </c>
      <c r="B11349" s="1" t="str">
        <f>"SHEIKH ALI"</f>
        <v>SHEIKH ALI</v>
      </c>
      <c r="C11349" s="1" t="str">
        <f>"BRANDYWINE MEADOWS BRETTON WOODS DR LOT 41"</f>
        <v>BRANDYWINE MEADOWS BRETTON WOODS DR LOT 41</v>
      </c>
      <c r="D11349" s="1">
        <v>2386.19</v>
      </c>
    </row>
    <row r="11350" spans="1:4" x14ac:dyDescent="0.3">
      <c r="A11350" s="1" t="str">
        <f>"60027296400"</f>
        <v>60027296400</v>
      </c>
      <c r="B11350" s="1" t="str">
        <f>"SHEIKH MAHAMUD, AMIN FARHIA"</f>
        <v>SHEIKH MAHAMUD, AMIN FARHIA</v>
      </c>
      <c r="C11350" s="1" t="str">
        <f>"BERTHSTONE DRIVE BRANDYWINE MEADOWS 10 LOT 463"</f>
        <v>BERTHSTONE DRIVE BRANDYWINE MEADOWS 10 LOT 463</v>
      </c>
      <c r="D11350" s="1">
        <v>2866.35</v>
      </c>
    </row>
    <row r="11351" spans="1:4" x14ac:dyDescent="0.3">
      <c r="A11351" s="1" t="str">
        <f>"01015758100"</f>
        <v>01015758100</v>
      </c>
      <c r="B11351" s="1" t="str">
        <f>"SHEIKH MUNIR UDDIN, SHEIKH NASIM AKHTAR, SHEIKH NASEER UDDIN"</f>
        <v>SHEIKH MUNIR UDDIN, SHEIKH NASIM AKHTAR, SHEIKH NASEER UDDIN</v>
      </c>
      <c r="C11351" s="1" t="str">
        <f>"SCOTTSDALE AV THE GABLES WEST LOT 307"</f>
        <v>SCOTTSDALE AV THE GABLES WEST LOT 307</v>
      </c>
      <c r="D11351" s="1">
        <v>2748.14</v>
      </c>
    </row>
    <row r="11352" spans="1:4" x14ac:dyDescent="0.3">
      <c r="A11352" s="1" t="str">
        <f>"01018911500"</f>
        <v>01018911500</v>
      </c>
      <c r="B11352" s="1" t="str">
        <f>"SHEIMAN-MCGEE JASON R, FRANCE JESSICA E"</f>
        <v>SHEIMAN-MCGEE JASON R, FRANCE JESSICA E</v>
      </c>
      <c r="C11352" s="1" t="str">
        <f>"CONNORS POINT VILLAGE GREENE CONDO BLDG 3 UNIT 1777"</f>
        <v>CONNORS POINT VILLAGE GREENE CONDO BLDG 3 UNIT 1777</v>
      </c>
      <c r="D11352" s="1">
        <v>1686.42</v>
      </c>
    </row>
    <row r="11353" spans="1:4" x14ac:dyDescent="0.3">
      <c r="A11353" s="1" t="str">
        <f>"01029472700"</f>
        <v>01029472700</v>
      </c>
      <c r="B11353" s="1" t="str">
        <f>"SHEIPLINE KEVIN J"</f>
        <v>SHEIPLINE KEVIN J</v>
      </c>
      <c r="C11353" s="1" t="str">
        <f>"HAYDENS CROSSING        SECTION 12 LOT 546"</f>
        <v>HAYDENS CROSSING        SECTION 12 LOT 546</v>
      </c>
      <c r="D11353" s="1">
        <v>258.83999999999997</v>
      </c>
    </row>
    <row r="11354" spans="1:4" x14ac:dyDescent="0.3">
      <c r="A11354" s="1" t="str">
        <f>"16000057500"</f>
        <v>16000057500</v>
      </c>
      <c r="B11354" s="1" t="str">
        <f>"SHELDON CHARLES E, SHELDON KAREN L"</f>
        <v>SHELDON CHARLES E, SHELDON KAREN L</v>
      </c>
      <c r="C11354" s="1" t="str">
        <f>"CHARLEMAGNE ST EMERSONIA LOT 86"</f>
        <v>CHARLEMAGNE ST EMERSONIA LOT 86</v>
      </c>
      <c r="D11354" s="1">
        <v>3168.12</v>
      </c>
    </row>
    <row r="11355" spans="1:4" x14ac:dyDescent="0.3">
      <c r="A11355" s="1" t="str">
        <f>"01012117500"</f>
        <v>01012117500</v>
      </c>
      <c r="B11355" s="1" t="str">
        <f>"SHELLOW JAMES A JR"</f>
        <v>SHELLOW JAMES A JR</v>
      </c>
      <c r="C11355" s="1" t="str">
        <f>"JERMAIN DR MARIEMONT VILLAGE LOT 52"</f>
        <v>JERMAIN DR MARIEMONT VILLAGE LOT 52</v>
      </c>
      <c r="D11355" s="1">
        <v>400</v>
      </c>
    </row>
    <row r="11356" spans="1:4" x14ac:dyDescent="0.3">
      <c r="A11356" s="1" t="str">
        <f>"01006436400"</f>
        <v>01006436400</v>
      </c>
      <c r="B11356" s="1" t="str">
        <f>"SHELLY LAUREN, MULLIN LINDA"</f>
        <v>SHELLY LAUREN, MULLIN LINDA</v>
      </c>
      <c r="C11356" s="1" t="str">
        <f>"W BROAD ST BROADVIEW LOT 4 BLK 2"</f>
        <v>W BROAD ST BROADVIEW LOT 4 BLK 2</v>
      </c>
      <c r="D11356" s="1">
        <v>3955.69</v>
      </c>
    </row>
    <row r="11357" spans="1:4" x14ac:dyDescent="0.3">
      <c r="A11357" s="1" t="str">
        <f>"10000645200"</f>
        <v>10000645200</v>
      </c>
      <c r="B11357" s="1" t="str">
        <f>"SHELLY ROBERT"</f>
        <v>SHELLY ROBERT</v>
      </c>
      <c r="C11357" s="1" t="str">
        <f>"THE RESIDENCES OF WORTHINGTON CONDOS UNIT 304"</f>
        <v>THE RESIDENCES OF WORTHINGTON CONDOS UNIT 304</v>
      </c>
      <c r="D11357" s="1">
        <v>2756.59</v>
      </c>
    </row>
    <row r="11358" spans="1:4" x14ac:dyDescent="0.3">
      <c r="A11358" s="1" t="str">
        <f>"10000648300"</f>
        <v>10000648300</v>
      </c>
      <c r="B11358" s="1" t="str">
        <f>"SHELLY ROBERT"</f>
        <v>SHELLY ROBERT</v>
      </c>
      <c r="C11358" s="1" t="str">
        <f>"THE RESIDENCES OF WORTHINGTON CONDOS G-28 (GARAGE)"</f>
        <v>THE RESIDENCES OF WORTHINGTON CONDOS G-28 (GARAGE)</v>
      </c>
      <c r="D11358" s="1">
        <v>340.87</v>
      </c>
    </row>
    <row r="11359" spans="1:4" x14ac:dyDescent="0.3">
      <c r="A11359" s="1" t="str">
        <f>"25000560200"</f>
        <v>25000560200</v>
      </c>
      <c r="B11359" s="1" t="str">
        <f>"SHELTON HERMON T"</f>
        <v>SHELTON HERMON T</v>
      </c>
      <c r="C11359" s="1" t="str">
        <f>"BERTSON PLACE FLINT RIDGE TERRACE 7"</f>
        <v>BERTSON PLACE FLINT RIDGE TERRACE 7</v>
      </c>
      <c r="D11359" s="1">
        <v>4407.74</v>
      </c>
    </row>
    <row r="11360" spans="1:4" x14ac:dyDescent="0.3">
      <c r="A11360" s="1" t="str">
        <f>"19000064000"</f>
        <v>19000064000</v>
      </c>
      <c r="B11360" s="1" t="str">
        <f>"SHELTON SHEILA"</f>
        <v>SHELTON SHEILA</v>
      </c>
      <c r="C11360" s="1" t="str">
        <f>"2153 MINNESOTA AVE 51.74FT ES DENUNE E LINDEN 5TH 163"</f>
        <v>2153 MINNESOTA AVE 51.74FT ES DENUNE E LINDEN 5TH 163</v>
      </c>
      <c r="D11360" s="1">
        <v>73.739999999999995</v>
      </c>
    </row>
    <row r="11361" spans="1:4" x14ac:dyDescent="0.3">
      <c r="A11361" s="1" t="str">
        <f>"27300455100"</f>
        <v>27300455100</v>
      </c>
      <c r="B11361" s="1" t="str">
        <f>"SHENTON ROBERT, SHENTON AMANDA"</f>
        <v>SHENTON ROBERT, SHENTON AMANDA</v>
      </c>
      <c r="C11361" s="1" t="str">
        <f>"CARTNEY CT PHASE 4 PART 4 LOT 1849"</f>
        <v>CARTNEY CT PHASE 4 PART 4 LOT 1849</v>
      </c>
      <c r="D11361" s="1">
        <v>705.78</v>
      </c>
    </row>
    <row r="11362" spans="1:4" x14ac:dyDescent="0.3">
      <c r="A11362" s="1" t="str">
        <f>"01007333400"</f>
        <v>01007333400</v>
      </c>
      <c r="B11362" s="1" t="str">
        <f>"SHEPARD DAILY JR"</f>
        <v>SHEPARD DAILY JR</v>
      </c>
      <c r="C11362" s="1" t="str">
        <f>"1239-21 21ST AVE RICHMOND LOT 258"</f>
        <v>1239-21 21ST AVE RICHMOND LOT 258</v>
      </c>
      <c r="D11362" s="1">
        <v>2310.39</v>
      </c>
    </row>
    <row r="11363" spans="1:4" x14ac:dyDescent="0.3">
      <c r="A11363" s="1" t="str">
        <f>"15200019100"</f>
        <v>15200019100</v>
      </c>
      <c r="B11363" s="1" t="str">
        <f>"SHEPHARD DAVID ALLEN RMDR, SHEPHARD NORMAN E LE"</f>
        <v>SHEPHARD DAVID ALLEN RMDR, SHEPHARD NORMAN E LE</v>
      </c>
      <c r="C11363" s="1" t="str">
        <f>"1655 MARLBORO AVE COLUMBUS TERRACE 653-4"</f>
        <v>1655 MARLBORO AVE COLUMBUS TERRACE 653-4</v>
      </c>
      <c r="D11363" s="1">
        <v>862.13</v>
      </c>
    </row>
    <row r="11364" spans="1:4" x14ac:dyDescent="0.3">
      <c r="A11364" s="1" t="str">
        <f>"01009632200"</f>
        <v>01009632200</v>
      </c>
      <c r="B11364" s="1" t="str">
        <f>"SHEPHARD TRACY M"</f>
        <v>SHEPHARD TRACY M</v>
      </c>
      <c r="C11364" s="1" t="str">
        <f>"GERBERT RD OAK PK 3 LOT 26"</f>
        <v>GERBERT RD OAK PK 3 LOT 26</v>
      </c>
      <c r="D11364" s="1">
        <v>112.71</v>
      </c>
    </row>
    <row r="11365" spans="1:4" x14ac:dyDescent="0.3">
      <c r="A11365" s="1" t="str">
        <f>"16000065200"</f>
        <v>16000065200</v>
      </c>
      <c r="B11365" s="1" t="str">
        <f>"SHEPHERD DAVID H, SHEPHERD HELEN L"</f>
        <v>SHEPHERD DAVID H, SHEPHERD HELEN L</v>
      </c>
      <c r="C11365" s="1" t="str">
        <f>"WHITE RD ENTRY 8231 2.263 AC (0.47AC I-71 R/W"</f>
        <v>WHITE RD ENTRY 8231 2.263 AC (0.47AC I-71 R/W</v>
      </c>
      <c r="D11365" s="1">
        <v>2564.61</v>
      </c>
    </row>
    <row r="11366" spans="1:4" x14ac:dyDescent="0.3">
      <c r="A11366" s="1" t="str">
        <f>"01013296200"</f>
        <v>01013296200</v>
      </c>
      <c r="B11366" s="1" t="str">
        <f>"SHEPHERD LATOYA R"</f>
        <v>SHEPHERD LATOYA R</v>
      </c>
      <c r="C11366" s="1" t="str">
        <f>"BOTSFORD PL WALNUT BLUFF 1 LOT 107"</f>
        <v>BOTSFORD PL WALNUT BLUFF 1 LOT 107</v>
      </c>
      <c r="D11366" s="1">
        <v>153.02000000000001</v>
      </c>
    </row>
    <row r="11367" spans="1:4" x14ac:dyDescent="0.3">
      <c r="A11367" s="1" t="str">
        <f>"27300073300"</f>
        <v>27300073300</v>
      </c>
      <c r="B11367" s="1" t="str">
        <f>"SHEPHERD ROBERT G TR, SHEPHERD KAREN S TR"</f>
        <v>SHEPHERD ROBERT G TR, SHEPHERD KAREN S TR</v>
      </c>
      <c r="C11367" s="1" t="str">
        <f>"8457 INVERGORDON CT MUIRFIELD VILLAGE 1 LOT 117"</f>
        <v>8457 INVERGORDON CT MUIRFIELD VILLAGE 1 LOT 117</v>
      </c>
      <c r="D11367" s="1">
        <v>6719.7</v>
      </c>
    </row>
    <row r="11368" spans="1:4" x14ac:dyDescent="0.3">
      <c r="A11368" s="1" t="str">
        <f>"02500127500"</f>
        <v>02500127500</v>
      </c>
      <c r="B11368" s="1" t="str">
        <f>"SHEPHERD RONALD E, SHEPHERD CAROLE J"</f>
        <v>SHEPHERD RONALD E, SHEPHERD CAROLE J</v>
      </c>
      <c r="C11368" s="1" t="str">
        <f>"155 PRINCE OF WALES DR ROYAL MANOR LOT 93"</f>
        <v>155 PRINCE OF WALES DR ROYAL MANOR LOT 93</v>
      </c>
      <c r="D11368" s="1">
        <v>5626.95</v>
      </c>
    </row>
    <row r="11369" spans="1:4" x14ac:dyDescent="0.3">
      <c r="A11369" s="1" t="str">
        <f>"01015688700"</f>
        <v>01015688700</v>
      </c>
      <c r="B11369" s="1" t="str">
        <f>"SHEPHERD RUBY L"</f>
        <v>SHEPHERD RUBY L</v>
      </c>
      <c r="C11369" s="1" t="str">
        <f>"MOUNTAIN OAK RD CUMBERLAND RIDGE SEC 2 LOT 347"</f>
        <v>MOUNTAIN OAK RD CUMBERLAND RIDGE SEC 2 LOT 347</v>
      </c>
      <c r="D11369" s="1">
        <v>4115.09</v>
      </c>
    </row>
    <row r="11370" spans="1:4" x14ac:dyDescent="0.3">
      <c r="A11370" s="1" t="str">
        <f>"01003146700"</f>
        <v>01003146700</v>
      </c>
      <c r="B11370" s="1" t="str">
        <f>"SHEPPARD BRUCE A, SHEPPARD BETTY J"</f>
        <v>SHEPPARD BRUCE A, SHEPPARD BETTY J</v>
      </c>
      <c r="C11370" s="1" t="str">
        <f>"WARREN AVE WICKLOW LOTS 258-259"</f>
        <v>WARREN AVE WICKLOW LOTS 258-259</v>
      </c>
      <c r="D11370" s="1">
        <v>672.14</v>
      </c>
    </row>
    <row r="11371" spans="1:4" x14ac:dyDescent="0.3">
      <c r="A11371" s="1" t="str">
        <f>"01002652900"</f>
        <v>01002652900</v>
      </c>
      <c r="B11371" s="1" t="str">
        <f>"SHEPPARD DAVID L"</f>
        <v>SHEPPARD DAVID L</v>
      </c>
      <c r="C11371" s="1" t="str">
        <f>"563 COLTON RD .402 ACRE PARCEL 61 SEC 1 LOT 19-20"</f>
        <v>563 COLTON RD .402 ACRE PARCEL 61 SEC 1 LOT 19-20</v>
      </c>
      <c r="D11371" s="1">
        <v>1178.44</v>
      </c>
    </row>
    <row r="11372" spans="1:4" x14ac:dyDescent="0.3">
      <c r="A11372" s="1" t="str">
        <f>"02500054900"</f>
        <v>02500054900</v>
      </c>
      <c r="B11372" s="1" t="str">
        <f>"SHEPPARD WANDA A"</f>
        <v>SHEPPARD WANDA A</v>
      </c>
      <c r="C11372" s="1" t="str">
        <f>"304 FLINT RIDGE DR GRAMERCY PARK ESTATES 142"</f>
        <v>304 FLINT RIDGE DR GRAMERCY PARK ESTATES 142</v>
      </c>
      <c r="D11372" s="1">
        <v>122.96</v>
      </c>
    </row>
    <row r="11373" spans="1:4" x14ac:dyDescent="0.3">
      <c r="A11373" s="1" t="str">
        <f>"01028806000"</f>
        <v>01028806000</v>
      </c>
      <c r="B11373" s="1" t="str">
        <f>"SHERMAN &amp; OAK LLC"</f>
        <v>SHERMAN &amp; OAK LLC</v>
      </c>
      <c r="C11373" s="1" t="str">
        <f>"151 SHERMAN AVE           SHERMAN OAK CONDOMINIUMS  SUITE 101                "</f>
        <v xml:space="preserve">151 SHERMAN AVE           SHERMAN OAK CONDOMINIUMS  SUITE 101                </v>
      </c>
      <c r="D11373" s="1">
        <v>3040.5</v>
      </c>
    </row>
    <row r="11374" spans="1:4" x14ac:dyDescent="0.3">
      <c r="A11374" s="1" t="str">
        <f>"01028806100"</f>
        <v>01028806100</v>
      </c>
      <c r="B11374" s="1" t="str">
        <f>"SHERMAN &amp; OAK LLC"</f>
        <v>SHERMAN &amp; OAK LLC</v>
      </c>
      <c r="C11374" s="1" t="str">
        <f>"151 SHERMAN AVE           SHERMAN OAK CONDOMINIUMS  SUITE 102                "</f>
        <v xml:space="preserve">151 SHERMAN AVE           SHERMAN OAK CONDOMINIUMS  SUITE 102                </v>
      </c>
      <c r="D11374" s="1">
        <v>255.63</v>
      </c>
    </row>
    <row r="11375" spans="1:4" x14ac:dyDescent="0.3">
      <c r="A11375" s="1" t="str">
        <f>"01028805200"</f>
        <v>01028805200</v>
      </c>
      <c r="B11375" s="1" t="str">
        <f>"SHERMAN &amp; OAK LLC"</f>
        <v>SHERMAN &amp; OAK LLC</v>
      </c>
      <c r="C11375" s="1" t="str">
        <f>"143 SHERMAN AVE           SHERMAN OAK CONDOMINIUMS  SUITE 003                "</f>
        <v xml:space="preserve">143 SHERMAN AVE           SHERMAN OAK CONDOMINIUMS  SUITE 003                </v>
      </c>
      <c r="D11375" s="1">
        <v>216.43</v>
      </c>
    </row>
    <row r="11376" spans="1:4" x14ac:dyDescent="0.3">
      <c r="A11376" s="1" t="str">
        <f>"01004400200"</f>
        <v>01004400200</v>
      </c>
      <c r="B11376" s="1" t="str">
        <f>"SHERMAN DEBRA L"</f>
        <v>SHERMAN DEBRA L</v>
      </c>
      <c r="C11376" s="1" t="str">
        <f>"184 N WARREN AVE HILLCREST LOT 156"</f>
        <v>184 N WARREN AVE HILLCREST LOT 156</v>
      </c>
      <c r="D11376" s="1">
        <v>721.87</v>
      </c>
    </row>
    <row r="11377" spans="1:4" x14ac:dyDescent="0.3">
      <c r="A11377" s="1" t="str">
        <f>"01007762700"</f>
        <v>01007762700</v>
      </c>
      <c r="B11377" s="1" t="str">
        <f>"SHERMAN JANET K"</f>
        <v>SHERMAN JANET K</v>
      </c>
      <c r="C11377" s="1" t="str">
        <f>"ERIE RD WEBSTER PARK LOT 41"</f>
        <v>ERIE RD WEBSTER PARK LOT 41</v>
      </c>
      <c r="D11377" s="1">
        <v>7654.92</v>
      </c>
    </row>
    <row r="11378" spans="1:4" x14ac:dyDescent="0.3">
      <c r="A11378" s="1" t="str">
        <f>"01002358100"</f>
        <v>01002358100</v>
      </c>
      <c r="B11378" s="1" t="str">
        <f>"SHERMAN KATHLEEN L"</f>
        <v>SHERMAN KATHLEEN L</v>
      </c>
      <c r="C11378" s="1" t="str">
        <f>"828 N PARK ST             HUTCHINSON 2ND            LOT 51                   "</f>
        <v xml:space="preserve">828 N PARK ST             HUTCHINSON 2ND            LOT 51                   </v>
      </c>
      <c r="D11378" s="1">
        <v>99</v>
      </c>
    </row>
    <row r="11379" spans="1:4" x14ac:dyDescent="0.3">
      <c r="A11379" s="1" t="str">
        <f>"02000446900"</f>
        <v>02000446900</v>
      </c>
      <c r="B11379" s="1" t="str">
        <f>"SHERMAN TERRY K TTEE, SHERMAN KAREN S TTEE"</f>
        <v>SHERMAN TERRY K TTEE, SHERMAN KAREN S TTEE</v>
      </c>
      <c r="C11379" s="1" t="str">
        <f>"175 MERKLE RD ROBERT WEILERS NO 1 PT LOTS 26-27"</f>
        <v>175 MERKLE RD ROBERT WEILERS NO 1 PT LOTS 26-27</v>
      </c>
      <c r="D11379" s="1">
        <v>1268.56</v>
      </c>
    </row>
    <row r="11380" spans="1:4" x14ac:dyDescent="0.3">
      <c r="A11380" s="1" t="str">
        <f>"01015442800"</f>
        <v>01015442800</v>
      </c>
      <c r="B11380" s="1" t="str">
        <f>"SHERRY CHERYL L"</f>
        <v>SHERRY CHERYL L</v>
      </c>
      <c r="C11380" s="1" t="str">
        <f>"ASHTREE PLACE SHARON WOODS SEC 5 LOT 371"</f>
        <v>ASHTREE PLACE SHARON WOODS SEC 5 LOT 371</v>
      </c>
      <c r="D11380" s="1">
        <v>131.12</v>
      </c>
    </row>
    <row r="11381" spans="1:4" x14ac:dyDescent="0.3">
      <c r="A11381" s="1" t="str">
        <f>"01010091800"</f>
        <v>01010091800</v>
      </c>
      <c r="B11381" s="1" t="str">
        <f>"SHESKEY BARBARA L"</f>
        <v>SHESKEY BARBARA L</v>
      </c>
      <c r="C11381" s="1" t="str">
        <f>"DRESDEN ST OAK PK ADDN 11 LOT 51"</f>
        <v>DRESDEN ST OAK PK ADDN 11 LOT 51</v>
      </c>
      <c r="D11381" s="1">
        <v>160.1</v>
      </c>
    </row>
    <row r="11382" spans="1:4" x14ac:dyDescent="0.3">
      <c r="A11382" s="1" t="str">
        <f>"01012333800"</f>
        <v>01012333800</v>
      </c>
      <c r="B11382" s="1" t="str">
        <f>"SHEWAYE ABEBE, SHEWAYE WELETU M"</f>
        <v>SHEWAYE ABEBE, SHEWAYE WELETU M</v>
      </c>
      <c r="C11382" s="1" t="str">
        <f>"SIDWAY AVE PINECREST 4 LOT 665"</f>
        <v>SIDWAY AVE PINECREST 4 LOT 665</v>
      </c>
      <c r="D11382" s="1">
        <v>3490.53</v>
      </c>
    </row>
    <row r="11383" spans="1:4" x14ac:dyDescent="0.3">
      <c r="A11383" s="1" t="str">
        <f>"01008486200"</f>
        <v>01008486200</v>
      </c>
      <c r="B11383" s="1" t="str">
        <f>"SHIBLAQ OMAR ADNAN, SHIBLAQ SALADIN ALEXANDER"</f>
        <v>SHIBLAQ OMAR ADNAN, SHIBLAQ SALADIN ALEXANDER</v>
      </c>
      <c r="C11383" s="1" t="str">
        <f>"BEAUMONT RD L 572 &amp; 4FT W S L 573 HIGHLAND GARDENS 2"</f>
        <v>BEAUMONT RD L 572 &amp; 4FT W S L 573 HIGHLAND GARDENS 2</v>
      </c>
      <c r="D11383" s="1">
        <v>3419.67</v>
      </c>
    </row>
    <row r="11384" spans="1:4" x14ac:dyDescent="0.3">
      <c r="A11384" s="1" t="str">
        <f>"01000183300"</f>
        <v>01000183300</v>
      </c>
      <c r="B11384" s="1" t="str">
        <f>"SHILOH BAPTIST CHURCH"</f>
        <v>SHILOH BAPTIST CHURCH</v>
      </c>
      <c r="C11384" s="1" t="str">
        <f>"755 GROVE ST R NEIL OUT 8 "</f>
        <v xml:space="preserve">755 GROVE ST R NEIL OUT 8 </v>
      </c>
      <c r="D11384" s="1">
        <v>338.21</v>
      </c>
    </row>
    <row r="11385" spans="1:4" x14ac:dyDescent="0.3">
      <c r="A11385" s="1" t="str">
        <f>"01005484400"</f>
        <v>01005484400</v>
      </c>
      <c r="B11385" s="1" t="str">
        <f>"SHILOH BAPTIST CHURCH"</f>
        <v>SHILOH BAPTIST CHURCH</v>
      </c>
      <c r="C11385" s="1" t="str">
        <f>"766-768 EDWARDS ST 17.6 FT FRT RES HILLS"</f>
        <v>766-768 EDWARDS ST 17.6 FT FRT RES HILLS</v>
      </c>
      <c r="D11385" s="1">
        <v>54.18</v>
      </c>
    </row>
    <row r="11386" spans="1:4" x14ac:dyDescent="0.3">
      <c r="A11386" s="1" t="str">
        <f>"01000755300"</f>
        <v>01000755300</v>
      </c>
      <c r="B11386" s="1" t="str">
        <f>"SHILOH BAPTIST CHURCH"</f>
        <v>SHILOH BAPTIST CHURCH</v>
      </c>
      <c r="C11386" s="1" t="str">
        <f>"323 ST CLAIR AVE SHORTS 18.45'SE LOT 4 EX SE COR"</f>
        <v>323 ST CLAIR AVE SHORTS 18.45'SE LOT 4 EX SE COR</v>
      </c>
      <c r="D11386" s="1">
        <v>771.82</v>
      </c>
    </row>
    <row r="11387" spans="1:4" x14ac:dyDescent="0.3">
      <c r="A11387" s="1" t="str">
        <f>"01000348600"</f>
        <v>01000348600</v>
      </c>
      <c r="B11387" s="1" t="str">
        <f>"SHILOH BAPTIST CHURCH OF COLUMBUS OHIO"</f>
        <v>SHILOH BAPTIST CHURCH OF COLUMBUS OHIO</v>
      </c>
      <c r="C11387" s="1" t="str">
        <f>"766 GROVE ST MAGREW&amp;BLOSE SUB 4"</f>
        <v>766 GROVE ST MAGREW&amp;BLOSE SUB 4</v>
      </c>
      <c r="D11387" s="1">
        <v>303.16000000000003</v>
      </c>
    </row>
    <row r="11388" spans="1:4" x14ac:dyDescent="0.3">
      <c r="A11388" s="1" t="str">
        <f>"01003264300"</f>
        <v>01003264300</v>
      </c>
      <c r="B11388" s="1" t="str">
        <f>"SHILOH BAPTIST CHURCH OF COLUMBUS OHIO"</f>
        <v>SHILOH BAPTIST CHURCH OF COLUMBUS OHIO</v>
      </c>
      <c r="C11388" s="1" t="str">
        <f>"753 GROVE ST 22 5-12 FT NW R NEIL OUT 8"</f>
        <v>753 GROVE ST 22 5-12 FT NW R NEIL OUT 8</v>
      </c>
      <c r="D11388" s="1">
        <v>338.21</v>
      </c>
    </row>
    <row r="11389" spans="1:4" x14ac:dyDescent="0.3">
      <c r="A11389" s="1" t="str">
        <f>"56024416500"</f>
        <v>56024416500</v>
      </c>
      <c r="B11389" s="1" t="str">
        <f>"SHIM HELEN, SHIM DAVID"</f>
        <v>SHIM HELEN, SHIM DAVID</v>
      </c>
      <c r="C11389" s="1" t="str">
        <f>"YAGGER BAY DRIVE HILLIARD GREEN SECTION 6 LOT 474"</f>
        <v>YAGGER BAY DRIVE HILLIARD GREEN SECTION 6 LOT 474</v>
      </c>
      <c r="D11389" s="1">
        <v>7814.98</v>
      </c>
    </row>
    <row r="11390" spans="1:4" x14ac:dyDescent="0.3">
      <c r="A11390" s="1" t="str">
        <f>"01008918200"</f>
        <v>01008918200</v>
      </c>
      <c r="B11390" s="1" t="str">
        <f>"SHIN JILL"</f>
        <v>SHIN JILL</v>
      </c>
      <c r="C11390" s="1" t="str">
        <f>"WAVERLY ST LINCOLN PK LOT 160"</f>
        <v>WAVERLY ST LINCOLN PK LOT 160</v>
      </c>
      <c r="D11390" s="1">
        <v>2172.16</v>
      </c>
    </row>
    <row r="11391" spans="1:4" x14ac:dyDescent="0.3">
      <c r="A11391" s="1" t="str">
        <f>"27300757700"</f>
        <v>27300757700</v>
      </c>
      <c r="B11391" s="1" t="str">
        <f>"SHINABERRY MICHELLE L"</f>
        <v>SHINABERRY MICHELLE L</v>
      </c>
      <c r="C11391" s="1" t="str">
        <f>"THE VILLAGE AT HEATHERSTONE CONDO 5TH AMD UNIT 6645"</f>
        <v>THE VILLAGE AT HEATHERSTONE CONDO 5TH AMD UNIT 6645</v>
      </c>
      <c r="D11391" s="1">
        <v>320.05</v>
      </c>
    </row>
    <row r="11392" spans="1:4" x14ac:dyDescent="0.3">
      <c r="A11392" s="1" t="str">
        <f>"01007960900"</f>
        <v>01007960900</v>
      </c>
      <c r="B11392" s="1" t="str">
        <f>"SHINE CLAUDIA V"</f>
        <v>SHINE CLAUDIA V</v>
      </c>
      <c r="C11392" s="1" t="str">
        <f>"24TH AVE INNIS ORCHARD LOT 11"</f>
        <v>24TH AVE INNIS ORCHARD LOT 11</v>
      </c>
      <c r="D11392" s="1">
        <v>98.98</v>
      </c>
    </row>
    <row r="11393" spans="1:4" x14ac:dyDescent="0.3">
      <c r="A11393" s="1" t="str">
        <f>"60022329400"</f>
        <v>60022329400</v>
      </c>
      <c r="B11393" s="1" t="str">
        <f>"SHINN LINDA S"</f>
        <v>SHINN LINDA S</v>
      </c>
      <c r="C11393" s="1" t="str">
        <f>"0000 NIGHTSHADOW DR TREMONT PLACE LOT 34"</f>
        <v>0000 NIGHTSHADOW DR TREMONT PLACE LOT 34</v>
      </c>
      <c r="D11393" s="1">
        <v>187.62</v>
      </c>
    </row>
    <row r="11394" spans="1:4" x14ac:dyDescent="0.3">
      <c r="A11394" s="1" t="str">
        <f>"10000573600"</f>
        <v>10000573600</v>
      </c>
      <c r="B11394" s="1" t="str">
        <f>"SHIRILLA ROBERT B, SHIRILLA JOANN"</f>
        <v>SHIRILLA ROBERT B, SHIRILLA JOANN</v>
      </c>
      <c r="C11394" s="1" t="str">
        <f>"247 ST ANTOINE PART 12 UN 11B-B VILLE CHARMANTE COND"</f>
        <v>247 ST ANTOINE PART 12 UN 11B-B VILLE CHARMANTE COND</v>
      </c>
      <c r="D11394" s="1">
        <v>3147.27</v>
      </c>
    </row>
    <row r="11395" spans="1:4" x14ac:dyDescent="0.3">
      <c r="A11395" s="1" t="str">
        <f>"59018585400"</f>
        <v>59018585400</v>
      </c>
      <c r="B11395" s="1" t="str">
        <f>"SHIVAKUMAR SRIKANTH"</f>
        <v>SHIVAKUMAR SRIKANTH</v>
      </c>
      <c r="C11395" s="1" t="str">
        <f>"3003 TALBROCK CIRCLE RIVERSIDE GREEN S 5 LOT 340"</f>
        <v>3003 TALBROCK CIRCLE RIVERSIDE GREEN S 5 LOT 340</v>
      </c>
      <c r="D11395" s="1">
        <v>2159.44</v>
      </c>
    </row>
    <row r="11396" spans="1:4" x14ac:dyDescent="0.3">
      <c r="A11396" s="1" t="str">
        <f>"05000294600"</f>
        <v>05000294600</v>
      </c>
      <c r="B11396" s="1" t="str">
        <f>"SHIVAKUMAR SRIKANTH, KOTHANDAPANI VANITHA"</f>
        <v>SHIVAKUMAR SRIKANTH, KOTHANDAPANI VANITHA</v>
      </c>
      <c r="C11396" s="1" t="str">
        <f>"ROME HILLIARD ROAD RICHLANNE ACRES LOT 2"</f>
        <v>ROME HILLIARD ROAD RICHLANNE ACRES LOT 2</v>
      </c>
      <c r="D11396" s="1">
        <v>2722.36</v>
      </c>
    </row>
    <row r="11397" spans="1:4" x14ac:dyDescent="0.3">
      <c r="A11397" s="1" t="str">
        <f>"24000079600"</f>
        <v>24000079600</v>
      </c>
      <c r="B11397" s="1" t="str">
        <f>"SHIVAKUMAR SRIKANTH, KOTHANDAPANI VANITHA"</f>
        <v>SHIVAKUMAR SRIKANTH, KOTHANDAPANI VANITHA</v>
      </c>
      <c r="C11397" s="1" t="str">
        <f>"W BROAD ST CRELLINS WOODLAWN LOT 1 EX NW COR"</f>
        <v>W BROAD ST CRELLINS WOODLAWN LOT 1 EX NW COR</v>
      </c>
      <c r="D11397" s="1">
        <v>5874.12</v>
      </c>
    </row>
    <row r="11398" spans="1:4" x14ac:dyDescent="0.3">
      <c r="A11398" s="1" t="str">
        <f>"24000079700"</f>
        <v>24000079700</v>
      </c>
      <c r="B11398" s="1" t="str">
        <f>"SHIVAKUMAR SRIKANTH, KOTHANDAPANI VANITHA"</f>
        <v>SHIVAKUMAR SRIKANTH, KOTHANDAPANI VANITHA</v>
      </c>
      <c r="C11398" s="1" t="str">
        <f>"W BROAD ST CRELLINS WOODLAWN LOT 2"</f>
        <v>W BROAD ST CRELLINS WOODLAWN LOT 2</v>
      </c>
      <c r="D11398" s="1">
        <v>1128.83</v>
      </c>
    </row>
    <row r="11399" spans="1:4" x14ac:dyDescent="0.3">
      <c r="A11399" s="1" t="str">
        <f>"12000097800"</f>
        <v>12000097800</v>
      </c>
      <c r="B11399" s="1" t="str">
        <f>"SHIVAKUMAR SRIKANTH, KOTHANDPANI VANITHA"</f>
        <v>SHIVAKUMAR SRIKANTH, KOTHANDPANI VANITHA</v>
      </c>
      <c r="C11399" s="1" t="str">
        <f>"7797 ROBERTS RD OQ 967 ENTRY 6637 27.258 ACRES"</f>
        <v>7797 ROBERTS RD OQ 967 ENTRY 6637 27.258 ACRES</v>
      </c>
      <c r="D11399" s="1">
        <v>988.99</v>
      </c>
    </row>
    <row r="11400" spans="1:4" x14ac:dyDescent="0.3">
      <c r="A11400" s="1" t="str">
        <f>"55028342700"</f>
        <v>55028342700</v>
      </c>
      <c r="B11400" s="1" t="str">
        <f>"SHIVENER BARBARA J, SHIVENER NORMAN EUGENE"</f>
        <v>SHIVENER BARBARA J, SHIVENER NORMAN EUGENE</v>
      </c>
      <c r="C11400" s="1" t="str">
        <f>"GRAND RESERVE AT REYNOLDS CROSSING CONDOMINIUM      UNIT 10                  "</f>
        <v xml:space="preserve">GRAND RESERVE AT REYNOLDS CROSSING CONDOMINIUM      UNIT 10                  </v>
      </c>
      <c r="D11400" s="1">
        <v>2063.14</v>
      </c>
    </row>
    <row r="11401" spans="1:4" x14ac:dyDescent="0.3">
      <c r="A11401" s="1" t="str">
        <f>"01001404600"</f>
        <v>01001404600</v>
      </c>
      <c r="B11401" s="1" t="str">
        <f>"SHIVERS JAMES C II"</f>
        <v>SHIVERS JAMES C II</v>
      </c>
      <c r="C11401" s="1" t="str">
        <f>"767-69 SEYMOUR AVE SEYMOUR LOT 22"</f>
        <v>767-69 SEYMOUR AVE SEYMOUR LOT 22</v>
      </c>
      <c r="D11401" s="1">
        <v>3906.74</v>
      </c>
    </row>
    <row r="11402" spans="1:4" x14ac:dyDescent="0.3">
      <c r="A11402" s="1" t="str">
        <f>"01001404500"</f>
        <v>01001404500</v>
      </c>
      <c r="B11402" s="1" t="str">
        <f>"SHIVERS JAMES C II"</f>
        <v>SHIVERS JAMES C II</v>
      </c>
      <c r="C11402" s="1" t="str">
        <f>"771-73 SEYMOUR AVE SEYMORE LOT 21"</f>
        <v>771-73 SEYMOUR AVE SEYMORE LOT 21</v>
      </c>
      <c r="D11402" s="1">
        <v>2873.68</v>
      </c>
    </row>
    <row r="11403" spans="1:4" x14ac:dyDescent="0.3">
      <c r="A11403" s="1" t="str">
        <f>"57025198200"</f>
        <v>57025198200</v>
      </c>
      <c r="B11403" s="1" t="str">
        <f>"SHOCK FRANCIS, MOREHART RENEE A"</f>
        <v>SHOCK FRANCIS, MOREHART RENEE A</v>
      </c>
      <c r="C11403" s="1" t="str">
        <f>"ALKIRE PARK CONDOMINIUM 10TH AMD UNIT 67E"</f>
        <v>ALKIRE PARK CONDOMINIUM 10TH AMD UNIT 67E</v>
      </c>
      <c r="D11403" s="1">
        <v>1098.31</v>
      </c>
    </row>
    <row r="11404" spans="1:4" x14ac:dyDescent="0.3">
      <c r="A11404" s="1" t="str">
        <f>"21300252800"</f>
        <v>21300252800</v>
      </c>
      <c r="B11404" s="1" t="str">
        <f>"SHOCK RICHARD L, SHOCK ANNE N"</f>
        <v>SHOCK RICHARD L, SHOCK ANNE N</v>
      </c>
      <c r="C11404" s="1" t="str">
        <f>"KEATS COURT RESUB WRTHGTN HLLS N LOT 142"</f>
        <v>KEATS COURT RESUB WRTHGTN HLLS N LOT 142</v>
      </c>
      <c r="D11404" s="1">
        <v>13000.75</v>
      </c>
    </row>
    <row r="11405" spans="1:4" x14ac:dyDescent="0.3">
      <c r="A11405" s="1" t="str">
        <f>"01015058300"</f>
        <v>01015058300</v>
      </c>
      <c r="B11405" s="1" t="str">
        <f>"SHOCKEY MARY A"</f>
        <v>SHOCKEY MARY A</v>
      </c>
      <c r="C11405" s="1" t="str">
        <f>"MAPLEWOOD DR FOREST PARK E SEC 8 LOT 679"</f>
        <v>MAPLEWOOD DR FOREST PARK E SEC 8 LOT 679</v>
      </c>
      <c r="D11405" s="1">
        <v>151.04</v>
      </c>
    </row>
    <row r="11406" spans="1:4" x14ac:dyDescent="0.3">
      <c r="A11406" s="1" t="str">
        <f>"51014603300"</f>
        <v>51014603300</v>
      </c>
      <c r="B11406" s="1" t="str">
        <f>"SHOCKEY WILLIAM"</f>
        <v>SHOCKEY WILLIAM</v>
      </c>
      <c r="C11406" s="1" t="str">
        <f>"880 HIGBEE DR N SOUTHERN PINES SEC 8 LOT 552"</f>
        <v>880 HIGBEE DR N SOUTHERN PINES SEC 8 LOT 552</v>
      </c>
      <c r="D11406" s="1">
        <v>1074.52</v>
      </c>
    </row>
    <row r="11407" spans="1:4" x14ac:dyDescent="0.3">
      <c r="A11407" s="1" t="str">
        <f>"01017863900"</f>
        <v>01017863900</v>
      </c>
      <c r="B11407" s="1" t="str">
        <f>"SHOCKLEY BRETT A"</f>
        <v>SHOCKLEY BRETT A</v>
      </c>
      <c r="C11407" s="1" t="str">
        <f>"WILLOWAY VILLAS CONDOMINIUM 1ST AMD UNIT 2002"</f>
        <v>WILLOWAY VILLAS CONDOMINIUM 1ST AMD UNIT 2002</v>
      </c>
      <c r="D11407" s="1">
        <v>649.21</v>
      </c>
    </row>
    <row r="11408" spans="1:4" x14ac:dyDescent="0.3">
      <c r="A11408" s="1" t="str">
        <f>"22200131100"</f>
        <v>22200131100</v>
      </c>
      <c r="B11408" s="1" t="str">
        <f>"SHOGER SUZANNE G, SHOGER TIMOTHY R"</f>
        <v>SHOGER SUZANNE G, SHOGER TIMOTHY R</v>
      </c>
      <c r="C11408" s="1" t="str">
        <f>"7533 KING GEORGE DR NEW ALBANY COUNTRY CLUB SEC 8 LOT 28"</f>
        <v>7533 KING GEORGE DR NEW ALBANY COUNTRY CLUB SEC 8 LOT 28</v>
      </c>
      <c r="D11408" s="1">
        <v>6395.77</v>
      </c>
    </row>
    <row r="11409" spans="1:4" x14ac:dyDescent="0.3">
      <c r="A11409" s="1" t="str">
        <f>"61019063900"</f>
        <v>61019063900</v>
      </c>
      <c r="B11409" s="1" t="str">
        <f>"SHOMBER MICHAEL A, SHOMBER TERRY L"</f>
        <v>SHOMBER MICHAEL A, SHOMBER TERRY L</v>
      </c>
      <c r="C11409" s="1" t="str">
        <f>"GORDON CIR RESUB PT SMOKY ROW MANOR NORTH LOT 13B"</f>
        <v>GORDON CIR RESUB PT SMOKY ROW MANOR NORTH LOT 13B</v>
      </c>
      <c r="D11409" s="1">
        <v>212.43</v>
      </c>
    </row>
    <row r="11410" spans="1:4" x14ac:dyDescent="0.3">
      <c r="A11410" s="1" t="str">
        <f>"01006965500"</f>
        <v>01006965500</v>
      </c>
      <c r="B11410" s="1" t="str">
        <f>"SHOOK ELIZABETH ANNE"</f>
        <v>SHOOK ELIZABETH ANNE</v>
      </c>
      <c r="C11410" s="1" t="str">
        <f>"2796 JOYCEAVE50X 187.7FT LOT 18-1-1-2"</f>
        <v>2796 JOYCEAVE50X 187.7FT LOT 18-1-1-2</v>
      </c>
      <c r="D11410" s="1">
        <v>1030.51</v>
      </c>
    </row>
    <row r="11411" spans="1:4" x14ac:dyDescent="0.3">
      <c r="A11411" s="1" t="str">
        <f>"01003974900"</f>
        <v>01003974900</v>
      </c>
      <c r="B11411" s="1" t="str">
        <f>"SHOOK JOSEPH"</f>
        <v>SHOOK JOSEPH</v>
      </c>
      <c r="C11411" s="1" t="str">
        <f>"137-139 S BURGESS AV LANDSCAPE LOT 341"</f>
        <v>137-139 S BURGESS AV LANDSCAPE LOT 341</v>
      </c>
      <c r="D11411" s="1">
        <v>1652.32</v>
      </c>
    </row>
    <row r="11412" spans="1:4" x14ac:dyDescent="0.3">
      <c r="A11412" s="1" t="str">
        <f>"01004531000"</f>
        <v>01004531000</v>
      </c>
      <c r="B11412" s="1" t="str">
        <f>"SHOOK L JOSEPH"</f>
        <v>SHOOK L JOSEPH</v>
      </c>
      <c r="C11412" s="1" t="str">
        <f>"2680 SULLIVANT AVE WICKLOW LOT 136"</f>
        <v>2680 SULLIVANT AVE WICKLOW LOT 136</v>
      </c>
      <c r="D11412" s="1">
        <v>1955.48</v>
      </c>
    </row>
    <row r="11413" spans="1:4" x14ac:dyDescent="0.3">
      <c r="A11413" s="1" t="str">
        <f>"01001817900"</f>
        <v>01001817900</v>
      </c>
      <c r="B11413" s="1" t="str">
        <f>"SHOOK LEONARD J"</f>
        <v>SHOOK LEONARD J</v>
      </c>
      <c r="C11413" s="1" t="str">
        <f>"503 S OGDEN AVE WICKLOW LOT 138"</f>
        <v>503 S OGDEN AVE WICKLOW LOT 138</v>
      </c>
      <c r="D11413" s="1">
        <v>2138.62</v>
      </c>
    </row>
    <row r="11414" spans="1:4" x14ac:dyDescent="0.3">
      <c r="A11414" s="1" t="str">
        <f>"01000434900"</f>
        <v>01000434900</v>
      </c>
      <c r="B11414" s="1" t="str">
        <f>"SHOOK LEONARD J"</f>
        <v>SHOOK LEONARD J</v>
      </c>
      <c r="C11414" s="1" t="str">
        <f>"496 OGDEN AVE WICKLOW LOT 128"</f>
        <v>496 OGDEN AVE WICKLOW LOT 128</v>
      </c>
      <c r="D11414" s="1">
        <v>267.58999999999997</v>
      </c>
    </row>
    <row r="11415" spans="1:4" x14ac:dyDescent="0.3">
      <c r="A11415" s="1" t="str">
        <f>"01000340700"</f>
        <v>01000340700</v>
      </c>
      <c r="B11415" s="1" t="str">
        <f>"SHOOK LEONARD J"</f>
        <v>SHOOK LEONARD J</v>
      </c>
      <c r="C11415" s="1" t="str">
        <f>"506 S WARREN AVE WICKLOW LOT 365"</f>
        <v>506 S WARREN AVE WICKLOW LOT 365</v>
      </c>
      <c r="D11415" s="1">
        <v>1864.17</v>
      </c>
    </row>
    <row r="11416" spans="1:4" x14ac:dyDescent="0.3">
      <c r="A11416" s="1" t="str">
        <f>"10000019200"</f>
        <v>10000019200</v>
      </c>
      <c r="B11416" s="1" t="str">
        <f>"SHORT &amp; NORTH LLC"</f>
        <v>SHORT &amp; NORTH LLC</v>
      </c>
      <c r="C11416" s="1" t="str">
        <f>"579 HIGH ST PT LOT 141 CITY OF WORTHINGTON"</f>
        <v>579 HIGH ST PT LOT 141 CITY OF WORTHINGTON</v>
      </c>
      <c r="D11416" s="1">
        <v>10619.51</v>
      </c>
    </row>
    <row r="11417" spans="1:4" x14ac:dyDescent="0.3">
      <c r="A11417" s="1" t="str">
        <f>"01006006100"</f>
        <v>01006006100</v>
      </c>
      <c r="B11417" s="1" t="str">
        <f>"SHORT ARIYANNA"</f>
        <v>SHORT ARIYANNA</v>
      </c>
      <c r="C11417" s="1" t="str">
        <f>"1550 BRIARWOOD WALDON LOT 240"</f>
        <v>1550 BRIARWOOD WALDON LOT 240</v>
      </c>
      <c r="D11417" s="1">
        <v>1345.3</v>
      </c>
    </row>
    <row r="11418" spans="1:4" x14ac:dyDescent="0.3">
      <c r="A11418" s="1" t="str">
        <f>"01016694800"</f>
        <v>01016694800</v>
      </c>
      <c r="B11418" s="1" t="str">
        <f>"SHORT ARIYANNA"</f>
        <v>SHORT ARIYANNA</v>
      </c>
      <c r="C11418" s="1" t="str">
        <f>"2177 MIDDLEHURST DR AMVET HOMESTEAD 2 LOT 34 BLK N"</f>
        <v>2177 MIDDLEHURST DR AMVET HOMESTEAD 2 LOT 34 BLK N</v>
      </c>
      <c r="D11418" s="1">
        <v>1034</v>
      </c>
    </row>
    <row r="11419" spans="1:4" x14ac:dyDescent="0.3">
      <c r="A11419" s="1" t="str">
        <f>"60017692200"</f>
        <v>60017692200</v>
      </c>
      <c r="B11419" s="1" t="str">
        <f>"SHORT MICHAEL J, SHORT VIRGINIA D"</f>
        <v>SHORT MICHAEL J, SHORT VIRGINIA D</v>
      </c>
      <c r="C11419" s="1" t="str">
        <f>"MAGNOLIA BLOSSOM STRAWBERRY FARMS 4 LOT 289"</f>
        <v>MAGNOLIA BLOSSOM STRAWBERRY FARMS 4 LOT 289</v>
      </c>
      <c r="D11419" s="1">
        <v>5601.04</v>
      </c>
    </row>
    <row r="11420" spans="1:4" x14ac:dyDescent="0.3">
      <c r="A11420" s="1" t="str">
        <f>"01000769900"</f>
        <v>01000769900</v>
      </c>
      <c r="B11420" s="1" t="str">
        <f>"SHORT NORTH DEVELOPMENT HOLDINGS LTD"</f>
        <v>SHORT NORTH DEVELOPMENT HOLDINGS LTD</v>
      </c>
      <c r="C11420" s="1" t="str">
        <f>"28 S WILSON AVE IDE PLACE LOT 8"</f>
        <v>28 S WILSON AVE IDE PLACE LOT 8</v>
      </c>
      <c r="D11420" s="1">
        <v>3472.04</v>
      </c>
    </row>
    <row r="11421" spans="1:4" x14ac:dyDescent="0.3">
      <c r="A11421" s="1" t="str">
        <f>"01030273800"</f>
        <v>01030273800</v>
      </c>
      <c r="B11421" s="1" t="str">
        <f>"SHORT NORTH VENTURES LLC"</f>
        <v>SHORT NORTH VENTURES LLC</v>
      </c>
      <c r="C11421" s="1" t="str">
        <f>"1140 FOREST CONDOMINIUMV UNIT 1142 "</f>
        <v xml:space="preserve">1140 FOREST CONDOMINIUMV UNIT 1142 </v>
      </c>
      <c r="D11421" s="1">
        <v>89.35</v>
      </c>
    </row>
    <row r="11422" spans="1:4" x14ac:dyDescent="0.3">
      <c r="A11422" s="1" t="str">
        <f>"01006575500"</f>
        <v>01006575500</v>
      </c>
      <c r="B11422" s="1" t="str">
        <f>"SHOVER PRISCILLA A"</f>
        <v>SHOVER PRISCILLA A</v>
      </c>
      <c r="C11422" s="1" t="str">
        <f>"WALSH AVE FOREST HILL LOT 38"</f>
        <v>WALSH AVE FOREST HILL LOT 38</v>
      </c>
      <c r="D11422" s="1">
        <v>89.3</v>
      </c>
    </row>
    <row r="11423" spans="1:4" x14ac:dyDescent="0.3">
      <c r="A11423" s="1" t="str">
        <f>"61018048900"</f>
        <v>61018048900</v>
      </c>
      <c r="B11423" s="1" t="str">
        <f>"SHOWALTER WESLEY, SHOWALTER POONAM J"</f>
        <v>SHOWALTER WESLEY, SHOWALTER POONAM J</v>
      </c>
      <c r="C11423" s="1" t="str">
        <f>"WOODCREEK PL WORTHINGWOODS LOT 45"</f>
        <v>WOODCREEK PL WORTHINGWOODS LOT 45</v>
      </c>
      <c r="D11423" s="1">
        <v>4840.1099999999997</v>
      </c>
    </row>
    <row r="11424" spans="1:4" x14ac:dyDescent="0.3">
      <c r="A11424" s="1" t="str">
        <f>"01013664800"</f>
        <v>01013664800</v>
      </c>
      <c r="B11424" s="1" t="str">
        <f>"SHOWS DEBORAH"</f>
        <v>SHOWS DEBORAH</v>
      </c>
      <c r="C11424" s="1" t="str">
        <f>"DYSART AVE ARGYLE PARK LOT 32"</f>
        <v>DYSART AVE ARGYLE PARK LOT 32</v>
      </c>
      <c r="D11424" s="1">
        <v>172.9</v>
      </c>
    </row>
    <row r="11425" spans="1:4" x14ac:dyDescent="0.3">
      <c r="A11425" s="1" t="str">
        <f>"01011405400"</f>
        <v>01011405400</v>
      </c>
      <c r="B11425" s="1" t="str">
        <f>"SHRADER JUDITH L, SHRADER BRANDY L"</f>
        <v>SHRADER JUDITH L, SHRADER BRANDY L</v>
      </c>
      <c r="C11425" s="1" t="str">
        <f>"WILSON AVE BENTLEYS LOT 11"</f>
        <v>WILSON AVE BENTLEYS LOT 11</v>
      </c>
      <c r="D11425" s="1">
        <v>122.52</v>
      </c>
    </row>
    <row r="11426" spans="1:4" x14ac:dyDescent="0.3">
      <c r="A11426" s="1" t="str">
        <f>"09000065900"</f>
        <v>09000065900</v>
      </c>
      <c r="B11426" s="1" t="str">
        <f>"SHREWSBURY JAMES W, SHREWSBURY MARIE S"</f>
        <v>SHREWSBURY JAMES W, SHREWSBURY MARIE S</v>
      </c>
      <c r="C11426" s="1" t="str">
        <f>"ROBINWOOD AVE ACRES .2426 R21 T12 S17 1/2S28"</f>
        <v>ROBINWOOD AVE ACRES .2426 R21 T12 S17 1/2S28</v>
      </c>
      <c r="D11426" s="1">
        <v>119.89</v>
      </c>
    </row>
    <row r="11427" spans="1:4" x14ac:dyDescent="0.3">
      <c r="A11427" s="1" t="str">
        <f>"07000658100"</f>
        <v>07000658100</v>
      </c>
      <c r="B11427" s="1" t="str">
        <f>"SHREWSBURY ROAD LLC"</f>
        <v>SHREWSBURY ROAD LLC</v>
      </c>
      <c r="C11427" s="1" t="str">
        <f>"SHREWSBURY RD RIVER RIDGE 16 BLK 22"</f>
        <v>SHREWSBURY RD RIVER RIDGE 16 BLK 22</v>
      </c>
      <c r="D11427" s="1">
        <v>181.48</v>
      </c>
    </row>
    <row r="11428" spans="1:4" x14ac:dyDescent="0.3">
      <c r="A11428" s="1" t="str">
        <f>"01003596400"</f>
        <v>01003596400</v>
      </c>
      <c r="B11428" s="1" t="str">
        <f>"SHRI SAI LLC"</f>
        <v>SHRI SAI LLC</v>
      </c>
      <c r="C11428" s="1" t="str">
        <f>"934 LOCKBOURNE MILLER AVE LOT 40"</f>
        <v>934 LOCKBOURNE MILLER AVE LOT 40</v>
      </c>
      <c r="D11428" s="1">
        <v>7006.74</v>
      </c>
    </row>
    <row r="11429" spans="1:4" x14ac:dyDescent="0.3">
      <c r="A11429" s="1" t="str">
        <f>"60019673500"</f>
        <v>60019673500</v>
      </c>
      <c r="B11429" s="1" t="str">
        <f>"SHRIGLEY JOHN P"</f>
        <v>SHRIGLEY JOHN P</v>
      </c>
      <c r="C11429" s="1" t="str">
        <f>"CHERRYBLOSSOM WY RESUB CHERRYBOTTOM VIL SEC 6 LOT 359"</f>
        <v>CHERRYBLOSSOM WY RESUB CHERRYBOTTOM VIL SEC 6 LOT 359</v>
      </c>
      <c r="D11429" s="1">
        <v>2530.92</v>
      </c>
    </row>
    <row r="11430" spans="1:4" x14ac:dyDescent="0.3">
      <c r="A11430" s="1" t="str">
        <f>"08000612100"</f>
        <v>08000612100</v>
      </c>
      <c r="B11430" s="1" t="str">
        <f>"SHRIGLEY TERESA L, WILSON TIMOTHY L"</f>
        <v>SHRIGLEY TERESA L, WILSON TIMOTHY L</v>
      </c>
      <c r="C11430" s="1" t="str">
        <f>"SPRING GROVE EXT S1 PRINCE WILLIAM LANE LOT 198"</f>
        <v>SPRING GROVE EXT S1 PRINCE WILLIAM LANE LOT 198</v>
      </c>
      <c r="D11430" s="1">
        <v>7278.3</v>
      </c>
    </row>
    <row r="11431" spans="1:4" x14ac:dyDescent="0.3">
      <c r="A11431" s="1" t="str">
        <f>"01027643600"</f>
        <v>01027643600</v>
      </c>
      <c r="B11431" s="1" t="str">
        <f>"SHROYER TYLER BROWN"</f>
        <v>SHROYER TYLER BROWN</v>
      </c>
      <c r="C11431" s="1" t="str">
        <f>"MONA LISA                 CONDOMINIUM               UNIT 748                 "</f>
        <v xml:space="preserve">MONA LISA                 CONDOMINIUM               UNIT 748                 </v>
      </c>
      <c r="D11431" s="1">
        <v>3611.53</v>
      </c>
    </row>
    <row r="11432" spans="1:4" x14ac:dyDescent="0.3">
      <c r="A11432" s="1" t="str">
        <f>"61017407800"</f>
        <v>61017407800</v>
      </c>
      <c r="B11432" s="1" t="str">
        <f>"SHUFELDT MATTHEW D, SHUFELDT MOLLY M"</f>
        <v>SHUFELDT MATTHEW D, SHUFELDT MOLLY M</v>
      </c>
      <c r="C11432" s="1" t="str">
        <f>"WOODMAN DR OLENTANGY HIGHLANDS SEC 5 PH 1   LOT 285"</f>
        <v>WOODMAN DR OLENTANGY HIGHLANDS SEC 5 PH 1   LOT 285</v>
      </c>
      <c r="D11432" s="1">
        <v>538.86</v>
      </c>
    </row>
    <row r="11433" spans="1:4" x14ac:dyDescent="0.3">
      <c r="A11433" s="1" t="str">
        <f>"05000725700"</f>
        <v>05000725700</v>
      </c>
      <c r="B11433" s="1" t="str">
        <f>"SHUKLA RITA V"</f>
        <v>SHUKLA RITA V</v>
      </c>
      <c r="C11433" s="1" t="str">
        <f>"MARK TWAIN DRIVE RIVER PARK PART 2 LOT 64"</f>
        <v>MARK TWAIN DRIVE RIVER PARK PART 2 LOT 64</v>
      </c>
      <c r="D11433" s="1">
        <v>511.75</v>
      </c>
    </row>
    <row r="11434" spans="1:4" x14ac:dyDescent="0.3">
      <c r="A11434" s="1" t="str">
        <f>"01011566900"</f>
        <v>01011566900</v>
      </c>
      <c r="B11434" s="1" t="str">
        <f>"SHULER PAUL"</f>
        <v>SHULER PAUL</v>
      </c>
      <c r="C11434" s="1" t="str">
        <f>"HILOCK AVE 57-58-67-68 URP "</f>
        <v xml:space="preserve">HILOCK AVE 57-58-67-68 URP </v>
      </c>
      <c r="D11434" s="1">
        <v>209.73</v>
      </c>
    </row>
    <row r="11435" spans="1:4" x14ac:dyDescent="0.3">
      <c r="A11435" s="1" t="str">
        <f>"01023589700"</f>
        <v>01023589700</v>
      </c>
      <c r="B11435" s="1" t="str">
        <f>"SHULER PAUL J"</f>
        <v>SHULER PAUL J</v>
      </c>
      <c r="C11435" s="1" t="str">
        <f>"CHATTERLY LANE ANDOVER SECTION 2 LOT 111"</f>
        <v>CHATTERLY LANE ANDOVER SECTION 2 LOT 111</v>
      </c>
      <c r="D11435" s="1">
        <v>278.3</v>
      </c>
    </row>
    <row r="11436" spans="1:4" x14ac:dyDescent="0.3">
      <c r="A11436" s="1" t="str">
        <f>"01004685300"</f>
        <v>01004685300</v>
      </c>
      <c r="B11436" s="1" t="str">
        <f>"SHULL JUNE A"</f>
        <v>SHULL JUNE A</v>
      </c>
      <c r="C11436" s="1" t="str">
        <f>"DUPONT AVE HINMAN &amp; BEATTY LOT 26"</f>
        <v>DUPONT AVE HINMAN &amp; BEATTY LOT 26</v>
      </c>
      <c r="D11436" s="1">
        <v>206.54</v>
      </c>
    </row>
    <row r="11437" spans="1:4" x14ac:dyDescent="0.3">
      <c r="A11437" s="1" t="str">
        <f>"60022938100"</f>
        <v>60022938100</v>
      </c>
      <c r="B11437" s="1" t="str">
        <f>"SHUMAKER DALE E"</f>
        <v>SHUMAKER DALE E</v>
      </c>
      <c r="C11437" s="1" t="str">
        <f>"WESTERVILLE WOODS SECTION 2 PART 2 LOT 150"</f>
        <v>WESTERVILLE WOODS SECTION 2 PART 2 LOT 150</v>
      </c>
      <c r="D11437" s="1">
        <v>196.1</v>
      </c>
    </row>
    <row r="11438" spans="1:4" x14ac:dyDescent="0.3">
      <c r="A11438" s="1" t="str">
        <f>"01008270400"</f>
        <v>01008270400</v>
      </c>
      <c r="B11438" s="1" t="str">
        <f>"SHUMAKER JANET L"</f>
        <v>SHUMAKER JANET L</v>
      </c>
      <c r="C11438" s="1" t="str">
        <f>"1349 NORTHRIDGE RD EDGEMONT GARDENS LOT 62"</f>
        <v>1349 NORTHRIDGE RD EDGEMONT GARDENS LOT 62</v>
      </c>
      <c r="D11438" s="1">
        <v>99.79</v>
      </c>
    </row>
    <row r="11439" spans="1:4" x14ac:dyDescent="0.3">
      <c r="A11439" s="1" t="str">
        <f>"08000349300"</f>
        <v>08000349300</v>
      </c>
      <c r="B11439" s="1" t="str">
        <f>"SHUMAKER LESTER L"</f>
        <v>SHUMAKER LESTER L</v>
      </c>
      <c r="C11439" s="1" t="str">
        <f>"BERKELEY PL N ANNEHURST VILLAGE 3 LOT 126"</f>
        <v>BERKELEY PL N ANNEHURST VILLAGE 3 LOT 126</v>
      </c>
      <c r="D11439" s="1">
        <v>256.62</v>
      </c>
    </row>
    <row r="11440" spans="1:4" x14ac:dyDescent="0.3">
      <c r="A11440" s="1" t="str">
        <f>"01013070500"</f>
        <v>01013070500</v>
      </c>
      <c r="B11440" s="1" t="str">
        <f>"SHUMWAY JASON"</f>
        <v>SHUMWAY JASON</v>
      </c>
      <c r="C11440" s="1" t="str">
        <f>"KENDALE RD N KENDALE SEC 1 LOT 3"</f>
        <v>KENDALE RD N KENDALE SEC 1 LOT 3</v>
      </c>
      <c r="D11440" s="1">
        <v>5699.78</v>
      </c>
    </row>
    <row r="11441" spans="1:4" x14ac:dyDescent="0.3">
      <c r="A11441" s="1" t="str">
        <f>"04000369800"</f>
        <v>04000369800</v>
      </c>
      <c r="B11441" s="1" t="str">
        <f>"SHUNKWILER RONALD W, SHUNKWILER CHARLOTTE A"</f>
        <v>SHUNKWILER RONALD W, SHUNKWILER CHARLOTTE A</v>
      </c>
      <c r="C11441" s="1" t="str">
        <f>"2598 BRINKMAN DR MONTEREY PK 3 LOT 204"</f>
        <v>2598 BRINKMAN DR MONTEREY PK 3 LOT 204</v>
      </c>
      <c r="D11441" s="1">
        <v>204.82</v>
      </c>
    </row>
    <row r="11442" spans="1:4" x14ac:dyDescent="0.3">
      <c r="A11442" s="1" t="str">
        <f>"61027092800"</f>
        <v>61027092800</v>
      </c>
      <c r="B11442" s="1" t="str">
        <f>"SHYANG TSAI ALEX, TSAI YUNSHENG KRISTINE"</f>
        <v>SHYANG TSAI ALEX, TSAI YUNSHENG KRISTINE</v>
      </c>
      <c r="C11442" s="1" t="str">
        <f>"CROWHURST DR OLDSTONE CROSSING SEC 1 LOT 44"</f>
        <v>CROWHURST DR OLDSTONE CROSSING SEC 1 LOT 44</v>
      </c>
      <c r="D11442" s="1">
        <v>565</v>
      </c>
    </row>
    <row r="11443" spans="1:4" x14ac:dyDescent="0.3">
      <c r="A11443" s="1" t="str">
        <f>"14000288600"</f>
        <v>14000288600</v>
      </c>
      <c r="B11443" s="1" t="str">
        <f>"SIAS SHAWN T, SIAS LISA"</f>
        <v>SIAS SHAWN T, SIAS LISA</v>
      </c>
      <c r="C11443" s="1" t="str">
        <f>"3691 HARDING DR BROADLAWN LOT 175 "</f>
        <v xml:space="preserve">3691 HARDING DR BROADLAWN LOT 175 </v>
      </c>
      <c r="D11443" s="1">
        <v>2769.27</v>
      </c>
    </row>
    <row r="11444" spans="1:4" x14ac:dyDescent="0.3">
      <c r="A11444" s="1" t="str">
        <f>"14000288500"</f>
        <v>14000288500</v>
      </c>
      <c r="B11444" s="1" t="str">
        <f>"SIAS SHAWN T, SIAS LISA"</f>
        <v>SIAS SHAWN T, SIAS LISA</v>
      </c>
      <c r="C11444" s="1" t="str">
        <f>"3681 HARDING DR BROADLAWN LOT 174 "</f>
        <v xml:space="preserve">3681 HARDING DR BROADLAWN LOT 174 </v>
      </c>
      <c r="D11444" s="1">
        <v>250</v>
      </c>
    </row>
    <row r="11445" spans="1:4" x14ac:dyDescent="0.3">
      <c r="A11445" s="1" t="str">
        <f>"01018833100"</f>
        <v>01018833100</v>
      </c>
      <c r="B11445" s="1" t="str">
        <f>"SICAIROS FRANCISCA"</f>
        <v>SICAIROS FRANCISCA</v>
      </c>
      <c r="C11445" s="1" t="str">
        <f>"LITTLE BROOK WAY EASTRIDGE CONDO NO 3 BLDG 1 UNIT B"</f>
        <v>LITTLE BROOK WAY EASTRIDGE CONDO NO 3 BLDG 1 UNIT B</v>
      </c>
      <c r="D11445" s="1">
        <v>1271.75</v>
      </c>
    </row>
    <row r="11446" spans="1:4" x14ac:dyDescent="0.3">
      <c r="A11446" s="1" t="str">
        <f>"17000518600"</f>
        <v>17000518600</v>
      </c>
      <c r="B11446" s="1" t="str">
        <f>"SICHEL BRIAN G"</f>
        <v>SICHEL BRIAN G</v>
      </c>
      <c r="C11446" s="1" t="str">
        <f>"COURTYARDS AT MORSE CIRCLE CONDOMINIUM 11TH AMD UNIT 95-7792"</f>
        <v>COURTYARDS AT MORSE CIRCLE CONDOMINIUM 11TH AMD UNIT 95-7792</v>
      </c>
      <c r="D11446" s="1">
        <v>11205.79</v>
      </c>
    </row>
    <row r="11447" spans="1:4" x14ac:dyDescent="0.3">
      <c r="A11447" s="1" t="str">
        <f>"57015968400"</f>
        <v>57015968400</v>
      </c>
      <c r="B11447" s="1" t="str">
        <f>"SICKLES ROBERT TODD, BUTCHER MARY ANN"</f>
        <v>SICKLES ROBERT TODD, BUTCHER MARY ANN</v>
      </c>
      <c r="C11447" s="1" t="str">
        <f>"OAK HOLLOW COURT CHERRY CREEK SEC 2 LOT 99"</f>
        <v>OAK HOLLOW COURT CHERRY CREEK SEC 2 LOT 99</v>
      </c>
      <c r="D11447" s="1">
        <v>394.56</v>
      </c>
    </row>
    <row r="11448" spans="1:4" x14ac:dyDescent="0.3">
      <c r="A11448" s="1" t="str">
        <f>"24000321200"</f>
        <v>24000321200</v>
      </c>
      <c r="B11448" s="1" t="str">
        <f>"SIDENER JUDITH M"</f>
        <v>SIDENER JUDITH M</v>
      </c>
      <c r="C11448" s="1" t="str">
        <f>"4886 ANNHURST RD LINCOLN VILLAGE LOT 82 &amp; 0.06887 ACS"</f>
        <v>4886 ANNHURST RD LINCOLN VILLAGE LOT 82 &amp; 0.06887 ACS</v>
      </c>
      <c r="D11448" s="1">
        <v>148.47</v>
      </c>
    </row>
    <row r="11449" spans="1:4" x14ac:dyDescent="0.3">
      <c r="A11449" s="1" t="str">
        <f>"51527112600"</f>
        <v>51527112600</v>
      </c>
      <c r="B11449" s="1" t="str">
        <f>"SIDNER DONNA J"</f>
        <v>SIDNER DONNA J</v>
      </c>
      <c r="C11449" s="1" t="str">
        <f>"DORCHESTER GREEN          CONDOMINIUM               BLDG 3 UNIT 3-A          "</f>
        <v xml:space="preserve">DORCHESTER GREEN          CONDOMINIUM               BLDG 3 UNIT 3-A          </v>
      </c>
      <c r="D11449" s="1">
        <v>136.19</v>
      </c>
    </row>
    <row r="11450" spans="1:4" x14ac:dyDescent="0.3">
      <c r="A11450" s="1" t="str">
        <f>"55015384100"</f>
        <v>55015384100</v>
      </c>
      <c r="B11450" s="1" t="str">
        <f>"SIEGEL MATTHEW A"</f>
        <v>SIEGEL MATTHEW A</v>
      </c>
      <c r="C11450" s="1" t="str">
        <f>"BORR AVE KINGS RIDGE LOT 29"</f>
        <v>BORR AVE KINGS RIDGE LOT 29</v>
      </c>
      <c r="D11450" s="1">
        <v>95.25</v>
      </c>
    </row>
    <row r="11451" spans="1:4" x14ac:dyDescent="0.3">
      <c r="A11451" s="1" t="str">
        <f>"51526588200"</f>
        <v>51526588200</v>
      </c>
      <c r="B11451" s="1" t="str">
        <f>"SIESEL MARVIN J TR, SIESEL URSULA F TR"</f>
        <v>SIESEL MARVIN J TR, SIESEL URSULA F TR</v>
      </c>
      <c r="C11451" s="1" t="str">
        <f>"BROAD ST                  R16 T1 1/4T4              2.483 ACRES              "</f>
        <v xml:space="preserve">BROAD ST                  R16 T1 1/4T4              2.483 ACRES              </v>
      </c>
      <c r="D11451" s="1">
        <v>3712.37</v>
      </c>
    </row>
    <row r="11452" spans="1:4" x14ac:dyDescent="0.3">
      <c r="A11452" s="1" t="str">
        <f>"01016087400"</f>
        <v>01016087400</v>
      </c>
      <c r="B11452" s="1" t="str">
        <f>"SIFFORD SHARON D, SIFFORD REGINALD W, BENNETT SHANNON D"</f>
        <v>SIFFORD SHARON D, SIFFORD REGINALD W, BENNETT SHANNON D</v>
      </c>
      <c r="C11452" s="1" t="str">
        <f>"CORNELL STREET CASSADY FARMS NO 1 LOT 22"</f>
        <v>CORNELL STREET CASSADY FARMS NO 1 LOT 22</v>
      </c>
      <c r="D11452" s="1">
        <v>2820.81</v>
      </c>
    </row>
    <row r="11453" spans="1:4" x14ac:dyDescent="0.3">
      <c r="A11453" s="1" t="str">
        <f>"01013032600"</f>
        <v>01013032600</v>
      </c>
      <c r="B11453" s="1" t="str">
        <f>"SIGARAN JOEL"</f>
        <v>SIGARAN JOEL</v>
      </c>
      <c r="C11453" s="1" t="str">
        <f>"ALPINE DR KARL MEADOWS LOT 123"</f>
        <v>ALPINE DR KARL MEADOWS LOT 123</v>
      </c>
      <c r="D11453" s="1">
        <v>725.55</v>
      </c>
    </row>
    <row r="11454" spans="1:4" x14ac:dyDescent="0.3">
      <c r="A11454" s="1" t="str">
        <f>"14000350900"</f>
        <v>14000350900</v>
      </c>
      <c r="B11454" s="1" t="str">
        <f>"SIGERO COLORADO CLAUDIO, JONES TIFFANY"</f>
        <v>SIGERO COLORADO CLAUDIO, JONES TIFFANY</v>
      </c>
      <c r="C11454" s="1" t="str">
        <f>"2520 BRIGGS RD EUREKA PARK LOT 63 BLK 2"</f>
        <v>2520 BRIGGS RD EUREKA PARK LOT 63 BLK 2</v>
      </c>
      <c r="D11454" s="1">
        <v>820.78</v>
      </c>
    </row>
    <row r="11455" spans="1:4" x14ac:dyDescent="0.3">
      <c r="A11455" s="1" t="str">
        <f>"07000019900"</f>
        <v>07000019900</v>
      </c>
      <c r="B11455" s="1" t="str">
        <f>"SIGG ADAM, SIGG AMANDA M"</f>
        <v>SIGG ADAM, SIGG AMANDA M</v>
      </c>
      <c r="C11455" s="1" t="str">
        <f>"1773 ANDOVER RD UPPER ARLINGTON LOT 17 BLK 22"</f>
        <v>1773 ANDOVER RD UPPER ARLINGTON LOT 17 BLK 22</v>
      </c>
      <c r="D11455" s="1">
        <v>814.28</v>
      </c>
    </row>
    <row r="11456" spans="1:4" x14ac:dyDescent="0.3">
      <c r="A11456" s="1" t="str">
        <f>"15000257900"</f>
        <v>15000257900</v>
      </c>
      <c r="B11456" s="1" t="str">
        <f>"SIGMA HOME BUYERS LLC"</f>
        <v>SIGMA HOME BUYERS LLC</v>
      </c>
      <c r="C11456" s="1" t="str">
        <f>"128 BUCKEYE CR STEEPLECHASE GARDENS BLDG 20 UNIT B 128"</f>
        <v>128 BUCKEYE CR STEEPLECHASE GARDENS BLDG 20 UNIT B 128</v>
      </c>
      <c r="D11456" s="1">
        <v>1203.1400000000001</v>
      </c>
    </row>
    <row r="11457" spans="1:4" x14ac:dyDescent="0.3">
      <c r="A11457" s="1" t="str">
        <f>"02501192300"</f>
        <v>02501192300</v>
      </c>
      <c r="B11457" s="1" t="str">
        <f>"SIGNORACCI SONDRA A"</f>
        <v>SIGNORACCI SONDRA A</v>
      </c>
      <c r="C11457" s="1" t="str">
        <f>"SYCAMORE WOODS CONDOMINIUM 5TH AMD BLDG 26 UNIT 393"</f>
        <v>SYCAMORE WOODS CONDOMINIUM 5TH AMD BLDG 26 UNIT 393</v>
      </c>
      <c r="D11457" s="1">
        <v>254.18</v>
      </c>
    </row>
    <row r="11458" spans="1:4" x14ac:dyDescent="0.3">
      <c r="A11458" s="1" t="str">
        <f>"61020114700"</f>
        <v>61020114700</v>
      </c>
      <c r="B11458" s="1" t="str">
        <f>"SIGRIST JOHN J, SIGRIST CARI L"</f>
        <v>SIGRIST JOHN J, SIGRIST CARI L</v>
      </c>
      <c r="C11458" s="1" t="str">
        <f>"WORTHINGTON WOODS WEST CONDO 5 UNIT C2"</f>
        <v>WORTHINGTON WOODS WEST CONDO 5 UNIT C2</v>
      </c>
      <c r="D11458" s="1">
        <v>165.44</v>
      </c>
    </row>
    <row r="11459" spans="1:4" x14ac:dyDescent="0.3">
      <c r="A11459" s="1" t="str">
        <f>"61029253100"</f>
        <v>61029253100</v>
      </c>
      <c r="B11459" s="1" t="str">
        <f>"SIGRIST JOHN J, SIGRIST CARI L"</f>
        <v>SIGRIST JOHN J, SIGRIST CARI L</v>
      </c>
      <c r="C11459" s="1" t="str">
        <f>"TRADITIONS AT WORTHINGTON WOODS CONDOMINIUMS PH X 9TH AMD UNIT 815 BLDG 16"</f>
        <v>TRADITIONS AT WORTHINGTON WOODS CONDOMINIUMS PH X 9TH AMD UNIT 815 BLDG 16</v>
      </c>
      <c r="D11459" s="1">
        <v>153.47</v>
      </c>
    </row>
    <row r="11460" spans="1:4" x14ac:dyDescent="0.3">
      <c r="A11460" s="1" t="str">
        <f>"61029253200"</f>
        <v>61029253200</v>
      </c>
      <c r="B11460" s="1" t="str">
        <f>"SIGRIST JOHN J, SIGRIST CARI L"</f>
        <v>SIGRIST JOHN J, SIGRIST CARI L</v>
      </c>
      <c r="C11460" s="1" t="str">
        <f>"TRADITIONS AT WORTHINGTON WOODS CONDOMINIUMS PH X 9TH AMD UNIT 817 BLDG 16"</f>
        <v>TRADITIONS AT WORTHINGTON WOODS CONDOMINIUMS PH X 9TH AMD UNIT 817 BLDG 16</v>
      </c>
      <c r="D11460" s="1">
        <v>153.47</v>
      </c>
    </row>
    <row r="11461" spans="1:4" x14ac:dyDescent="0.3">
      <c r="A11461" s="1" t="str">
        <f>"61029253300"</f>
        <v>61029253300</v>
      </c>
      <c r="B11461" s="1" t="str">
        <f>"SIGRIST JOHN J, SIGRIST CARI L"</f>
        <v>SIGRIST JOHN J, SIGRIST CARI L</v>
      </c>
      <c r="C11461" s="1" t="str">
        <f>"TRADITIONS AT WORTHINGTON WOODS CONDOMINIUMS PH X 9TH AMD UNIT 819 BLDG 16"</f>
        <v>TRADITIONS AT WORTHINGTON WOODS CONDOMINIUMS PH X 9TH AMD UNIT 819 BLDG 16</v>
      </c>
      <c r="D11461" s="1">
        <v>153.47</v>
      </c>
    </row>
    <row r="11462" spans="1:4" x14ac:dyDescent="0.3">
      <c r="A11462" s="1" t="str">
        <f>"61029253400"</f>
        <v>61029253400</v>
      </c>
      <c r="B11462" s="1" t="str">
        <f>"SIGRIST JOHN J, SIGRIST CARI L"</f>
        <v>SIGRIST JOHN J, SIGRIST CARI L</v>
      </c>
      <c r="C11462" s="1" t="str">
        <f>"TRADITIONS AT WORTHINGTON WOODS CONDOMINIUMS PH X 9TH AMD UNIT 821 BLDG 16"</f>
        <v>TRADITIONS AT WORTHINGTON WOODS CONDOMINIUMS PH X 9TH AMD UNIT 821 BLDG 16</v>
      </c>
      <c r="D11462" s="1">
        <v>151.47</v>
      </c>
    </row>
    <row r="11463" spans="1:4" x14ac:dyDescent="0.3">
      <c r="A11463" s="1" t="str">
        <f>"61029253500"</f>
        <v>61029253500</v>
      </c>
      <c r="B11463" s="1" t="str">
        <f>"SIGRIST JOHN J, SIGRIST CARI L"</f>
        <v>SIGRIST JOHN J, SIGRIST CARI L</v>
      </c>
      <c r="C11463" s="1" t="str">
        <f>"TRADITIONS AT WORTHINGTON WOODS CONDOMINIUMS PH X 9TH AMD UNIT 823 BLDG 16"</f>
        <v>TRADITIONS AT WORTHINGTON WOODS CONDOMINIUMS PH X 9TH AMD UNIT 823 BLDG 16</v>
      </c>
      <c r="D11463" s="1">
        <v>153.47</v>
      </c>
    </row>
    <row r="11464" spans="1:4" x14ac:dyDescent="0.3">
      <c r="A11464" s="1" t="str">
        <f>"61029253600"</f>
        <v>61029253600</v>
      </c>
      <c r="B11464" s="1" t="str">
        <f>"SIGRIST JOHN J, SIGRIST CARI L"</f>
        <v>SIGRIST JOHN J, SIGRIST CARI L</v>
      </c>
      <c r="C11464" s="1" t="str">
        <f>"TRADITIONS AT WORTHINGTON WOODS CONDOMINIUMS PH X 9TH AMD UNIT 825 BLDG 16"</f>
        <v>TRADITIONS AT WORTHINGTON WOODS CONDOMINIUMS PH X 9TH AMD UNIT 825 BLDG 16</v>
      </c>
      <c r="D11464" s="1">
        <v>153.47</v>
      </c>
    </row>
    <row r="11465" spans="1:4" x14ac:dyDescent="0.3">
      <c r="A11465" s="1" t="str">
        <f>"01000428000"</f>
        <v>01000428000</v>
      </c>
      <c r="B11465" s="1" t="str">
        <f>"SIJ PARTNERSHIP LLC"</f>
        <v>SIJ PARTNERSHIP LLC</v>
      </c>
      <c r="C11465" s="1" t="str">
        <f>"3557-61 FULTON ST 2.739 R21 T12 S17 1-4 S28"</f>
        <v>3557-61 FULTON ST 2.739 R21 T12 S17 1-4 S28</v>
      </c>
      <c r="D11465" s="1">
        <v>31858.94</v>
      </c>
    </row>
    <row r="11466" spans="1:4" x14ac:dyDescent="0.3">
      <c r="A11466" s="1" t="str">
        <f>"01009920100"</f>
        <v>01009920100</v>
      </c>
      <c r="B11466" s="1" t="str">
        <f>"SIJ PARTNERSHIP LLC"</f>
        <v>SIJ PARTNERSHIP LLC</v>
      </c>
      <c r="C11466" s="1" t="str">
        <f>"BARNETT RD ACRES 4 R21 T12 S17 1/2S28"</f>
        <v>BARNETT RD ACRES 4 R21 T12 S17 1/2S28</v>
      </c>
      <c r="D11466" s="1">
        <v>12637.17</v>
      </c>
    </row>
    <row r="11467" spans="1:4" x14ac:dyDescent="0.3">
      <c r="A11467" s="1" t="str">
        <f>"01009921400"</f>
        <v>01009921400</v>
      </c>
      <c r="B11467" s="1" t="str">
        <f>"SIJ PARTNERSHIP LLC"</f>
        <v>SIJ PARTNERSHIP LLC</v>
      </c>
      <c r="C11467" s="1" t="str">
        <f>"FULTON ST R21 T12 S171-4 S27 2.293 ACRES"</f>
        <v>FULTON ST R21 T12 S171-4 S27 2.293 ACRES</v>
      </c>
      <c r="D11467" s="1">
        <v>30223.72</v>
      </c>
    </row>
    <row r="11468" spans="1:4" x14ac:dyDescent="0.3">
      <c r="A11468" s="1" t="str">
        <f>"01001704200"</f>
        <v>01001704200</v>
      </c>
      <c r="B11468" s="1" t="str">
        <f>"SIJ PARTNERSHIP LLC"</f>
        <v>SIJ PARTNERSHIP LLC</v>
      </c>
      <c r="C11468" s="1" t="str">
        <f>"270 S 21ST ST ENGLEHART-LATTIMORE PARTITION PT LT A"</f>
        <v>270 S 21ST ST ENGLEHART-LATTIMORE PARTITION PT LT A</v>
      </c>
      <c r="D11468" s="1">
        <v>795.38</v>
      </c>
    </row>
    <row r="11469" spans="1:4" x14ac:dyDescent="0.3">
      <c r="A11469" s="1" t="str">
        <f>"01001789400"</f>
        <v>01001789400</v>
      </c>
      <c r="B11469" s="1" t="str">
        <f>"SIJ PARTNERSHIP LLC"</f>
        <v>SIJ PARTNERSHIP LLC</v>
      </c>
      <c r="C11469" s="1" t="str">
        <f>"S 22ND ST COURT SUB 91.5' EE SUB A"</f>
        <v>S 22ND ST COURT SUB 91.5' EE SUB A</v>
      </c>
      <c r="D11469" s="1">
        <v>775.19</v>
      </c>
    </row>
    <row r="11470" spans="1:4" x14ac:dyDescent="0.3">
      <c r="A11470" s="1" t="str">
        <f>"01002403600"</f>
        <v>01002403600</v>
      </c>
      <c r="B11470" s="1" t="str">
        <f>"SILAS INVESTMENT LLC"</f>
        <v>SILAS INVESTMENT LLC</v>
      </c>
      <c r="C11470" s="1" t="str">
        <f>"915 WHITTIER ST 38.5X100 EE RUHS SCHILER LOT 13-4-5"</f>
        <v>915 WHITTIER ST 38.5X100 EE RUHS SCHILER LOT 13-4-5</v>
      </c>
      <c r="D11470" s="1">
        <v>214.63</v>
      </c>
    </row>
    <row r="11471" spans="1:4" x14ac:dyDescent="0.3">
      <c r="A11471" s="1" t="str">
        <f>"01006682000"</f>
        <v>01006682000</v>
      </c>
      <c r="B11471" s="1" t="str">
        <f>"SILER ANTHONY"</f>
        <v>SILER ANTHONY</v>
      </c>
      <c r="C11471" s="1" t="str">
        <f>"DAWSON AVE NORTH BEXLEY VIEW 2 LOT 38"</f>
        <v>DAWSON AVE NORTH BEXLEY VIEW 2 LOT 38</v>
      </c>
      <c r="D11471" s="1">
        <v>2737.1</v>
      </c>
    </row>
    <row r="11472" spans="1:4" x14ac:dyDescent="0.3">
      <c r="A11472" s="1" t="str">
        <f>"01001378500"</f>
        <v>01001378500</v>
      </c>
      <c r="B11472" s="1" t="str">
        <f>"SILKIES LLC"</f>
        <v>SILKIES LLC</v>
      </c>
      <c r="C11472" s="1" t="str">
        <f>"879 SULLIVANT AVE OSBORN PLACE LOTS 70 &amp; 71"</f>
        <v>879 SULLIVANT AVE OSBORN PLACE LOTS 70 &amp; 71</v>
      </c>
      <c r="D11472" s="1">
        <v>2788.03</v>
      </c>
    </row>
    <row r="11473" spans="1:4" x14ac:dyDescent="0.3">
      <c r="A11473" s="1" t="str">
        <f>"01005601800"</f>
        <v>01005601800</v>
      </c>
      <c r="B11473" s="1" t="str">
        <f>"SILKIES LLC"</f>
        <v>SILKIES LLC</v>
      </c>
      <c r="C11473" s="1" t="str">
        <f>"85 N GUILFORD AVE GUILFORD PARK LOT 43"</f>
        <v>85 N GUILFORD AVE GUILFORD PARK LOT 43</v>
      </c>
      <c r="D11473" s="1">
        <v>2001.68</v>
      </c>
    </row>
    <row r="11474" spans="1:4" x14ac:dyDescent="0.3">
      <c r="A11474" s="1" t="str">
        <f>"01001773300"</f>
        <v>01001773300</v>
      </c>
      <c r="B11474" s="1" t="str">
        <f>"SILKIES LLC"</f>
        <v>SILKIES LLC</v>
      </c>
      <c r="C11474" s="1" t="str">
        <f>"875 SULLIVANT AVE OSBORN PLC LOT 69"</f>
        <v>875 SULLIVANT AVE OSBORN PLC LOT 69</v>
      </c>
      <c r="D11474" s="1">
        <v>338.21</v>
      </c>
    </row>
    <row r="11475" spans="1:4" x14ac:dyDescent="0.3">
      <c r="A11475" s="1" t="str">
        <f>"01000489500"</f>
        <v>01000489500</v>
      </c>
      <c r="B11475" s="1" t="str">
        <f>"SILKIES LLC"</f>
        <v>SILKIES LLC</v>
      </c>
      <c r="C11475" s="1" t="str">
        <f>"192 GUILFORD GUILFORD PARK LOT 108"</f>
        <v>192 GUILFORD GUILFORD PARK LOT 108</v>
      </c>
      <c r="D11475" s="1">
        <v>2612.8200000000002</v>
      </c>
    </row>
    <row r="11476" spans="1:4" x14ac:dyDescent="0.3">
      <c r="A11476" s="1" t="str">
        <f>"01001541400"</f>
        <v>01001541400</v>
      </c>
      <c r="B11476" s="1" t="str">
        <f>"SILKIES LLC"</f>
        <v>SILKIES LLC</v>
      </c>
      <c r="C11476" s="1" t="str">
        <f>"36 GUILFORD AVE GUILFORD PARK 21 "</f>
        <v xml:space="preserve">36 GUILFORD AVE GUILFORD PARK 21 </v>
      </c>
      <c r="D11476" s="1">
        <v>2263.9899999999998</v>
      </c>
    </row>
    <row r="11477" spans="1:4" x14ac:dyDescent="0.3">
      <c r="A11477" s="1" t="str">
        <f>"01006150200"</f>
        <v>01006150200</v>
      </c>
      <c r="B11477" s="1" t="str">
        <f>"SILKIES LLC"</f>
        <v>SILKIES LLC</v>
      </c>
      <c r="C11477" s="1" t="str">
        <f>"180 BREHL AVE DORENS CENTRAL AVE LOT 135"</f>
        <v>180 BREHL AVE DORENS CENTRAL AVE LOT 135</v>
      </c>
      <c r="D11477" s="1">
        <v>3027.49</v>
      </c>
    </row>
    <row r="11478" spans="1:4" x14ac:dyDescent="0.3">
      <c r="A11478" s="1" t="str">
        <f>"01006314500"</f>
        <v>01006314500</v>
      </c>
      <c r="B11478" s="1" t="str">
        <f>"SILT FENCE CONSTRUCTION CONTRACTORS LLC"</f>
        <v>SILT FENCE CONSTRUCTION CONTRACTORS LLC</v>
      </c>
      <c r="C11478" s="1" t="str">
        <f>"LOWE ST HEYDEN LOT 23"</f>
        <v>LOWE ST HEYDEN LOT 23</v>
      </c>
      <c r="D11478" s="1">
        <v>5.24</v>
      </c>
    </row>
    <row r="11479" spans="1:4" x14ac:dyDescent="0.3">
      <c r="A11479" s="1" t="str">
        <f>"01006314200"</f>
        <v>01006314200</v>
      </c>
      <c r="B11479" s="1" t="str">
        <f>"SILT FENCE CONSTRUCTION CONTRACTORS LLC"</f>
        <v>SILT FENCE CONSTRUCTION CONTRACTORS LLC</v>
      </c>
      <c r="C11479" s="1" t="str">
        <f>"LOEW ST HEYDEN LOT 20-21-22"</f>
        <v>LOEW ST HEYDEN LOT 20-21-22</v>
      </c>
      <c r="D11479" s="1">
        <v>381.36</v>
      </c>
    </row>
    <row r="11480" spans="1:4" x14ac:dyDescent="0.3">
      <c r="A11480" s="1" t="str">
        <f>"01006314600"</f>
        <v>01006314600</v>
      </c>
      <c r="B11480" s="1" t="str">
        <f>"SILT FENCE CONSTRUCTION CONTRACTORS LLC"</f>
        <v>SILT FENCE CONSTRUCTION CONTRACTORS LLC</v>
      </c>
      <c r="C11480" s="1" t="str">
        <f>"LOWE ST HEYDEN LOT 024"</f>
        <v>LOWE ST HEYDEN LOT 024</v>
      </c>
      <c r="D11480" s="1">
        <v>5.24</v>
      </c>
    </row>
    <row r="11481" spans="1:4" x14ac:dyDescent="0.3">
      <c r="A11481" s="1" t="str">
        <f>"61017816000"</f>
        <v>61017816000</v>
      </c>
      <c r="B11481" s="1" t="str">
        <f>"SILVA MARCELO DA, DA SILVA ELISMAR BATISTA"</f>
        <v>SILVA MARCELO DA, DA SILVA ELISMAR BATISTA</v>
      </c>
      <c r="C11481" s="1" t="str">
        <f>"SOUTHOLD DR SMOKY RIDGE ESTATE 4 LOT 384"</f>
        <v>SOUTHOLD DR SMOKY RIDGE ESTATE 4 LOT 384</v>
      </c>
      <c r="D11481" s="1">
        <v>8083.53</v>
      </c>
    </row>
    <row r="11482" spans="1:4" x14ac:dyDescent="0.3">
      <c r="A11482" s="1" t="str">
        <f>"01005108200"</f>
        <v>01005108200</v>
      </c>
      <c r="B11482" s="1" t="str">
        <f>"SILVA SILVANO SANTIAGO"</f>
        <v>SILVA SILVANO SANTIAGO</v>
      </c>
      <c r="C11482" s="1" t="str">
        <f>"317 S BURGESS AVE BRONX LOT 44"</f>
        <v>317 S BURGESS AVE BRONX LOT 44</v>
      </c>
      <c r="D11482" s="1">
        <v>1118.92</v>
      </c>
    </row>
    <row r="11483" spans="1:4" x14ac:dyDescent="0.3">
      <c r="A11483" s="1" t="str">
        <f>"14000184500"</f>
        <v>14000184500</v>
      </c>
      <c r="B11483" s="1" t="str">
        <f>"SILVA YANHELI LOPEZ"</f>
        <v>SILVA YANHELI LOPEZ</v>
      </c>
      <c r="C11483" s="1" t="str">
        <f>"WILSON RD PT LOT 12 MON-E-BAK FARMS"</f>
        <v>WILSON RD PT LOT 12 MON-E-BAK FARMS</v>
      </c>
      <c r="D11483" s="1">
        <v>528.76</v>
      </c>
    </row>
    <row r="11484" spans="1:4" x14ac:dyDescent="0.3">
      <c r="A11484" s="1" t="str">
        <f>"14000184600"</f>
        <v>14000184600</v>
      </c>
      <c r="B11484" s="1" t="str">
        <f>"SILVA YANHELI LOPEZ"</f>
        <v>SILVA YANHELI LOPEZ</v>
      </c>
      <c r="C11484" s="1" t="str">
        <f>"1128 WILSON RD PT LOT 13 MON-E-BAK FARMS"</f>
        <v>1128 WILSON RD PT LOT 13 MON-E-BAK FARMS</v>
      </c>
      <c r="D11484" s="1">
        <v>528.76</v>
      </c>
    </row>
    <row r="11485" spans="1:4" x14ac:dyDescent="0.3">
      <c r="A11485" s="1" t="str">
        <f>"14000184700"</f>
        <v>14000184700</v>
      </c>
      <c r="B11485" s="1" t="str">
        <f>"SILVA YANHELI LOPEZ"</f>
        <v>SILVA YANHELI LOPEZ</v>
      </c>
      <c r="C11485" s="1" t="str">
        <f>"WILSON RD PT LOT 14 MON-E-BAK FARMS"</f>
        <v>WILSON RD PT LOT 14 MON-E-BAK FARMS</v>
      </c>
      <c r="D11485" s="1">
        <v>528.76</v>
      </c>
    </row>
    <row r="11486" spans="1:4" x14ac:dyDescent="0.3">
      <c r="A11486" s="1" t="str">
        <f>"14000184800"</f>
        <v>14000184800</v>
      </c>
      <c r="B11486" s="1" t="str">
        <f>"SILVA YANHELI LOPEZ"</f>
        <v>SILVA YANHELI LOPEZ</v>
      </c>
      <c r="C11486" s="1" t="str">
        <f>"WILSON RD PT LOT 15 MON-E-BAK FARMS"</f>
        <v>WILSON RD PT LOT 15 MON-E-BAK FARMS</v>
      </c>
      <c r="D11486" s="1">
        <v>528.76</v>
      </c>
    </row>
    <row r="11487" spans="1:4" x14ac:dyDescent="0.3">
      <c r="A11487" s="1" t="str">
        <f>"14000185600"</f>
        <v>14000185600</v>
      </c>
      <c r="B11487" s="1" t="str">
        <f>"SILVA YANHELI LOPEZ"</f>
        <v>SILVA YANHELI LOPEZ</v>
      </c>
      <c r="C11487" s="1" t="str">
        <f>"3590 BROOKSIDE BLVD MON-E-BAK FRMS LOT 23"</f>
        <v>3590 BROOKSIDE BLVD MON-E-BAK FRMS LOT 23</v>
      </c>
      <c r="D11487" s="1">
        <v>2172.0100000000002</v>
      </c>
    </row>
    <row r="11488" spans="1:4" x14ac:dyDescent="0.3">
      <c r="A11488" s="1" t="str">
        <f>"01006229700"</f>
        <v>01006229700</v>
      </c>
      <c r="B11488" s="1" t="str">
        <f>"SILVER SPIRE HOMES LLC"</f>
        <v>SILVER SPIRE HOMES LLC</v>
      </c>
      <c r="C11488" s="1" t="str">
        <f>"HAMILTON AVE MCGUFFEY SCHOOL LOT 138"</f>
        <v>HAMILTON AVE MCGUFFEY SCHOOL LOT 138</v>
      </c>
      <c r="D11488" s="1">
        <v>1135.51</v>
      </c>
    </row>
    <row r="11489" spans="1:4" x14ac:dyDescent="0.3">
      <c r="A11489" s="1" t="str">
        <f>"14000232700"</f>
        <v>14000232700</v>
      </c>
      <c r="B11489" s="1" t="str">
        <f>"SILVESTRE BENITO GARCIA"</f>
        <v>SILVESTRE BENITO GARCIA</v>
      </c>
      <c r="C11489" s="1" t="str">
        <f>"LITTLE AVENUE NEW CITY LOT 60"</f>
        <v>LITTLE AVENUE NEW CITY LOT 60</v>
      </c>
      <c r="D11489" s="1">
        <v>492.24</v>
      </c>
    </row>
    <row r="11490" spans="1:4" x14ac:dyDescent="0.3">
      <c r="A11490" s="1" t="str">
        <f>"01012151500"</f>
        <v>01012151500</v>
      </c>
      <c r="B11490" s="1" t="str">
        <f>"SILVIUS CAROL A"</f>
        <v>SILVIUS CAROL A</v>
      </c>
      <c r="C11490" s="1" t="str">
        <f>"ELLERY DRIVE THUNDERBIRD ACRES 2 LOT 247"</f>
        <v>ELLERY DRIVE THUNDERBIRD ACRES 2 LOT 247</v>
      </c>
      <c r="D11490" s="1">
        <v>70.52</v>
      </c>
    </row>
    <row r="11491" spans="1:4" x14ac:dyDescent="0.3">
      <c r="A11491" s="1" t="str">
        <f>"57020971800"</f>
        <v>57020971800</v>
      </c>
      <c r="B11491" s="1" t="str">
        <f>"SIM SARIN"</f>
        <v>SIM SARIN</v>
      </c>
      <c r="C11491" s="1" t="str">
        <f>"RINGFIELD DR LEHNERT FARM SEC 6 LOT 375"</f>
        <v>RINGFIELD DR LEHNERT FARM SEC 6 LOT 375</v>
      </c>
      <c r="D11491" s="1">
        <v>1433.22</v>
      </c>
    </row>
    <row r="11492" spans="1:4" x14ac:dyDescent="0.3">
      <c r="A11492" s="1" t="str">
        <f>"59019967200"</f>
        <v>59019967200</v>
      </c>
      <c r="B11492" s="1" t="str">
        <f>"SIMEON JOHN"</f>
        <v>SIMEON JOHN</v>
      </c>
      <c r="C11492" s="1" t="str">
        <f>"BETHEL RD BRANDY OAKS CONDO UNIT 5254 BLDG 6"</f>
        <v>BETHEL RD BRANDY OAKS CONDO UNIT 5254 BLDG 6</v>
      </c>
      <c r="D11492" s="1">
        <v>137.94</v>
      </c>
    </row>
    <row r="11493" spans="1:4" x14ac:dyDescent="0.3">
      <c r="A11493" s="1" t="str">
        <f>"56023997100"</f>
        <v>56023997100</v>
      </c>
      <c r="B11493" s="1" t="str">
        <f>"SIMIONE JOHN W TR"</f>
        <v>SIMIONE JOHN W TR</v>
      </c>
      <c r="C11493" s="1" t="str">
        <f>"STILL MEADOWS CONDOMINIUM 1ST AMD BLDG 9 UNIT 2554"</f>
        <v>STILL MEADOWS CONDOMINIUM 1ST AMD BLDG 9 UNIT 2554</v>
      </c>
      <c r="D11493" s="1">
        <v>5313.95</v>
      </c>
    </row>
    <row r="11494" spans="1:4" x14ac:dyDescent="0.3">
      <c r="A11494" s="1" t="str">
        <f>"01005926000"</f>
        <v>01005926000</v>
      </c>
      <c r="B11494" s="1" t="str">
        <f>"SIMMONS AMANDA"</f>
        <v>SIMMONS AMANDA</v>
      </c>
      <c r="C11494" s="1" t="str">
        <f>"1367 WEBER RD ALL L 22&amp;L21 EX 6.66FT WS LINDEN LOT 21-22"</f>
        <v>1367 WEBER RD ALL L 22&amp;L21 EX 6.66FT WS LINDEN LOT 21-22</v>
      </c>
      <c r="D11494" s="1">
        <v>9130.9</v>
      </c>
    </row>
    <row r="11495" spans="1:4" x14ac:dyDescent="0.3">
      <c r="A11495" s="1" t="str">
        <f>"01016680300"</f>
        <v>01016680300</v>
      </c>
      <c r="B11495" s="1" t="str">
        <f>"SIMMONS CHARLES M TTEE"</f>
        <v>SIMMONS CHARLES M TTEE</v>
      </c>
      <c r="C11495" s="1" t="str">
        <f>"1736 WOODLAND AVE AMVET HOMESTEAD 2 LOT 2 BLK K"</f>
        <v>1736 WOODLAND AVE AMVET HOMESTEAD 2 LOT 2 BLK K</v>
      </c>
      <c r="D11495" s="1">
        <v>2085.56</v>
      </c>
    </row>
    <row r="11496" spans="1:4" x14ac:dyDescent="0.3">
      <c r="A11496" s="1" t="str">
        <f>"56017534400"</f>
        <v>56017534400</v>
      </c>
      <c r="B11496" s="1" t="str">
        <f>"SIMMONS GENE F TR, SIMMONS DARLENE M TR"</f>
        <v>SIMMONS GENE F TR, SIMMONS DARLENE M TR</v>
      </c>
      <c r="C11496" s="1" t="str">
        <f>"GOLDMILL WAY CIDER MILL LOT 62"</f>
        <v>GOLDMILL WAY CIDER MILL LOT 62</v>
      </c>
      <c r="D11496" s="1">
        <v>2827.72</v>
      </c>
    </row>
    <row r="11497" spans="1:4" x14ac:dyDescent="0.3">
      <c r="A11497" s="1" t="str">
        <f>"01008700100"</f>
        <v>01008700100</v>
      </c>
      <c r="B11497" s="1" t="str">
        <f>"SIMMONS JOSEPH J"</f>
        <v>SIMMONS JOSEPH J</v>
      </c>
      <c r="C11497" s="1" t="str">
        <f>"32 GARDEN RD 46 FT ES HIGHLAND GARDENS"</f>
        <v>32 GARDEN RD 46 FT ES HIGHLAND GARDENS</v>
      </c>
      <c r="D11497" s="1">
        <v>222.5</v>
      </c>
    </row>
    <row r="11498" spans="1:4" x14ac:dyDescent="0.3">
      <c r="A11498" s="1" t="str">
        <f>"01001405300"</f>
        <v>01001405300</v>
      </c>
      <c r="B11498" s="1" t="str">
        <f>"SIMMONS JULIAN, SIMMONS VANESSA"</f>
        <v>SIMMONS JULIAN, SIMMONS VANESSA</v>
      </c>
      <c r="C11498" s="1" t="str">
        <f>"727 SEYMOUR AVE SEYMOUR LOT 29"</f>
        <v>727 SEYMOUR AVE SEYMOUR LOT 29</v>
      </c>
      <c r="D11498" s="1">
        <v>1540.68</v>
      </c>
    </row>
    <row r="11499" spans="1:4" x14ac:dyDescent="0.3">
      <c r="A11499" s="1" t="str">
        <f>"01010011900"</f>
        <v>01010011900</v>
      </c>
      <c r="B11499" s="1" t="str">
        <f>"SIMMONS JULIAN, SIMMONS VANESSA V"</f>
        <v>SIMMONS JULIAN, SIMMONS VANESSA V</v>
      </c>
      <c r="C11499" s="1" t="str">
        <f>"ERRINGTON RD SHADY LANE PARK LOT 42"</f>
        <v>ERRINGTON RD SHADY LANE PARK LOT 42</v>
      </c>
      <c r="D11499" s="1">
        <v>1389.58</v>
      </c>
    </row>
    <row r="11500" spans="1:4" x14ac:dyDescent="0.3">
      <c r="A11500" s="1" t="str">
        <f>"14000065300"</f>
        <v>14000065300</v>
      </c>
      <c r="B11500" s="1" t="str">
        <f>"SIMMONS KRIS N, LAWSON DANIEL W"</f>
        <v>SIMMONS KRIS N, LAWSON DANIEL W</v>
      </c>
      <c r="C11500" s="1" t="str">
        <f>"CHAMBERS AVE BRIGGS 1ST LOT 75 "</f>
        <v xml:space="preserve">CHAMBERS AVE BRIGGS 1ST LOT 75 </v>
      </c>
      <c r="D11500" s="1">
        <v>213.75</v>
      </c>
    </row>
    <row r="11501" spans="1:4" x14ac:dyDescent="0.3">
      <c r="A11501" s="1" t="str">
        <f>"14000065400"</f>
        <v>14000065400</v>
      </c>
      <c r="B11501" s="1" t="str">
        <f>"SIMMONS KRIS N, LAWSON DANIEL W"</f>
        <v>SIMMONS KRIS N, LAWSON DANIEL W</v>
      </c>
      <c r="C11501" s="1" t="str">
        <f>"CHAMBERS AVE BRIGGS 1ST LOT 76 "</f>
        <v xml:space="preserve">CHAMBERS AVE BRIGGS 1ST LOT 76 </v>
      </c>
      <c r="D11501" s="1">
        <v>213.75</v>
      </c>
    </row>
    <row r="11502" spans="1:4" x14ac:dyDescent="0.3">
      <c r="A11502" s="1" t="str">
        <f>"01009207900"</f>
        <v>01009207900</v>
      </c>
      <c r="B11502" s="1" t="str">
        <f>"SIMMONS PATRICK S TR"</f>
        <v>SIMMONS PATRICK S TR</v>
      </c>
      <c r="C11502" s="1" t="str">
        <f>"JANWOOD DR SCOTTWOOD LOT 67 EX 10'ES"</f>
        <v>JANWOOD DR SCOTTWOOD LOT 67 EX 10'ES</v>
      </c>
      <c r="D11502" s="1">
        <v>3226.77</v>
      </c>
    </row>
    <row r="11503" spans="1:4" x14ac:dyDescent="0.3">
      <c r="A11503" s="1" t="str">
        <f>"01005480000"</f>
        <v>01005480000</v>
      </c>
      <c r="B11503" s="1" t="str">
        <f>"SIMMONS PATRICK S, SIMMONS KELLY M"</f>
        <v>SIMMONS PATRICK S, SIMMONS KELLY M</v>
      </c>
      <c r="C11503" s="1" t="str">
        <f>"375 S WAYNE AVE BELLAIRE EXT LOT 298"</f>
        <v>375 S WAYNE AVE BELLAIRE EXT LOT 298</v>
      </c>
      <c r="D11503" s="1">
        <v>1825.59</v>
      </c>
    </row>
    <row r="11504" spans="1:4" x14ac:dyDescent="0.3">
      <c r="A11504" s="1" t="str">
        <f>"27300408400"</f>
        <v>27300408400</v>
      </c>
      <c r="B11504" s="1" t="str">
        <f>"SIMON HANNAH R"</f>
        <v>SIMON HANNAH R</v>
      </c>
      <c r="C11504" s="1" t="str">
        <f>"5338 GUINNESS CT SHANNON PK SEC 2 51'X 52.38'"</f>
        <v>5338 GUINNESS CT SHANNON PK SEC 2 51'X 52.38'</v>
      </c>
      <c r="D11504" s="1">
        <v>315.14999999999998</v>
      </c>
    </row>
    <row r="11505" spans="1:4" x14ac:dyDescent="0.3">
      <c r="A11505" s="1" t="str">
        <f>"08000208900"</f>
        <v>08000208900</v>
      </c>
      <c r="B11505" s="1" t="str">
        <f>"SIMON KARL J, SIMON SUSAN M"</f>
        <v>SIMON KARL J, SIMON SUSAN M</v>
      </c>
      <c r="C11505" s="1" t="str">
        <f>"OTTAWA AVE WESTERVILLE ESTATES 83"</f>
        <v>OTTAWA AVE WESTERVILLE ESTATES 83</v>
      </c>
      <c r="D11505" s="1">
        <v>974.81</v>
      </c>
    </row>
    <row r="11506" spans="1:4" x14ac:dyDescent="0.3">
      <c r="A11506" s="1" t="str">
        <f>"01003167500"</f>
        <v>01003167500</v>
      </c>
      <c r="B11506" s="1" t="str">
        <f>"SIMON THOMAS"</f>
        <v>SIMON THOMAS</v>
      </c>
      <c r="C11506" s="1" t="str">
        <f>"112HAWKS AVE SINCLAIR LOT 116"</f>
        <v>112HAWKS AVE SINCLAIR LOT 116</v>
      </c>
      <c r="D11506" s="1">
        <v>433.3</v>
      </c>
    </row>
    <row r="11507" spans="1:4" x14ac:dyDescent="0.3">
      <c r="A11507" s="1" t="str">
        <f>"61020079500"</f>
        <v>61020079500</v>
      </c>
      <c r="B11507" s="1" t="str">
        <f>"SIMPKINS DEVONNA G"</f>
        <v>SIMPKINS DEVONNA G</v>
      </c>
      <c r="C11507" s="1" t="str">
        <f>"THE VILLAGE AT DEERCREEK CONDO BLDG 9 UNIT 7687"</f>
        <v>THE VILLAGE AT DEERCREEK CONDO BLDG 9 UNIT 7687</v>
      </c>
      <c r="D11507" s="1">
        <v>3773.59</v>
      </c>
    </row>
    <row r="11508" spans="1:4" x14ac:dyDescent="0.3">
      <c r="A11508" s="1" t="str">
        <f>"01004260200"</f>
        <v>01004260200</v>
      </c>
      <c r="B11508" s="1" t="str">
        <f>"SIMPKINS SHANNON JR"</f>
        <v>SIMPKINS SHANNON JR</v>
      </c>
      <c r="C11508" s="1" t="str">
        <f>"933 BELLOWS AVE &amp; 77.8 FT N SIDE OSBORN PLC LOT 199"</f>
        <v>933 BELLOWS AVE &amp; 77.8 FT N SIDE OSBORN PLC LOT 199</v>
      </c>
      <c r="D11508" s="1">
        <v>3571.56</v>
      </c>
    </row>
    <row r="11509" spans="1:4" x14ac:dyDescent="0.3">
      <c r="A11509" s="1" t="str">
        <f>"57021309300"</f>
        <v>57021309300</v>
      </c>
      <c r="B11509" s="1" t="str">
        <f>"SIMPLY CLEAN SERVICES LTD"</f>
        <v>SIMPLY CLEAN SERVICES LTD</v>
      </c>
      <c r="C11509" s="1" t="str">
        <f>"SULLIVANT AVENUE ENTRY 1474 1.074 ACRES"</f>
        <v>SULLIVANT AVENUE ENTRY 1474 1.074 ACRES</v>
      </c>
      <c r="D11509" s="1">
        <v>5645.1</v>
      </c>
    </row>
    <row r="11510" spans="1:4" x14ac:dyDescent="0.3">
      <c r="A11510" s="1" t="str">
        <f>"01013141700"</f>
        <v>01013141700</v>
      </c>
      <c r="B11510" s="1" t="str">
        <f>"SIMPSON CURLEN"</f>
        <v>SIMPSON CURLEN</v>
      </c>
      <c r="C11510" s="1" t="str">
        <f>"FAIRGATE AVE FAIRGATE 2 LOT 17"</f>
        <v>FAIRGATE AVE FAIRGATE 2 LOT 17</v>
      </c>
      <c r="D11510" s="1">
        <v>2859.27</v>
      </c>
    </row>
    <row r="11511" spans="1:4" x14ac:dyDescent="0.3">
      <c r="A11511" s="1" t="str">
        <f>"01007360700"</f>
        <v>01007360700</v>
      </c>
      <c r="B11511" s="1" t="str">
        <f>"SIMPSON JAMES R, SIMPSON LETTA L"</f>
        <v>SIMPSON JAMES R, SIMPSON LETTA L</v>
      </c>
      <c r="C11511" s="1" t="str">
        <f>"OAK SPRING ST WILLOW SPRINGS SUB 2 LOT 9"</f>
        <v>OAK SPRING ST WILLOW SPRINGS SUB 2 LOT 9</v>
      </c>
      <c r="D11511" s="1">
        <v>893.58</v>
      </c>
    </row>
    <row r="11512" spans="1:4" x14ac:dyDescent="0.3">
      <c r="A11512" s="1" t="str">
        <f>"02500105300"</f>
        <v>02500105300</v>
      </c>
      <c r="B11512" s="1" t="str">
        <f>"SIMPSON THOMAS E"</f>
        <v>SIMPSON THOMAS E</v>
      </c>
      <c r="C11512" s="1" t="str">
        <f>"114 HEIL DR HEIL 1 LOT 4 "</f>
        <v xml:space="preserve">114 HEIL DR HEIL 1 LOT 4 </v>
      </c>
      <c r="D11512" s="1">
        <v>568.04</v>
      </c>
    </row>
    <row r="11513" spans="1:4" x14ac:dyDescent="0.3">
      <c r="A11513" s="1" t="str">
        <f>"01000897400"</f>
        <v>01000897400</v>
      </c>
      <c r="B11513" s="1" t="str">
        <f>"SIMS CHARLES RENOIR"</f>
        <v>SIMS CHARLES RENOIR</v>
      </c>
      <c r="C11513" s="1" t="str">
        <f>"436 ELDRIDGE WOODLAND AVE LOT 33-34"</f>
        <v>436 ELDRIDGE WOODLAND AVE LOT 33-34</v>
      </c>
      <c r="D11513" s="1">
        <v>1484.96</v>
      </c>
    </row>
    <row r="11514" spans="1:4" x14ac:dyDescent="0.3">
      <c r="A11514" s="1" t="str">
        <f>"01009281900"</f>
        <v>01009281900</v>
      </c>
      <c r="B11514" s="1" t="str">
        <f>"SIMS CHARLES RENOIR"</f>
        <v>SIMS CHARLES RENOIR</v>
      </c>
      <c r="C11514" s="1" t="str">
        <f>"PARK VIW BLVD BEXLEY HTS AMD LOT 7"</f>
        <v>PARK VIW BLVD BEXLEY HTS AMD LOT 7</v>
      </c>
      <c r="D11514" s="1">
        <v>871.84</v>
      </c>
    </row>
    <row r="11515" spans="1:4" x14ac:dyDescent="0.3">
      <c r="A11515" s="1" t="str">
        <f>"01015634800"</f>
        <v>01015634800</v>
      </c>
      <c r="B11515" s="1" t="str">
        <f>"SIMS CHARLES RODNEY"</f>
        <v>SIMS CHARLES RODNEY</v>
      </c>
      <c r="C11515" s="1" t="str">
        <f>"QUEENSWOOD DR QUEENSWOOD SUBDIV LOT 88"</f>
        <v>QUEENSWOOD DR QUEENSWOOD SUBDIV LOT 88</v>
      </c>
      <c r="D11515" s="1">
        <v>3578.95</v>
      </c>
    </row>
    <row r="11516" spans="1:4" x14ac:dyDescent="0.3">
      <c r="A11516" s="1" t="str">
        <f>"14800079200"</f>
        <v>14800079200</v>
      </c>
      <c r="B11516" s="1" t="str">
        <f>"SIMS KENNETH D JR"</f>
        <v>SIMS KENNETH D JR</v>
      </c>
      <c r="C11516" s="1" t="str">
        <f>"2564 DIBBLEE AVE VALLEYVIEW 218 "</f>
        <v xml:space="preserve">2564 DIBBLEE AVE VALLEYVIEW 218 </v>
      </c>
      <c r="D11516" s="1">
        <v>1868.23</v>
      </c>
    </row>
    <row r="11517" spans="1:4" x14ac:dyDescent="0.3">
      <c r="A11517" s="1" t="str">
        <f>"01006052200"</f>
        <v>01006052200</v>
      </c>
      <c r="B11517" s="1" t="str">
        <f>"SIMS LARRY C"</f>
        <v>SIMS LARRY C</v>
      </c>
      <c r="C11517" s="1" t="str">
        <f>"1429-21ST AVE WALDEMERE LOT 282"</f>
        <v>1429-21ST AVE WALDEMERE LOT 282</v>
      </c>
      <c r="D11517" s="1">
        <v>282.47000000000003</v>
      </c>
    </row>
    <row r="11518" spans="1:4" x14ac:dyDescent="0.3">
      <c r="A11518" s="1" t="str">
        <f>"01015072100"</f>
        <v>01015072100</v>
      </c>
      <c r="B11518" s="1" t="str">
        <f>"SIMS MAXINE"</f>
        <v>SIMS MAXINE</v>
      </c>
      <c r="C11518" s="1" t="str">
        <f>"TORCHWOOD LP W FOREST PARK E SEC 8 LOT 817"</f>
        <v>TORCHWOOD LP W FOREST PARK E SEC 8 LOT 817</v>
      </c>
      <c r="D11518" s="1">
        <v>5276.06</v>
      </c>
    </row>
    <row r="11519" spans="1:4" x14ac:dyDescent="0.3">
      <c r="A11519" s="1" t="str">
        <f>"08000963500"</f>
        <v>08000963500</v>
      </c>
      <c r="B11519" s="1" t="str">
        <f>"SIMS RANDY R, SIMS CAROLYN M"</f>
        <v>SIMS RANDY R, SIMS CAROLYN M</v>
      </c>
      <c r="C11519" s="1" t="str">
        <f>"DENMAN COURT MCVAY WOODS LOT 52"</f>
        <v>DENMAN COURT MCVAY WOODS LOT 52</v>
      </c>
      <c r="D11519" s="1">
        <v>390.98</v>
      </c>
    </row>
    <row r="11520" spans="1:4" x14ac:dyDescent="0.3">
      <c r="A11520" s="1" t="str">
        <f>"56023553900"</f>
        <v>56023553900</v>
      </c>
      <c r="B11520" s="1" t="str">
        <f>"SIMS ROBERT D"</f>
        <v>SIMS ROBERT D</v>
      </c>
      <c r="C11520" s="1" t="str">
        <f>"HILLIARD VILLAGE CONDOMINIUM 34TH AMD UNIT 190A"</f>
        <v>HILLIARD VILLAGE CONDOMINIUM 34TH AMD UNIT 190A</v>
      </c>
      <c r="D11520" s="1">
        <v>2101.73</v>
      </c>
    </row>
    <row r="11521" spans="1:4" x14ac:dyDescent="0.3">
      <c r="A11521" s="1" t="str">
        <f>"08000540200"</f>
        <v>08000540200</v>
      </c>
      <c r="B11521" s="1" t="str">
        <f>"SIMS SHARON S, THOMPSON KATHLEEN L"</f>
        <v>SIMS SHARON S, THOMPSON KATHLEEN L</v>
      </c>
      <c r="C11521" s="1" t="str">
        <f>"HERITAGE CONDOMINIUM BLDG 10 UNIT 12-F"</f>
        <v>HERITAGE CONDOMINIUM BLDG 10 UNIT 12-F</v>
      </c>
      <c r="D11521" s="1">
        <v>113.58</v>
      </c>
    </row>
    <row r="11522" spans="1:4" x14ac:dyDescent="0.3">
      <c r="A11522" s="1" t="str">
        <f>"01000909000"</f>
        <v>01000909000</v>
      </c>
      <c r="B11522" s="1" t="str">
        <f>"SINAHI LTD"</f>
        <v>SINAHI LTD</v>
      </c>
      <c r="C11522" s="1" t="str">
        <f>"4TH AVE 16.5FT ES 101&amp;ALL102 BIDLEMAN LT101-2"</f>
        <v>4TH AVE 16.5FT ES 101&amp;ALL102 BIDLEMAN LT101-2</v>
      </c>
      <c r="D11522" s="1">
        <v>487.04</v>
      </c>
    </row>
    <row r="11523" spans="1:4" x14ac:dyDescent="0.3">
      <c r="A11523" s="1" t="str">
        <f>"18000488700"</f>
        <v>18000488700</v>
      </c>
      <c r="B11523" s="1" t="str">
        <f>"SINAI HOME INVESTMENTS LLC"</f>
        <v>SINAI HOME INVESTMENTS LLC</v>
      </c>
      <c r="C11523" s="1" t="str">
        <f>"BEACHWORTH CT PT L 1584 BLACKLICK ESTATES 8"</f>
        <v>BEACHWORTH CT PT L 1584 BLACKLICK ESTATES 8</v>
      </c>
      <c r="D11523" s="1">
        <v>1225.33</v>
      </c>
    </row>
    <row r="11524" spans="1:4" x14ac:dyDescent="0.3">
      <c r="A11524" s="1" t="str">
        <f>"18000193600"</f>
        <v>18000193600</v>
      </c>
      <c r="B11524" s="1" t="str">
        <f>"SINAI HOME INVESTMENTS LLC"</f>
        <v>SINAI HOME INVESTMENTS LLC</v>
      </c>
      <c r="C11524" s="1" t="str">
        <f>"ALBANY DR BLACKLICK ESTATES 1 78 "</f>
        <v xml:space="preserve">ALBANY DR BLACKLICK ESTATES 1 78 </v>
      </c>
      <c r="D11524" s="1">
        <v>2788.66</v>
      </c>
    </row>
    <row r="11525" spans="1:4" x14ac:dyDescent="0.3">
      <c r="A11525" s="1" t="str">
        <f>"22200196400"</f>
        <v>22200196400</v>
      </c>
      <c r="B11525" s="1" t="str">
        <f>"SINAI JAMEY"</f>
        <v>SINAI JAMEY</v>
      </c>
      <c r="C11525" s="1" t="str">
        <f>"6370 KITZMILLER RD R16 T2 1/4T1 1.480 ACRES"</f>
        <v>6370 KITZMILLER RD R16 T2 1/4T1 1.480 ACRES</v>
      </c>
      <c r="D11525" s="1">
        <v>9123.85</v>
      </c>
    </row>
    <row r="11526" spans="1:4" x14ac:dyDescent="0.3">
      <c r="A11526" s="1" t="str">
        <f>"59023043900"</f>
        <v>59023043900</v>
      </c>
      <c r="B11526" s="1" t="str">
        <f>"SINARA CAPITAL LLC"</f>
        <v>SINARA CAPITAL LLC</v>
      </c>
      <c r="C11526" s="1" t="str">
        <f>"DUBLIN GREEN CONDOMINIUM 1ST AMD UNIT 2303-312"</f>
        <v>DUBLIN GREEN CONDOMINIUM 1ST AMD UNIT 2303-312</v>
      </c>
      <c r="D11526" s="1">
        <v>5072</v>
      </c>
    </row>
    <row r="11527" spans="1:4" x14ac:dyDescent="0.3">
      <c r="A11527" s="1" t="str">
        <f>"01003023700"</f>
        <v>01003023700</v>
      </c>
      <c r="B11527" s="1" t="str">
        <f>"SINCE 1797 LLC"</f>
        <v>SINCE 1797 LLC</v>
      </c>
      <c r="C11527" s="1" t="str">
        <f>"328 S CENTRAL AVE DORENS CENTRAL AVE LOT 219"</f>
        <v>328 S CENTRAL AVE DORENS CENTRAL AVE LOT 219</v>
      </c>
      <c r="D11527" s="1">
        <v>529.89</v>
      </c>
    </row>
    <row r="11528" spans="1:4" x14ac:dyDescent="0.3">
      <c r="A11528" s="1" t="str">
        <f>"01004377500"</f>
        <v>01004377500</v>
      </c>
      <c r="B11528" s="1" t="str">
        <f>"SINCE 1797 LLC"</f>
        <v>SINCE 1797 LLC</v>
      </c>
      <c r="C11528" s="1" t="str">
        <f>"S CHAMPION AVE OLD ORCHARD ADD LOT 228 (30X146.01')"</f>
        <v>S CHAMPION AVE OLD ORCHARD ADD LOT 228 (30X146.01')</v>
      </c>
      <c r="D11528" s="1">
        <v>497.97</v>
      </c>
    </row>
    <row r="11529" spans="1:4" x14ac:dyDescent="0.3">
      <c r="A11529" s="1" t="str">
        <f>"05000423000"</f>
        <v>05000423000</v>
      </c>
      <c r="B11529" s="1" t="str">
        <f>"SINES ROBERT G III, SINES TAMARA R"</f>
        <v>SINES ROBERT G III, SINES TAMARA R</v>
      </c>
      <c r="C11529" s="1" t="str">
        <f>"3603 OARLOCK COURT RIVER LANDINGS SEC 2 LOT 144"</f>
        <v>3603 OARLOCK COURT RIVER LANDINGS SEC 2 LOT 144</v>
      </c>
      <c r="D11529" s="1">
        <v>474.94</v>
      </c>
    </row>
    <row r="11530" spans="1:4" x14ac:dyDescent="0.3">
      <c r="A11530" s="1" t="str">
        <f>"01005205300"</f>
        <v>01005205300</v>
      </c>
      <c r="B11530" s="1" t="str">
        <f>"SING DANIEL E, FRAME SING JOAN M"</f>
        <v>SING DANIEL E, FRAME SING JOAN M</v>
      </c>
      <c r="C11530" s="1" t="str">
        <f>"193 CLINTON HTS AVE CLINTONLANDCO LOT 29"</f>
        <v>193 CLINTON HTS AVE CLINTONLANDCO LOT 29</v>
      </c>
      <c r="D11530" s="1">
        <v>3244.82</v>
      </c>
    </row>
    <row r="11531" spans="1:4" x14ac:dyDescent="0.3">
      <c r="A11531" s="1" t="str">
        <f>"01028643200"</f>
        <v>01028643200</v>
      </c>
      <c r="B11531" s="1" t="str">
        <f>"SINGERMAN MAXWELL"</f>
        <v>SINGERMAN MAXWELL</v>
      </c>
      <c r="C11531" s="1" t="str">
        <f>"THE HARTMAN               CONDOMINIUM 1ST AMD       UNIT 511                 "</f>
        <v xml:space="preserve">THE HARTMAN               CONDOMINIUM 1ST AMD       UNIT 511                 </v>
      </c>
      <c r="D11531" s="1">
        <v>1672.51</v>
      </c>
    </row>
    <row r="11532" spans="1:4" x14ac:dyDescent="0.3">
      <c r="A11532" s="1" t="str">
        <f>"01028646600"</f>
        <v>01028646600</v>
      </c>
      <c r="B11532" s="1" t="str">
        <f>"SINGERMAN MAXWELL"</f>
        <v>SINGERMAN MAXWELL</v>
      </c>
      <c r="C11532" s="1" t="str">
        <f>"THE HARTMAN               CONDOMINIUM 1ST AMD       UNIT PU23                "</f>
        <v xml:space="preserve">THE HARTMAN               CONDOMINIUM 1ST AMD       UNIT PU23                </v>
      </c>
      <c r="D11532" s="1">
        <v>138.05000000000001</v>
      </c>
    </row>
    <row r="11533" spans="1:4" x14ac:dyDescent="0.3">
      <c r="A11533" s="1" t="str">
        <f>"02501022600"</f>
        <v>02501022600</v>
      </c>
      <c r="B11533" s="1" t="str">
        <f>"SINGH ARUN, SINGH SAROJ"</f>
        <v>SINGH ARUN, SINGH SAROJ</v>
      </c>
      <c r="C11533" s="1" t="str">
        <f>"VILLAS OF GAHANNA CONDO 2ND AMD BLDG 15 UNIT 1279"</f>
        <v>VILLAS OF GAHANNA CONDO 2ND AMD BLDG 15 UNIT 1279</v>
      </c>
      <c r="D11533" s="1">
        <v>4657.57</v>
      </c>
    </row>
    <row r="11534" spans="1:4" x14ac:dyDescent="0.3">
      <c r="A11534" s="1" t="str">
        <f>"27301183100"</f>
        <v>27301183100</v>
      </c>
      <c r="B11534" s="1" t="str">
        <f>"SINGH BALDEEP, CHANDOK RINKU"</f>
        <v>SINGH BALDEEP, CHANDOK RINKU</v>
      </c>
      <c r="C11534" s="1" t="str">
        <f>"MANOR AT CRAUGHWELL       VILLAGE CONDOMINIUM       BLDG 6 UNIT 6142         "</f>
        <v xml:space="preserve">MANOR AT CRAUGHWELL       VILLAGE CONDOMINIUM       BLDG 6 UNIT 6142         </v>
      </c>
      <c r="D11534" s="1">
        <v>1719.76</v>
      </c>
    </row>
    <row r="11535" spans="1:4" x14ac:dyDescent="0.3">
      <c r="A11535" s="1" t="str">
        <f>"06000535800"</f>
        <v>06000535800</v>
      </c>
      <c r="B11535" s="1" t="str">
        <f>"SINGH GURJIT"</f>
        <v>SINGH GURJIT</v>
      </c>
      <c r="C11535" s="1" t="str">
        <f>"GLACIER AVENUE AMD SUB OF ROSE HILL LOT 481"</f>
        <v>GLACIER AVENUE AMD SUB OF ROSE HILL LOT 481</v>
      </c>
      <c r="D11535" s="1">
        <v>653.59</v>
      </c>
    </row>
    <row r="11536" spans="1:4" x14ac:dyDescent="0.3">
      <c r="A11536" s="1" t="str">
        <f>"01022848700"</f>
        <v>01022848700</v>
      </c>
      <c r="B11536" s="1" t="str">
        <f>"SINGH GURMEET, KAUR-BURY GURVINDERJEET"</f>
        <v>SINGH GURMEET, KAUR-BURY GURVINDERJEET</v>
      </c>
      <c r="C11536" s="1" t="str">
        <f>"MCNEILL FARMS EAST CONDOMINIUM UNIT 11D"</f>
        <v>MCNEILL FARMS EAST CONDOMINIUM UNIT 11D</v>
      </c>
      <c r="D11536" s="1">
        <v>90.6</v>
      </c>
    </row>
    <row r="11537" spans="1:4" x14ac:dyDescent="0.3">
      <c r="A11537" s="1" t="str">
        <f>"01014743700"</f>
        <v>01014743700</v>
      </c>
      <c r="B11537" s="1" t="str">
        <f>"SINGH JAGDEEP, SINGH SUNITA"</f>
        <v>SINGH JAGDEEP, SINGH SUNITA</v>
      </c>
      <c r="C11537" s="1" t="str">
        <f>"SLATE RUN WOODS CHEVY CHASE COURT LOT 8"</f>
        <v>SLATE RUN WOODS CHEVY CHASE COURT LOT 8</v>
      </c>
      <c r="D11537" s="1">
        <v>580.26</v>
      </c>
    </row>
    <row r="11538" spans="1:4" x14ac:dyDescent="0.3">
      <c r="A11538" s="1" t="str">
        <f>"56021374000"</f>
        <v>56021374000</v>
      </c>
      <c r="B11538" s="1" t="str">
        <f>"SINGH LAMBER, SINGH BAKHSISH"</f>
        <v>SINGH LAMBER, SINGH BAKHSISH</v>
      </c>
      <c r="C11538" s="1" t="str">
        <f>"HARBOR BAY DRIVE RIVER PLACE SEC 1 LOT 24"</f>
        <v>HARBOR BAY DRIVE RIVER PLACE SEC 1 LOT 24</v>
      </c>
      <c r="D11538" s="1">
        <v>396.42</v>
      </c>
    </row>
    <row r="11539" spans="1:4" x14ac:dyDescent="0.3">
      <c r="A11539" s="1" t="str">
        <f>"59018020300"</f>
        <v>59018020300</v>
      </c>
      <c r="B11539" s="1" t="str">
        <f>"SINGH PARDEEP ROOPA, KUMAR AJAY K"</f>
        <v>SINGH PARDEEP ROOPA, KUMAR AJAY K</v>
      </c>
      <c r="C11539" s="1" t="str">
        <f>"MOORGATE DR MCKITRICK ESTATES 6 LOT 148"</f>
        <v>MOORGATE DR MCKITRICK ESTATES 6 LOT 148</v>
      </c>
      <c r="D11539" s="1">
        <v>396.03</v>
      </c>
    </row>
    <row r="11540" spans="1:4" x14ac:dyDescent="0.3">
      <c r="A11540" s="1" t="str">
        <f>"01008034000"</f>
        <v>01008034000</v>
      </c>
      <c r="B11540" s="1" t="str">
        <f>"SINGH PRATYUSH"</f>
        <v>SINGH PRATYUSH</v>
      </c>
      <c r="C11540" s="1" t="str">
        <f>"991 SEYMOUR AVE LENOX LOT 170"</f>
        <v>991 SEYMOUR AVE LENOX LOT 170</v>
      </c>
      <c r="D11540" s="1">
        <v>2527.64</v>
      </c>
    </row>
    <row r="11541" spans="1:4" x14ac:dyDescent="0.3">
      <c r="A11541" s="1" t="str">
        <f>"01002304700"</f>
        <v>01002304700</v>
      </c>
      <c r="B11541" s="1" t="str">
        <f>"SINGH PRATYUSH"</f>
        <v>SINGH PRATYUSH</v>
      </c>
      <c r="C11541" s="1" t="str">
        <f>"GILBERT ST16FT.S.S. HOMEVILLE LOT 30"</f>
        <v>GILBERT ST16FT.S.S. HOMEVILLE LOT 30</v>
      </c>
      <c r="D11541" s="1">
        <v>466.69</v>
      </c>
    </row>
    <row r="11542" spans="1:4" x14ac:dyDescent="0.3">
      <c r="A11542" s="1" t="str">
        <f>"01003694200"</f>
        <v>01003694200</v>
      </c>
      <c r="B11542" s="1" t="str">
        <f>"SINGH PRATYUSH"</f>
        <v>SINGH PRATYUSH</v>
      </c>
      <c r="C11542" s="1" t="str">
        <f>"600 BERKELEY RD LINEN PLACE SUB 24"</f>
        <v>600 BERKELEY RD LINEN PLACE SUB 24</v>
      </c>
      <c r="D11542" s="1">
        <v>3030.66</v>
      </c>
    </row>
    <row r="11543" spans="1:4" x14ac:dyDescent="0.3">
      <c r="A11543" s="1" t="str">
        <f>"01007011300"</f>
        <v>01007011300</v>
      </c>
      <c r="B11543" s="1" t="str">
        <f>"SINGH PRATYUSH"</f>
        <v>SINGH PRATYUSH</v>
      </c>
      <c r="C11543" s="1" t="str">
        <f>"DLEBERT RD MULBUR PARK LOT 120"</f>
        <v>DLEBERT RD MULBUR PARK LOT 120</v>
      </c>
      <c r="D11543" s="1">
        <v>2970.11</v>
      </c>
    </row>
    <row r="11544" spans="1:4" x14ac:dyDescent="0.3">
      <c r="A11544" s="1" t="str">
        <f>"01001373200"</f>
        <v>01001373200</v>
      </c>
      <c r="B11544" s="1" t="str">
        <f>"SINGH PRATYUSH"</f>
        <v>SINGH PRATYUSH</v>
      </c>
      <c r="C11544" s="1" t="str">
        <f>"GILBERT ST HOMEVILLE LOT 31"</f>
        <v>GILBERT ST HOMEVILLE LOT 31</v>
      </c>
      <c r="D11544" s="1">
        <v>3847.24</v>
      </c>
    </row>
    <row r="11545" spans="1:4" x14ac:dyDescent="0.3">
      <c r="A11545" s="1" t="str">
        <f>"01028231400"</f>
        <v>01028231400</v>
      </c>
      <c r="B11545" s="1" t="str">
        <f>"SINGH PRATYUSH"</f>
        <v>SINGH PRATYUSH</v>
      </c>
      <c r="C11545" s="1" t="str">
        <f>"TRADITIONS AT CREEKVIEW CONDOMINIUMS 3RD AMD BLDG 19 UNIT 5254"</f>
        <v>TRADITIONS AT CREEKVIEW CONDOMINIUMS 3RD AMD BLDG 19 UNIT 5254</v>
      </c>
      <c r="D11545" s="1">
        <v>2391.94</v>
      </c>
    </row>
    <row r="11546" spans="1:4" x14ac:dyDescent="0.3">
      <c r="A11546" s="1" t="str">
        <f>"01016159300"</f>
        <v>01016159300</v>
      </c>
      <c r="B11546" s="1" t="str">
        <f>"SINGH PRATYUSH"</f>
        <v>SINGH PRATYUSH</v>
      </c>
      <c r="C11546" s="1" t="str">
        <f>"WINDING CREEK CONDOMINIUM LOT C-3"</f>
        <v>WINDING CREEK CONDOMINIUM LOT C-3</v>
      </c>
      <c r="D11546" s="1">
        <v>1717.11</v>
      </c>
    </row>
    <row r="11547" spans="1:4" x14ac:dyDescent="0.3">
      <c r="A11547" s="1" t="str">
        <f>"01016159700"</f>
        <v>01016159700</v>
      </c>
      <c r="B11547" s="1" t="str">
        <f>"SINGH PRATYUSH"</f>
        <v>SINGH PRATYUSH</v>
      </c>
      <c r="C11547" s="1" t="str">
        <f>"WINDING CREEK CONDOMINIUM LOT D-1"</f>
        <v>WINDING CREEK CONDOMINIUM LOT D-1</v>
      </c>
      <c r="D11547" s="1">
        <v>1771.1</v>
      </c>
    </row>
    <row r="11548" spans="1:4" x14ac:dyDescent="0.3">
      <c r="A11548" s="1" t="str">
        <f>"01023550500"</f>
        <v>01023550500</v>
      </c>
      <c r="B11548" s="1" t="str">
        <f>"SINGH PRATYUSH"</f>
        <v>SINGH PRATYUSH</v>
      </c>
      <c r="C11548" s="1" t="str">
        <f>"MC NEILL FARMS EAST CONDOMINIUM 21ST AMD UNIT 57B"</f>
        <v>MC NEILL FARMS EAST CONDOMINIUM 21ST AMD UNIT 57B</v>
      </c>
      <c r="D11548" s="1">
        <v>2631.39</v>
      </c>
    </row>
    <row r="11549" spans="1:4" x14ac:dyDescent="0.3">
      <c r="A11549" s="1" t="str">
        <f>"01001732400"</f>
        <v>01001732400</v>
      </c>
      <c r="B11549" s="1" t="str">
        <f>"SINGH PRATYUSH, SINHA PUJA"</f>
        <v>SINGH PRATYUSH, SINHA PUJA</v>
      </c>
      <c r="C11549" s="1" t="str">
        <f>"WILSONAVEN1/2EX7.5 FTEENDEDGEWOODACRES LOT 78"</f>
        <v>WILSONAVEN1/2EX7.5 FTEENDEDGEWOODACRES LOT 78</v>
      </c>
      <c r="D11549" s="1">
        <v>4272.58</v>
      </c>
    </row>
    <row r="11550" spans="1:4" x14ac:dyDescent="0.3">
      <c r="A11550" s="1" t="str">
        <f>"19000507200"</f>
        <v>19000507200</v>
      </c>
      <c r="B11550" s="1" t="str">
        <f>"SINGH SANDEEP"</f>
        <v>SINGH SANDEEP</v>
      </c>
      <c r="C11550" s="1" t="str">
        <f>"2471 SUNBURY RD WILCOX &amp; LOEHNERTS SUNBURY EST 1"</f>
        <v>2471 SUNBURY RD WILCOX &amp; LOEHNERTS SUNBURY EST 1</v>
      </c>
      <c r="D11550" s="1">
        <v>2113.34</v>
      </c>
    </row>
    <row r="11551" spans="1:4" x14ac:dyDescent="0.3">
      <c r="A11551" s="1" t="str">
        <f>"07001268000"</f>
        <v>07001268000</v>
      </c>
      <c r="B11551" s="1" t="str">
        <f>"SINGH SARVJOT PAL"</f>
        <v>SINGH SARVJOT PAL</v>
      </c>
      <c r="C11551" s="1" t="str">
        <f>"BRANFORD VILLAGE CONDOMINIUM BLDG 15 UNIT 70"</f>
        <v>BRANFORD VILLAGE CONDOMINIUM BLDG 15 UNIT 70</v>
      </c>
      <c r="D11551" s="1">
        <v>185.08</v>
      </c>
    </row>
    <row r="11552" spans="1:4" x14ac:dyDescent="0.3">
      <c r="A11552" s="1" t="str">
        <f>"01014973800"</f>
        <v>01014973800</v>
      </c>
      <c r="B11552" s="1" t="str">
        <f>"SINGH SHRADDHA, SINGH SHALABH, SINGH SHOBHA D"</f>
        <v>SINGH SHRADDHA, SINGH SHALABH, SINGH SHOBHA D</v>
      </c>
      <c r="C11552" s="1" t="str">
        <f>"WYNWOOD COURT KNOLLS WEST SEC #5 LOT 247"</f>
        <v>WYNWOOD COURT KNOLLS WEST SEC #5 LOT 247</v>
      </c>
      <c r="D11552" s="1">
        <v>288.66000000000003</v>
      </c>
    </row>
    <row r="11553" spans="1:4" x14ac:dyDescent="0.3">
      <c r="A11553" s="1" t="str">
        <f>"05000717000"</f>
        <v>05000717000</v>
      </c>
      <c r="B11553" s="1" t="str">
        <f>"SINGH SUKHDEV, KAUR SANDEEP"</f>
        <v>SINGH SUKHDEV, KAUR SANDEEP</v>
      </c>
      <c r="C11553" s="1" t="str">
        <f>"DAVIDSON RUN DR DAVIDSON RUN SEC 1 LOT 34"</f>
        <v>DAVIDSON RUN DR DAVIDSON RUN SEC 1 LOT 34</v>
      </c>
      <c r="D11553" s="1">
        <v>5131.3999999999996</v>
      </c>
    </row>
    <row r="11554" spans="1:4" x14ac:dyDescent="0.3">
      <c r="A11554" s="1" t="str">
        <f>"22000038500"</f>
        <v>22000038500</v>
      </c>
      <c r="B11554" s="1" t="str">
        <f>"SINGING FROG FARM LLC"</f>
        <v>SINGING FROG FARM LLC</v>
      </c>
      <c r="C11554" s="1" t="str">
        <f>"5600 MORSE RD R16 T2 S3 26.807 ACRES"</f>
        <v>5600 MORSE RD R16 T2 S3 26.807 ACRES</v>
      </c>
      <c r="D11554" s="1">
        <v>2064.13</v>
      </c>
    </row>
    <row r="11555" spans="1:4" x14ac:dyDescent="0.3">
      <c r="A11555" s="1" t="str">
        <f>"01016234000"</f>
        <v>01016234000</v>
      </c>
      <c r="B11555" s="1" t="str">
        <f>"SINGLE FAMILY PROPERTY MANAGEMENT INC"</f>
        <v>SINGLE FAMILY PROPERTY MANAGEMENT INC</v>
      </c>
      <c r="C11555" s="1" t="str">
        <f>"KIMBERLY VILLAS CON PHASE IV UNIT 24 C"</f>
        <v>KIMBERLY VILLAS CON PHASE IV UNIT 24 C</v>
      </c>
      <c r="D11555" s="1">
        <v>684.59</v>
      </c>
    </row>
    <row r="11556" spans="1:4" x14ac:dyDescent="0.3">
      <c r="A11556" s="1" t="str">
        <f>"01026224900"</f>
        <v>01026224900</v>
      </c>
      <c r="B11556" s="1" t="str">
        <f>"SINGLE FAMILY RESIDENCE HOLDINGS LLC"</f>
        <v>SINGLE FAMILY RESIDENCE HOLDINGS LLC</v>
      </c>
      <c r="C11556" s="1" t="str">
        <f>"ANNMARY ROAD EDGEWATER SECTION 4 LOT 276"</f>
        <v>ANNMARY ROAD EDGEWATER SECTION 4 LOT 276</v>
      </c>
      <c r="D11556" s="1">
        <v>2609.02</v>
      </c>
    </row>
    <row r="11557" spans="1:4" x14ac:dyDescent="0.3">
      <c r="A11557" s="1" t="str">
        <f>"09000089400"</f>
        <v>09000089400</v>
      </c>
      <c r="B11557" s="1" t="str">
        <f>"SINGLETON T J II"</f>
        <v>SINGLETON T J II</v>
      </c>
      <c r="C11557" s="1" t="str">
        <f>"NORTON LANE NORTON FIELD PLAT 1 177 "</f>
        <v xml:space="preserve">NORTON LANE NORTON FIELD PLAT 1 177 </v>
      </c>
      <c r="D11557" s="1">
        <v>1141.1600000000001</v>
      </c>
    </row>
    <row r="11558" spans="1:4" x14ac:dyDescent="0.3">
      <c r="A11558" s="1" t="str">
        <f>"01012728300"</f>
        <v>01012728300</v>
      </c>
      <c r="B11558" s="1" t="str">
        <f>"SINHA PUJA"</f>
        <v>SINHA PUJA</v>
      </c>
      <c r="C11558" s="1" t="str">
        <f>"YORKLANE NORTH YORKSHIRE LOT 133"</f>
        <v>YORKLANE NORTH YORKSHIRE LOT 133</v>
      </c>
      <c r="D11558" s="1">
        <v>3916.9</v>
      </c>
    </row>
    <row r="11559" spans="1:4" x14ac:dyDescent="0.3">
      <c r="A11559" s="1" t="str">
        <f>"01013283700"</f>
        <v>01013283700</v>
      </c>
      <c r="B11559" s="1" t="str">
        <f>"SINPHANNGAM APHINYA, SINGRATSOMBOUNE LUTFARSAI FARSAI, SINGRATSOMBOUNE SOUKVILAY, SINGRATSOMBOUNE SOUKSAMAY"</f>
        <v>SINPHANNGAM APHINYA, SINGRATSOMBOUNE LUTFARSAI FARSAI, SINGRATSOMBOUNE SOUKVILAY, SINGRATSOMBOUNE SOUKSAMAY</v>
      </c>
      <c r="C11559" s="1" t="str">
        <f>"ELDORN DR E INNIS GARDENS 3 LOT 15"</f>
        <v>ELDORN DR E INNIS GARDENS 3 LOT 15</v>
      </c>
      <c r="D11559" s="1">
        <v>2514.5700000000002</v>
      </c>
    </row>
    <row r="11560" spans="1:4" x14ac:dyDescent="0.3">
      <c r="A11560" s="1" t="str">
        <f>"01003690400"</f>
        <v>01003690400</v>
      </c>
      <c r="B11560" s="1" t="str">
        <f>"SINTOV NICOLE, LAVETTI KURT J"</f>
        <v>SINTOV NICOLE, LAVETTI KURT J</v>
      </c>
      <c r="C11560" s="1" t="str">
        <f>"JAEGER LOT 68 "</f>
        <v xml:space="preserve">JAEGER LOT 68 </v>
      </c>
      <c r="D11560" s="1">
        <v>5000.59</v>
      </c>
    </row>
    <row r="11561" spans="1:4" x14ac:dyDescent="0.3">
      <c r="A11561" s="1" t="str">
        <f>"04000794700"</f>
        <v>04000794700</v>
      </c>
      <c r="B11561" s="1" t="str">
        <f>"SIPHOLDINGS LLC"</f>
        <v>SIPHOLDINGS LLC</v>
      </c>
      <c r="C11561" s="1" t="str">
        <f>"3826 N BROADWAY OQ 2000 ENTRY 1388 0.232 ACRE"</f>
        <v>3826 N BROADWAY OQ 2000 ENTRY 1388 0.232 ACRE</v>
      </c>
      <c r="D11561" s="1">
        <v>245.78</v>
      </c>
    </row>
    <row r="11562" spans="1:4" x14ac:dyDescent="0.3">
      <c r="A11562" s="1" t="str">
        <f>"04000218800"</f>
        <v>04000218800</v>
      </c>
      <c r="B11562" s="1" t="str">
        <f>"SIPHOLDINGS LLC"</f>
        <v>SIPHOLDINGS LLC</v>
      </c>
      <c r="C11562" s="1" t="str">
        <f>"4213 HOOVER ROAD GROVE CITY HTS 180'WS LOT 4"</f>
        <v>4213 HOOVER ROAD GROVE CITY HTS 180'WS LOT 4</v>
      </c>
      <c r="D11562" s="1">
        <v>5611.34</v>
      </c>
    </row>
    <row r="11563" spans="1:4" x14ac:dyDescent="0.3">
      <c r="A11563" s="1" t="str">
        <f>"01005936200"</f>
        <v>01005936200</v>
      </c>
      <c r="B11563" s="1" t="str">
        <f>"SIRRAH PROPERTY INVESTMENTS LLC"</f>
        <v>SIRRAH PROPERTY INVESTMENTS LLC</v>
      </c>
      <c r="C11563" s="1" t="str">
        <f>"1457 ARLINGTON AVE WALDON LOT 69-70 "</f>
        <v xml:space="preserve">1457 ARLINGTON AVE WALDON LOT 69-70 </v>
      </c>
      <c r="D11563" s="1">
        <v>947.75</v>
      </c>
    </row>
    <row r="11564" spans="1:4" x14ac:dyDescent="0.3">
      <c r="A11564" s="1" t="str">
        <f>"02500934400"</f>
        <v>02500934400</v>
      </c>
      <c r="B11564" s="1" t="str">
        <f>"SISAY-JOHN MARIAMA TTEE"</f>
        <v>SISAY-JOHN MARIAMA TTEE</v>
      </c>
      <c r="C11564" s="1" t="str">
        <f>"WOODSIDE LAKE DRIVE WOODSIDE GREEN SOUTH SECTION 3 LOT 165"</f>
        <v>WOODSIDE LAKE DRIVE WOODSIDE GREEN SOUTH SECTION 3 LOT 165</v>
      </c>
      <c r="D11564" s="1">
        <v>8982.44</v>
      </c>
    </row>
    <row r="11565" spans="1:4" x14ac:dyDescent="0.3">
      <c r="A11565" s="1" t="str">
        <f>"60016865300"</f>
        <v>60016865300</v>
      </c>
      <c r="B11565" s="1" t="str">
        <f>"SISTERS REAL ESTATE CO LLC"</f>
        <v>SISTERS REAL ESTATE CO LLC</v>
      </c>
      <c r="C11565" s="1" t="str">
        <f>"2538 MORSE RD             R17 T2 1/4T3              PT LOT 9                 "</f>
        <v xml:space="preserve">2538 MORSE RD             R17 T2 1/4T3              PT LOT 9                 </v>
      </c>
      <c r="D11565" s="1">
        <v>11391.5</v>
      </c>
    </row>
    <row r="11566" spans="1:4" x14ac:dyDescent="0.3">
      <c r="A11566" s="1" t="str">
        <f>"01004171300"</f>
        <v>01004171300</v>
      </c>
      <c r="B11566" s="1" t="str">
        <f>"SJG1 LLC"</f>
        <v>SJG1 LLC</v>
      </c>
      <c r="C11566" s="1" t="str">
        <f>"DENNISON PLACE LOT 182 "</f>
        <v xml:space="preserve">DENNISON PLACE LOT 182 </v>
      </c>
      <c r="D11566" s="1">
        <v>562.96</v>
      </c>
    </row>
    <row r="11567" spans="1:4" x14ac:dyDescent="0.3">
      <c r="A11567" s="1" t="str">
        <f>"01002080300"</f>
        <v>01002080300</v>
      </c>
      <c r="B11567" s="1" t="str">
        <f>"SJK CAPITAL INVESTMENTS LLC"</f>
        <v>SJK CAPITAL INVESTMENTS LLC</v>
      </c>
      <c r="C11567" s="1" t="str">
        <f>"360 N GARFIELD AVE JONES ADDITION LOT 92 &amp; PT LOT 93"</f>
        <v>360 N GARFIELD AVE JONES ADDITION LOT 92 &amp; PT LOT 93</v>
      </c>
      <c r="D11567" s="1">
        <v>2170.84</v>
      </c>
    </row>
    <row r="11568" spans="1:4" x14ac:dyDescent="0.3">
      <c r="A11568" s="1" t="str">
        <f>"27300836100"</f>
        <v>27300836100</v>
      </c>
      <c r="B11568" s="1" t="str">
        <f>"SK INVESTMENTS SAWMILL COLUMBUS LLC"</f>
        <v>SK INVESTMENTS SAWMILL COLUMBUS LLC</v>
      </c>
      <c r="C11568" s="1" t="str">
        <f>"MARTIN RD R19 T2 1/4T3 3.5984 ACRES"</f>
        <v>MARTIN RD R19 T2 1/4T3 3.5984 ACRES</v>
      </c>
      <c r="D11568" s="1">
        <v>7066.06</v>
      </c>
    </row>
    <row r="11569" spans="1:4" x14ac:dyDescent="0.3">
      <c r="A11569" s="1" t="str">
        <f>"01012215000"</f>
        <v>01012215000</v>
      </c>
      <c r="B11569" s="1" t="str">
        <f>"SKAGGS KEVIN J"</f>
        <v>SKAGGS KEVIN J</v>
      </c>
      <c r="C11569" s="1" t="str">
        <f>"SEXTON DR GEORGIAN HTS LOT 21"</f>
        <v>SEXTON DR GEORGIAN HTS LOT 21</v>
      </c>
      <c r="D11569" s="1">
        <v>2457.41</v>
      </c>
    </row>
    <row r="11570" spans="1:4" x14ac:dyDescent="0.3">
      <c r="A11570" s="1" t="str">
        <f>"16100014900"</f>
        <v>16100014900</v>
      </c>
      <c r="B11570" s="1" t="str">
        <f>"SKEATON KENNETH M"</f>
        <v>SKEATON KENNETH M</v>
      </c>
      <c r="C11570" s="1" t="str">
        <f>"3RD AVE URBANCREST LOTS 7-9 BLK 5"</f>
        <v>3RD AVE URBANCREST LOTS 7-9 BLK 5</v>
      </c>
      <c r="D11570" s="1">
        <v>1471.69</v>
      </c>
    </row>
    <row r="11571" spans="1:4" x14ac:dyDescent="0.3">
      <c r="A11571" s="1" t="str">
        <f>"01002801100"</f>
        <v>01002801100</v>
      </c>
      <c r="B11571" s="1" t="str">
        <f>"SKESTOS ALEXANDRA T"</f>
        <v>SKESTOS ALEXANDRA T</v>
      </c>
      <c r="C11571" s="1" t="str">
        <f>"71 PRESTON RD MARION HTS LOT 27"</f>
        <v>71 PRESTON RD MARION HTS LOT 27</v>
      </c>
      <c r="D11571" s="1">
        <v>1486.63</v>
      </c>
    </row>
    <row r="11572" spans="1:4" x14ac:dyDescent="0.3">
      <c r="A11572" s="1" t="str">
        <f>"01023538500"</f>
        <v>01023538500</v>
      </c>
      <c r="B11572" s="1" t="str">
        <f>"SKESTOS ALEXANDRA T"</f>
        <v>SKESTOS ALEXANDRA T</v>
      </c>
      <c r="C11572" s="1" t="str">
        <f>"PRESTON ROAD MARION HTS LOT 26"</f>
        <v>PRESTON ROAD MARION HTS LOT 26</v>
      </c>
      <c r="D11572" s="1">
        <v>293.63</v>
      </c>
    </row>
    <row r="11573" spans="1:4" x14ac:dyDescent="0.3">
      <c r="A11573" s="1" t="str">
        <f>"02500010000"</f>
        <v>02500010000</v>
      </c>
      <c r="B11573" s="1" t="str">
        <f>"SKIN &amp; SUGAR RE LLC"</f>
        <v>SKIN &amp; SUGAR RE LLC</v>
      </c>
      <c r="C11573" s="1" t="str">
        <f>"63 MILL ST                CITY OF GAHANNA           PT LOT 2=0.0587 ACRE     "</f>
        <v xml:space="preserve">63 MILL ST                CITY OF GAHANNA           PT LOT 2=0.0587 ACRE     </v>
      </c>
      <c r="D11573" s="1">
        <v>1516.56</v>
      </c>
    </row>
    <row r="11574" spans="1:4" x14ac:dyDescent="0.3">
      <c r="A11574" s="1" t="str">
        <f>"02500009700"</f>
        <v>02500009700</v>
      </c>
      <c r="B11574" s="1" t="str">
        <f>"SKIN &amp; SUGAR RE LLC"</f>
        <v>SKIN &amp; SUGAR RE LLC</v>
      </c>
      <c r="C11574" s="1" t="str">
        <f>"97 MILL ST                25FT MID PT OF 2          LOT 2                    "</f>
        <v xml:space="preserve">97 MILL ST                25FT MID PT OF 2          LOT 2                    </v>
      </c>
      <c r="D11574" s="1">
        <v>14567.64</v>
      </c>
    </row>
    <row r="11575" spans="1:4" x14ac:dyDescent="0.3">
      <c r="A11575" s="1" t="str">
        <f>"02501210900"</f>
        <v>02501210900</v>
      </c>
      <c r="B11575" s="1" t="str">
        <f>"SKIN &amp; SUGAR RE LLC"</f>
        <v>SKIN &amp; SUGAR RE LLC</v>
      </c>
      <c r="C11575" s="1" t="str">
        <f>"MILL ST CITY OF GAHANNA PT LOT 2=0.0196 ACRE"</f>
        <v>MILL ST CITY OF GAHANNA PT LOT 2=0.0196 ACRE</v>
      </c>
      <c r="D11575" s="1">
        <v>547.67999999999995</v>
      </c>
    </row>
    <row r="11576" spans="1:4" x14ac:dyDescent="0.3">
      <c r="A11576" s="1" t="str">
        <f>"02501300300"</f>
        <v>02501300300</v>
      </c>
      <c r="B11576" s="1" t="str">
        <f>"SKIN &amp; SUGAR RE LLC"</f>
        <v>SKIN &amp; SUGAR RE LLC</v>
      </c>
      <c r="C11576" s="1" t="str">
        <f>"MILL ST REAR              GAHANNA                   0.0264 ACRE              "</f>
        <v xml:space="preserve">MILL ST REAR              GAHANNA                   0.0264 ACRE              </v>
      </c>
      <c r="D11576" s="1">
        <v>59.76</v>
      </c>
    </row>
    <row r="11577" spans="1:4" x14ac:dyDescent="0.3">
      <c r="A11577" s="1" t="str">
        <f>"14000376800"</f>
        <v>14000376800</v>
      </c>
      <c r="B11577" s="1" t="str">
        <f>"SKINNER MICHAEL ROBERT JR, SKINNER DANIELLE RENEE"</f>
        <v>SKINNER MICHAEL ROBERT JR, SKINNER DANIELLE RENEE</v>
      </c>
      <c r="C11577" s="1" t="str">
        <f>"3359 FISHER ROAD ENTRY 875 LOT 5 1.917 ACRES"</f>
        <v>3359 FISHER ROAD ENTRY 875 LOT 5 1.917 ACRES</v>
      </c>
      <c r="D11577" s="1">
        <v>2296.4499999999998</v>
      </c>
    </row>
    <row r="11578" spans="1:4" x14ac:dyDescent="0.3">
      <c r="A11578" s="1" t="str">
        <f>"53021851700"</f>
        <v>53021851700</v>
      </c>
      <c r="B11578" s="1" t="str">
        <f>"SKINNER REX M, SKINNER CHERYL LYNN"</f>
        <v>SKINNER REX M, SKINNER CHERYL LYNN</v>
      </c>
      <c r="C11578" s="1" t="str">
        <f>"INDEPENDENCE SQUARE SECTION 5 PART 1 LOT 263"</f>
        <v>INDEPENDENCE SQUARE SECTION 5 PART 1 LOT 263</v>
      </c>
      <c r="D11578" s="1">
        <v>3529.31</v>
      </c>
    </row>
    <row r="11579" spans="1:4" x14ac:dyDescent="0.3">
      <c r="A11579" s="1" t="str">
        <f>"02501146200"</f>
        <v>02501146200</v>
      </c>
      <c r="B11579" s="1" t="str">
        <f>"SKL RENTALS LLC"</f>
        <v>SKL RENTALS LLC</v>
      </c>
      <c r="C11579" s="1" t="str">
        <f>"HARRISON POND VILLAGES AT ROCKY FORK SEC 7 LOT 188"</f>
        <v>HARRISON POND VILLAGES AT ROCKY FORK SEC 7 LOT 188</v>
      </c>
      <c r="D11579" s="1">
        <v>656.37</v>
      </c>
    </row>
    <row r="11580" spans="1:4" x14ac:dyDescent="0.3">
      <c r="A11580" s="1" t="str">
        <f>"04000182200"</f>
        <v>04000182200</v>
      </c>
      <c r="B11580" s="1" t="str">
        <f>"SKOLDS PROPERTIES LLC"</f>
        <v>SKOLDS PROPERTIES LLC</v>
      </c>
      <c r="C11580" s="1" t="str">
        <f>"2966 LOUISE AVE JACKSON HOMES 55 "</f>
        <v xml:space="preserve">2966 LOUISE AVE JACKSON HOMES 55 </v>
      </c>
      <c r="D11580" s="1">
        <v>3605.59</v>
      </c>
    </row>
    <row r="11581" spans="1:4" x14ac:dyDescent="0.3">
      <c r="A11581" s="1" t="str">
        <f>"04000179200"</f>
        <v>04000179200</v>
      </c>
      <c r="B11581" s="1" t="str">
        <f>"SKOLDS PROPERTIES LLC"</f>
        <v>SKOLDS PROPERTIES LLC</v>
      </c>
      <c r="C11581" s="1" t="str">
        <f>"2966 CAROL AVE JACKSON HOMES LOT 22"</f>
        <v>2966 CAROL AVE JACKSON HOMES LOT 22</v>
      </c>
      <c r="D11581" s="1">
        <v>4189.7</v>
      </c>
    </row>
    <row r="11582" spans="1:4" x14ac:dyDescent="0.3">
      <c r="A11582" s="1" t="str">
        <f>"01000040900"</f>
        <v>01000040900</v>
      </c>
      <c r="B11582" s="1" t="str">
        <f>"SKOLDS PROPERTIES LLC"</f>
        <v>SKOLDS PROPERTIES LLC</v>
      </c>
      <c r="C11582" s="1" t="str">
        <f>"779-81 KERR ST            W A GILL 3RD              N MID PT LOT 50          "</f>
        <v xml:space="preserve">779-81 KERR ST            W A GILL 3RD              N MID PT LOT 50          </v>
      </c>
      <c r="D11582" s="1">
        <v>9401.59</v>
      </c>
    </row>
    <row r="11583" spans="1:4" x14ac:dyDescent="0.3">
      <c r="A11583" s="1" t="str">
        <f>"15300041600"</f>
        <v>15300041600</v>
      </c>
      <c r="B11583" s="1" t="str">
        <f>"SKOURN RAYMOND JOHN JR, SKOURN LORETTA"</f>
        <v>SKOURN RAYMOND JOHN JR, SKOURN LORETTA</v>
      </c>
      <c r="C11583" s="1" t="str">
        <f>"MAUREEN BLVD S ELKS ACRES SEC 2 LOT 146"</f>
        <v>MAUREEN BLVD S ELKS ACRES SEC 2 LOT 146</v>
      </c>
      <c r="D11583" s="1">
        <v>35.6</v>
      </c>
    </row>
    <row r="11584" spans="1:4" x14ac:dyDescent="0.3">
      <c r="A11584" s="1" t="str">
        <f>"57015397000"</f>
        <v>57015397000</v>
      </c>
      <c r="B11584" s="1" t="str">
        <f>"SKRUCK BRYAN"</f>
        <v>SKRUCK BRYAN</v>
      </c>
      <c r="C11584" s="1" t="str">
        <f>"GREENVILLE RD RIVER BEND SEC 4 LOT 387"</f>
        <v>GREENVILLE RD RIVER BEND SEC 4 LOT 387</v>
      </c>
      <c r="D11584" s="1">
        <v>93.14</v>
      </c>
    </row>
    <row r="11585" spans="1:4" x14ac:dyDescent="0.3">
      <c r="A11585" s="1" t="str">
        <f>"01024621400"</f>
        <v>01024621400</v>
      </c>
      <c r="B11585" s="1" t="str">
        <f>"SKRUCK BRYAN"</f>
        <v>SKRUCK BRYAN</v>
      </c>
      <c r="C11585" s="1" t="str">
        <f>"ANDY TERRACE EDMAR TARIS SUBDIV SECTION 1 LOT 9"</f>
        <v>ANDY TERRACE EDMAR TARIS SUBDIV SECTION 1 LOT 9</v>
      </c>
      <c r="D11585" s="1">
        <v>165.6</v>
      </c>
    </row>
    <row r="11586" spans="1:4" x14ac:dyDescent="0.3">
      <c r="A11586" s="1" t="str">
        <f>"01013739600"</f>
        <v>01013739600</v>
      </c>
      <c r="B11586" s="1" t="str">
        <f>"SKRUCK BRYAN"</f>
        <v>SKRUCK BRYAN</v>
      </c>
      <c r="C11586" s="1" t="str">
        <f>"ROBERTS PLACE INNIS GARDENS 4 LOT 58"</f>
        <v>ROBERTS PLACE INNIS GARDENS 4 LOT 58</v>
      </c>
      <c r="D11586" s="1">
        <v>91.71</v>
      </c>
    </row>
    <row r="11587" spans="1:4" x14ac:dyDescent="0.3">
      <c r="A11587" s="1" t="str">
        <f>"01025900400"</f>
        <v>01025900400</v>
      </c>
      <c r="B11587" s="1" t="str">
        <f>"SKRUCK BRYAN"</f>
        <v>SKRUCK BRYAN</v>
      </c>
      <c r="C11587" s="1" t="str">
        <f>"VILLAGE AT GALLOWAY RIDGE S-F HOMES CONDO (3RD AMD) HOME DESIGNATION 91"</f>
        <v>VILLAGE AT GALLOWAY RIDGE S-F HOMES CONDO (3RD AMD) HOME DESIGNATION 91</v>
      </c>
      <c r="D11587" s="1">
        <v>151.08000000000001</v>
      </c>
    </row>
    <row r="11588" spans="1:4" x14ac:dyDescent="0.3">
      <c r="A11588" s="1" t="str">
        <f>"24000591500"</f>
        <v>24000591500</v>
      </c>
      <c r="B11588" s="1" t="str">
        <f>"SKRUCK BRYAN W"</f>
        <v>SKRUCK BRYAN W</v>
      </c>
      <c r="C11588" s="1" t="str">
        <f>"GLENFORD VILL CONDMN UNIT 7-3C "</f>
        <v xml:space="preserve">GLENFORD VILL CONDMN UNIT 7-3C </v>
      </c>
      <c r="D11588" s="1">
        <v>44.46</v>
      </c>
    </row>
    <row r="11589" spans="1:4" x14ac:dyDescent="0.3">
      <c r="A11589" s="1" t="str">
        <f>"18000232400"</f>
        <v>18000232400</v>
      </c>
      <c r="B11589" s="1" t="str">
        <f>"SKUNZA MICHAEL A, SKUNZA CHERYL K"</f>
        <v>SKUNZA MICHAEL A, SKUNZA CHERYL K</v>
      </c>
      <c r="C11589" s="1" t="str">
        <f>"CHIPMAN DR BLACKLICK ESTATES 1 LOT 466"</f>
        <v>CHIPMAN DR BLACKLICK ESTATES 1 LOT 466</v>
      </c>
      <c r="D11589" s="1">
        <v>1632.74</v>
      </c>
    </row>
    <row r="11590" spans="1:4" x14ac:dyDescent="0.3">
      <c r="A11590" s="1" t="str">
        <f>"01015372700"</f>
        <v>01015372700</v>
      </c>
      <c r="B11590" s="1" t="str">
        <f>"SKY FLOWER LLC"</f>
        <v>SKY FLOWER LLC</v>
      </c>
      <c r="C11590" s="1" t="str">
        <f>"FISHER RD ENTRY 530 LOT 6 2.982 ACRES"</f>
        <v>FISHER RD ENTRY 530 LOT 6 2.982 ACRES</v>
      </c>
      <c r="D11590" s="1">
        <v>22180.69</v>
      </c>
    </row>
    <row r="11591" spans="1:4" x14ac:dyDescent="0.3">
      <c r="A11591" s="1" t="str">
        <f>"04000629400"</f>
        <v>04000629400</v>
      </c>
      <c r="B11591" s="1" t="str">
        <f>"SKYBEAM REALTY 3 OHIO LLC"</f>
        <v>SKYBEAM REALTY 3 OHIO LLC</v>
      </c>
      <c r="C11591" s="1" t="str">
        <f>"2711-713 HOME ROAD WALDEN BLUFFS LOT 2"</f>
        <v>2711-713 HOME ROAD WALDEN BLUFFS LOT 2</v>
      </c>
      <c r="D11591" s="1">
        <v>195.08</v>
      </c>
    </row>
    <row r="11592" spans="1:4" x14ac:dyDescent="0.3">
      <c r="A11592" s="1" t="str">
        <f>"01024010800"</f>
        <v>01024010800</v>
      </c>
      <c r="B11592" s="1" t="str">
        <f>"SKYLAND HOLDINGS LLC"</f>
        <v>SKYLAND HOLDINGS LLC</v>
      </c>
      <c r="C11592" s="1" t="str">
        <f>"3000 MORSE RD R17 T2 1/4T3 2.073 ACRES"</f>
        <v>3000 MORSE RD R17 T2 1/4T3 2.073 ACRES</v>
      </c>
      <c r="D11592" s="1">
        <v>17185.59</v>
      </c>
    </row>
    <row r="11593" spans="1:4" x14ac:dyDescent="0.3">
      <c r="A11593" s="1" t="str">
        <f>"01013528900"</f>
        <v>01013528900</v>
      </c>
      <c r="B11593" s="1" t="str">
        <f>"SLADE KELLY L"</f>
        <v>SLADE KELLY L</v>
      </c>
      <c r="C11593" s="1" t="str">
        <f>"ROXBERRY RD RESUB PT OF KINSINGT LOT 59"</f>
        <v>ROXBERRY RD RESUB PT OF KINSINGT LOT 59</v>
      </c>
      <c r="D11593" s="1">
        <v>132.76</v>
      </c>
    </row>
    <row r="11594" spans="1:4" x14ac:dyDescent="0.3">
      <c r="A11594" s="1" t="str">
        <f>"01006898900"</f>
        <v>01006898900</v>
      </c>
      <c r="B11594" s="1" t="str">
        <f>"SLAGLE JAMES H, THOMAS LAURA B"</f>
        <v>SLAGLE JAMES H, THOMAS LAURA B</v>
      </c>
      <c r="C11594" s="1" t="str">
        <f>"656 S ROYS AVE WILSHIRE HEIGHTS LOT 22 BLK 25"</f>
        <v>656 S ROYS AVE WILSHIRE HEIGHTS LOT 22 BLK 25</v>
      </c>
      <c r="D11594" s="1">
        <v>157.28</v>
      </c>
    </row>
    <row r="11595" spans="1:4" x14ac:dyDescent="0.3">
      <c r="A11595" s="1" t="str">
        <f>"17000295400"</f>
        <v>17000295400</v>
      </c>
      <c r="B11595" s="1" t="str">
        <f>"SLAM KRISTINE D"</f>
        <v>SLAM KRISTINE D</v>
      </c>
      <c r="C11595" s="1" t="str">
        <f>"BOLD FORBES COURT STEPPING STONE SECTION 1 LOT 9"</f>
        <v>BOLD FORBES COURT STEPPING STONE SECTION 1 LOT 9</v>
      </c>
      <c r="D11595" s="1">
        <v>10809.88</v>
      </c>
    </row>
    <row r="11596" spans="1:4" x14ac:dyDescent="0.3">
      <c r="A11596" s="1" t="str">
        <f>"01023111600"</f>
        <v>01023111600</v>
      </c>
      <c r="B11596" s="1" t="str">
        <f>"SLAP SHOT PROPERTIES LTD"</f>
        <v>SLAP SHOT PROPERTIES LTD</v>
      </c>
      <c r="C11596" s="1" t="str">
        <f>"MCMILLEN AVE (VAC) DELASHMUTS AMD 20'X45' ADJ TO L30-1"</f>
        <v>MCMILLEN AVE (VAC) DELASHMUTS AMD 20'X45' ADJ TO L30-1</v>
      </c>
      <c r="D11596" s="1">
        <v>17.7</v>
      </c>
    </row>
    <row r="11597" spans="1:4" x14ac:dyDescent="0.3">
      <c r="A11597" s="1" t="str">
        <f>"01012540000"</f>
        <v>01012540000</v>
      </c>
      <c r="B11597" s="1" t="str">
        <f>"SLAPPY THOMAS"</f>
        <v>SLAPPY THOMAS</v>
      </c>
      <c r="C11597" s="1" t="str">
        <f>"WEIRTON DR SOUTHFIELD 2ND LOT 205"</f>
        <v>WEIRTON DR SOUTHFIELD 2ND LOT 205</v>
      </c>
      <c r="D11597" s="1">
        <v>965.42</v>
      </c>
    </row>
    <row r="11598" spans="1:4" x14ac:dyDescent="0.3">
      <c r="A11598" s="1" t="str">
        <f>"01001556300"</f>
        <v>01001556300</v>
      </c>
      <c r="B11598" s="1" t="str">
        <f>"SLATE WILLIAM C"</f>
        <v>SLATE WILLIAM C</v>
      </c>
      <c r="C11598" s="1" t="str">
        <f>"1582 FRANKLIN AVE DODGE LOT 6"</f>
        <v>1582 FRANKLIN AVE DODGE LOT 6</v>
      </c>
      <c r="D11598" s="1">
        <v>4262.16</v>
      </c>
    </row>
    <row r="11599" spans="1:4" x14ac:dyDescent="0.3">
      <c r="A11599" s="1" t="str">
        <f>"60016543300"</f>
        <v>60016543300</v>
      </c>
      <c r="B11599" s="1" t="str">
        <f>"SLATER DARLENE A"</f>
        <v>SLATER DARLENE A</v>
      </c>
      <c r="C11599" s="1" t="str">
        <f>"PICKAWILLANY CONDOMINIUM STAGE TWO BLDG 21 UNIT 5"</f>
        <v>PICKAWILLANY CONDOMINIUM STAGE TWO BLDG 21 UNIT 5</v>
      </c>
      <c r="D11599" s="1">
        <v>204.92</v>
      </c>
    </row>
    <row r="11600" spans="1:4" x14ac:dyDescent="0.3">
      <c r="A11600" s="1" t="str">
        <f>"17100087000"</f>
        <v>17100087000</v>
      </c>
      <c r="B11600" s="1" t="str">
        <f>"SLATER GARRETT L, SLATER LYNDSI D"</f>
        <v>SLATER GARRETT L, SLATER LYNDSI D</v>
      </c>
      <c r="C11600" s="1" t="str">
        <f>"WEEPING WILLOW COURT WILLOW BROOK CROSSING PART 2 LOT 141"</f>
        <v>WEEPING WILLOW COURT WILLOW BROOK CROSSING PART 2 LOT 141</v>
      </c>
      <c r="D11600" s="1">
        <v>642.80999999999995</v>
      </c>
    </row>
    <row r="11601" spans="1:4" x14ac:dyDescent="0.3">
      <c r="A11601" s="1" t="str">
        <f>"01002008200"</f>
        <v>01002008200</v>
      </c>
      <c r="B11601" s="1" t="str">
        <f>"SLAUGHTER CHARITY"</f>
        <v>SLAUGHTER CHARITY</v>
      </c>
      <c r="C11601" s="1" t="str">
        <f>"850 E SPRING ST EAST GROVE ADDITION PT LOT 66 &amp; PT VAC ST"</f>
        <v>850 E SPRING ST EAST GROVE ADDITION PT LOT 66 &amp; PT VAC ST</v>
      </c>
      <c r="D11601" s="1">
        <v>327.07</v>
      </c>
    </row>
    <row r="11602" spans="1:4" x14ac:dyDescent="0.3">
      <c r="A11602" s="1" t="str">
        <f>"02000123400"</f>
        <v>02000123400</v>
      </c>
      <c r="B11602" s="1" t="str">
        <f>"SLAUGHTER PAULA"</f>
        <v>SLAUGHTER PAULA</v>
      </c>
      <c r="C11602" s="1" t="str">
        <f>"896 S CASSINGHAM RD BEXLEY PLAZA LOT 157 &amp; PT ALLEY"</f>
        <v>896 S CASSINGHAM RD BEXLEY PLAZA LOT 157 &amp; PT ALLEY</v>
      </c>
      <c r="D11602" s="1">
        <v>4248.71</v>
      </c>
    </row>
    <row r="11603" spans="1:4" x14ac:dyDescent="0.3">
      <c r="A11603" s="1" t="str">
        <f>"01012621200"</f>
        <v>01012621200</v>
      </c>
      <c r="B11603" s="1" t="str">
        <f>"SLAUGHTER ROBLYN"</f>
        <v>SLAUGHTER ROBLYN</v>
      </c>
      <c r="C11603" s="1" t="str">
        <f>"BROOKCLIFF AVE BRENTWOOD LOT 114"</f>
        <v>BROOKCLIFF AVE BRENTWOOD LOT 114</v>
      </c>
      <c r="D11603" s="1">
        <v>1100</v>
      </c>
    </row>
    <row r="11604" spans="1:4" x14ac:dyDescent="0.3">
      <c r="A11604" s="1" t="str">
        <f>"01014970700"</f>
        <v>01014970700</v>
      </c>
      <c r="B11604" s="1" t="str">
        <f>"SLAUGHTER SIDNEY L"</f>
        <v>SLAUGHTER SIDNEY L</v>
      </c>
      <c r="C11604" s="1" t="str">
        <f>"HARDESTY VILLAGE CONDOMINIUM NO J C UNIT JC-2"</f>
        <v>HARDESTY VILLAGE CONDOMINIUM NO J C UNIT JC-2</v>
      </c>
      <c r="D11604" s="1">
        <v>2955.44</v>
      </c>
    </row>
    <row r="11605" spans="1:4" x14ac:dyDescent="0.3">
      <c r="A11605" s="1" t="str">
        <f>"27300840000"</f>
        <v>27300840000</v>
      </c>
      <c r="B11605" s="1" t="str">
        <f>"SLAUGHTER SIDNEY L"</f>
        <v>SLAUGHTER SIDNEY L</v>
      </c>
      <c r="C11605" s="1" t="str">
        <f>"7741 RIVERSIDE DR .927 ACRES R19 T2 1/4 T2"</f>
        <v>7741 RIVERSIDE DR .927 ACRES R19 T2 1/4 T2</v>
      </c>
      <c r="D11605" s="1">
        <v>395.84</v>
      </c>
    </row>
    <row r="11606" spans="1:4" x14ac:dyDescent="0.3">
      <c r="A11606" s="1" t="str">
        <f>"57016314800"</f>
        <v>57016314800</v>
      </c>
      <c r="B11606" s="1" t="str">
        <f>"SLAUGHTER TAMMY L"</f>
        <v>SLAUGHTER TAMMY L</v>
      </c>
      <c r="C11606" s="1" t="str">
        <f>"BIRCH DRIVE CRESTWOOD ESTATES LOT 24"</f>
        <v>BIRCH DRIVE CRESTWOOD ESTATES LOT 24</v>
      </c>
      <c r="D11606" s="1">
        <v>1404.56</v>
      </c>
    </row>
    <row r="11607" spans="1:4" x14ac:dyDescent="0.3">
      <c r="A11607" s="1" t="str">
        <f>"01013671700"</f>
        <v>01013671700</v>
      </c>
      <c r="B11607" s="1" t="str">
        <f>"SLAUGHTER TAMMY L"</f>
        <v>SLAUGHTER TAMMY L</v>
      </c>
      <c r="C11607" s="1" t="str">
        <f>"EDNERLY DR ARGYLE PARK LOT 101"</f>
        <v>EDNERLY DR ARGYLE PARK LOT 101</v>
      </c>
      <c r="D11607" s="1">
        <v>1368.49</v>
      </c>
    </row>
    <row r="11608" spans="1:4" x14ac:dyDescent="0.3">
      <c r="A11608" s="1" t="str">
        <f>"01018319800"</f>
        <v>01018319800</v>
      </c>
      <c r="B11608" s="1" t="str">
        <f>"SLEPYKH GRIGORIY"</f>
        <v>SLEPYKH GRIGORIY</v>
      </c>
      <c r="C11608" s="1" t="str">
        <f>"SCOTLAND YARD CONDO UNIT 5781-A BLDG 32 "</f>
        <v xml:space="preserve">SCOTLAND YARD CONDO UNIT 5781-A BLDG 32 </v>
      </c>
      <c r="D11608" s="1">
        <v>35.450000000000003</v>
      </c>
    </row>
    <row r="11609" spans="1:4" x14ac:dyDescent="0.3">
      <c r="A11609" s="1" t="str">
        <f>"01013956300"</f>
        <v>01013956300</v>
      </c>
      <c r="B11609" s="1" t="str">
        <f>"SLIEMERS JULIE"</f>
        <v>SLIEMERS JULIE</v>
      </c>
      <c r="C11609" s="1" t="str">
        <f>"PARSONS AVE SOUTHERN PINES SEC 2 LOT 139"</f>
        <v>PARSONS AVE SOUTHERN PINES SEC 2 LOT 139</v>
      </c>
      <c r="D11609" s="1">
        <v>1645.61</v>
      </c>
    </row>
    <row r="11610" spans="1:4" x14ac:dyDescent="0.3">
      <c r="A11610" s="1" t="str">
        <f>"01001877700"</f>
        <v>01001877700</v>
      </c>
      <c r="B11610" s="1" t="str">
        <f>"SLOAN HOLDING LLC"</f>
        <v>SLOAN HOLDING LLC</v>
      </c>
      <c r="C11610" s="1" t="str">
        <f>"ST MARYS GATE PT LOT 85 "</f>
        <v xml:space="preserve">ST MARYS GATE PT LOT 85 </v>
      </c>
      <c r="D11610" s="1">
        <v>2650.79</v>
      </c>
    </row>
    <row r="11611" spans="1:4" x14ac:dyDescent="0.3">
      <c r="A11611" s="1" t="str">
        <f>"01003117100"</f>
        <v>01003117100</v>
      </c>
      <c r="B11611" s="1" t="str">
        <f>"SLOAN HOLDING LLC"</f>
        <v>SLOAN HOLDING LLC</v>
      </c>
      <c r="C11611" s="1" t="str">
        <f>"ST MARY'S GATE ADD LOT 85 "</f>
        <v xml:space="preserve">ST MARY'S GATE ADD LOT 85 </v>
      </c>
      <c r="D11611" s="1">
        <v>988.64</v>
      </c>
    </row>
    <row r="11612" spans="1:4" x14ac:dyDescent="0.3">
      <c r="A11612" s="1" t="str">
        <f>"01016174700"</f>
        <v>01016174700</v>
      </c>
      <c r="B11612" s="1" t="str">
        <f>"SLOAN HOLDING LLC"</f>
        <v>SLOAN HOLDING LLC</v>
      </c>
      <c r="C11612" s="1" t="str">
        <f>"2655-57 BLOSSOM AVE BLENDON PK SEC 2 LOT 94"</f>
        <v>2655-57 BLOSSOM AVE BLENDON PK SEC 2 LOT 94</v>
      </c>
      <c r="D11612" s="1">
        <v>2386.7600000000002</v>
      </c>
    </row>
    <row r="11613" spans="1:4" x14ac:dyDescent="0.3">
      <c r="A11613" s="1" t="str">
        <f>"01011480600"</f>
        <v>01011480600</v>
      </c>
      <c r="B11613" s="1" t="str">
        <f>"SLONE BILLY J"</f>
        <v>SLONE BILLY J</v>
      </c>
      <c r="C11613" s="1" t="str">
        <f>"LOT 46 LOT 47  "</f>
        <v xml:space="preserve">LOT 46 LOT 47  </v>
      </c>
      <c r="D11613" s="1">
        <v>236.59</v>
      </c>
    </row>
    <row r="11614" spans="1:4" x14ac:dyDescent="0.3">
      <c r="A11614" s="1" t="str">
        <f>"05001178200"</f>
        <v>05001178200</v>
      </c>
      <c r="B11614" s="1" t="str">
        <f>"SLONE DARRELL, SLONE AFINA"</f>
        <v>SLONE DARRELL, SLONE AFINA</v>
      </c>
      <c r="C11614" s="1" t="str">
        <f>"THE COURTYARDS AT CARR FARMS SECTION 1 LOT 139"</f>
        <v>THE COURTYARDS AT CARR FARMS SECTION 1 LOT 139</v>
      </c>
      <c r="D11614" s="1">
        <v>8487.92</v>
      </c>
    </row>
    <row r="11615" spans="1:4" x14ac:dyDescent="0.3">
      <c r="A11615" s="1" t="str">
        <f>"56024926500"</f>
        <v>56024926500</v>
      </c>
      <c r="B11615" s="1" t="str">
        <f>"SLONEKER RODNEY I, SLONEKER KAREN L"</f>
        <v>SLONEKER RODNEY I, SLONEKER KAREN L</v>
      </c>
      <c r="C11615" s="1" t="str">
        <f>"LOIRE LANE RIVER'S GATE LOT 15"</f>
        <v>LOIRE LANE RIVER'S GATE LOT 15</v>
      </c>
      <c r="D11615" s="1">
        <v>1100.8599999999999</v>
      </c>
    </row>
    <row r="11616" spans="1:4" x14ac:dyDescent="0.3">
      <c r="A11616" s="1" t="str">
        <f>"14000084700"</f>
        <v>14000084700</v>
      </c>
      <c r="B11616" s="1" t="str">
        <f>"SLOTER SCOTT T"</f>
        <v>SLOTER SCOTT T</v>
      </c>
      <c r="C11616" s="1" t="str">
        <f>"1593 WITHERS PL GARLINGS LOT 2 "</f>
        <v xml:space="preserve">1593 WITHERS PL GARLINGS LOT 2 </v>
      </c>
      <c r="D11616" s="1">
        <v>3823.26</v>
      </c>
    </row>
    <row r="11617" spans="1:4" x14ac:dyDescent="0.3">
      <c r="A11617" s="1" t="str">
        <f>"01007584300"</f>
        <v>01007584300</v>
      </c>
      <c r="B11617" s="1" t="str">
        <f>"SLOTER STEVEN"</f>
        <v>SLOTER STEVEN</v>
      </c>
      <c r="C11617" s="1" t="str">
        <f>"EAKIN RD BROOKSHIRE PK LOT 304"</f>
        <v>EAKIN RD BROOKSHIRE PK LOT 304</v>
      </c>
      <c r="D11617" s="1">
        <v>108.53</v>
      </c>
    </row>
    <row r="11618" spans="1:4" x14ac:dyDescent="0.3">
      <c r="A11618" s="1" t="str">
        <f>"17000408000"</f>
        <v>17000408000</v>
      </c>
      <c r="B11618" s="1" t="str">
        <f>"SLUSSER BRIAN W"</f>
        <v>SLUSSER BRIAN W</v>
      </c>
      <c r="C11618" s="1" t="str">
        <f>"PARKWOOD PHASE 2 LOT 56"</f>
        <v>PARKWOOD PHASE 2 LOT 56</v>
      </c>
      <c r="D11618" s="1">
        <v>704.64</v>
      </c>
    </row>
    <row r="11619" spans="1:4" x14ac:dyDescent="0.3">
      <c r="A11619" s="1" t="str">
        <f>"01011531100"</f>
        <v>01011531100</v>
      </c>
      <c r="B11619" s="1" t="str">
        <f>"SM LUKASO HOMES LLC"</f>
        <v>SM LUKASO HOMES LLC</v>
      </c>
      <c r="C11619" s="1" t="str">
        <f>"LOCKBOURNE RD MASON-COOPER BUCKEYE LOT 3"</f>
        <v>LOCKBOURNE RD MASON-COOPER BUCKEYE LOT 3</v>
      </c>
      <c r="D11619" s="1">
        <v>1407.36</v>
      </c>
    </row>
    <row r="11620" spans="1:4" x14ac:dyDescent="0.3">
      <c r="A11620" s="1" t="str">
        <f>"53017044400"</f>
        <v>53017044400</v>
      </c>
      <c r="B11620" s="1" t="str">
        <f>"SM LUKASO HOMES LLC"</f>
        <v>SM LUKASO HOMES LLC</v>
      </c>
      <c r="C11620" s="1" t="str">
        <f>"BENJAMIN DRIVE INDEPENDENCE VLG 1 LOT 10"</f>
        <v>BENJAMIN DRIVE INDEPENDENCE VLG 1 LOT 10</v>
      </c>
      <c r="D11620" s="1">
        <v>1493.06</v>
      </c>
    </row>
    <row r="11621" spans="1:4" x14ac:dyDescent="0.3">
      <c r="A11621" s="1" t="str">
        <f>"01013334000"</f>
        <v>01013334000</v>
      </c>
      <c r="B11621" s="1" t="str">
        <f>"SM LUKASO HOMES LLC"</f>
        <v>SM LUKASO HOMES LLC</v>
      </c>
      <c r="C11621" s="1" t="str">
        <f>"MAJESTIC DR N WALNUT-BIXBY ESTATES LOT 74"</f>
        <v>MAJESTIC DR N WALNUT-BIXBY ESTATES LOT 74</v>
      </c>
      <c r="D11621" s="1">
        <v>2365.86</v>
      </c>
    </row>
    <row r="11622" spans="1:4" x14ac:dyDescent="0.3">
      <c r="A11622" s="1" t="str">
        <f>"01000894900"</f>
        <v>01000894900</v>
      </c>
      <c r="B11622" s="1" t="str">
        <f>"SM WOYE LLC"</f>
        <v>SM WOYE LLC</v>
      </c>
      <c r="C11622" s="1" t="str">
        <f>"550 STEWARD AVE LD DAVIS LOT 66"</f>
        <v>550 STEWARD AVE LD DAVIS LOT 66</v>
      </c>
      <c r="D11622" s="1">
        <v>369.89</v>
      </c>
    </row>
    <row r="11623" spans="1:4" x14ac:dyDescent="0.3">
      <c r="A11623" s="1" t="str">
        <f>"01014763000"</f>
        <v>01014763000</v>
      </c>
      <c r="B11623" s="1" t="str">
        <f>"SMAF PROPERTIES LTD"</f>
        <v>SMAF PROPERTIES LTD</v>
      </c>
      <c r="C11623" s="1" t="str">
        <f>"HARRISON DR AMD ST DED HARRIS DR 5.819 ACRES LOT D"</f>
        <v>HARRISON DR AMD ST DED HARRIS DR 5.819 ACRES LOT D</v>
      </c>
      <c r="D11623" s="1">
        <v>30901.75</v>
      </c>
    </row>
    <row r="11624" spans="1:4" x14ac:dyDescent="0.3">
      <c r="A11624" s="1" t="str">
        <f>"01002450000"</f>
        <v>01002450000</v>
      </c>
      <c r="B11624" s="1" t="str">
        <f>"SMAH REAL LLC"</f>
        <v>SMAH REAL LLC</v>
      </c>
      <c r="C11624" s="1" t="str">
        <f>"478 WHITETHORNE AVE 13.5FT FRTX150X37.5 FT RR ENTRY2668 L 30"</f>
        <v>478 WHITETHORNE AVE 13.5FT FRTX150X37.5 FT RR ENTRY2668 L 30</v>
      </c>
      <c r="D11624" s="1">
        <v>2596.37</v>
      </c>
    </row>
    <row r="11625" spans="1:4" x14ac:dyDescent="0.3">
      <c r="A11625" s="1" t="str">
        <f>"01018851800"</f>
        <v>01018851800</v>
      </c>
      <c r="B11625" s="1" t="str">
        <f>"SMALL ANDRE"</f>
        <v>SMALL ANDRE</v>
      </c>
      <c r="C11625" s="1" t="str">
        <f>"CHARECOTE LANE HEARTHSTONE CONDO UNIT 4660-C BLDG 1"</f>
        <v>CHARECOTE LANE HEARTHSTONE CONDO UNIT 4660-C BLDG 1</v>
      </c>
      <c r="D11625" s="1">
        <v>1638.48</v>
      </c>
    </row>
    <row r="11626" spans="1:4" x14ac:dyDescent="0.3">
      <c r="A11626" s="1" t="str">
        <f>"01011159000"</f>
        <v>01011159000</v>
      </c>
      <c r="B11626" s="1" t="str">
        <f>"SMALL ROBERT L, SMALL DEBORAH K"</f>
        <v>SMALL ROBERT L, SMALL DEBORAH K</v>
      </c>
      <c r="C11626" s="1" t="str">
        <f>"MAPLEWOOD RD HOME ACRES LOT 37"</f>
        <v>MAPLEWOOD RD HOME ACRES LOT 37</v>
      </c>
      <c r="D11626" s="1">
        <v>932.71</v>
      </c>
    </row>
    <row r="11627" spans="1:4" x14ac:dyDescent="0.3">
      <c r="A11627" s="1" t="str">
        <f>"01006042300"</f>
        <v>01006042300</v>
      </c>
      <c r="B11627" s="1" t="str">
        <f>"SMALL RUTH G"</f>
        <v>SMALL RUTH G</v>
      </c>
      <c r="C11627" s="1" t="str">
        <f>"1405 E 23RD AVE WALDEMERE LOT 150 "</f>
        <v xml:space="preserve">1405 E 23RD AVE WALDEMERE LOT 150 </v>
      </c>
      <c r="D11627" s="1">
        <v>132.74</v>
      </c>
    </row>
    <row r="11628" spans="1:4" x14ac:dyDescent="0.3">
      <c r="A11628" s="1" t="str">
        <f>"02500008100"</f>
        <v>02500008100</v>
      </c>
      <c r="B11628" s="1" t="str">
        <f>"SMALLWOOD PROPERTY GROUP LLC"</f>
        <v>SMALLWOOD PROPERTY GROUP LLC</v>
      </c>
      <c r="C11628" s="1" t="str">
        <f>"78 MILL ST                GAHANNA                   LOT 28                   "</f>
        <v xml:space="preserve">78 MILL ST                GAHANNA                   LOT 28                   </v>
      </c>
      <c r="D11628" s="1">
        <v>11941.31</v>
      </c>
    </row>
    <row r="11629" spans="1:4" x14ac:dyDescent="0.3">
      <c r="A11629" s="1" t="str">
        <f>"01015679100"</f>
        <v>01015679100</v>
      </c>
      <c r="B11629" s="1" t="str">
        <f>"SMART ASHLEY M, SMART SHAWN A"</f>
        <v>SMART ASHLEY M, SMART SHAWN A</v>
      </c>
      <c r="C11629" s="1" t="str">
        <f>"HUDSON STREET CUMBERLAND RIDGE SEC 2 LOT 251"</f>
        <v>HUDSON STREET CUMBERLAND RIDGE SEC 2 LOT 251</v>
      </c>
      <c r="D11629" s="1">
        <v>1686.69</v>
      </c>
    </row>
    <row r="11630" spans="1:4" x14ac:dyDescent="0.3">
      <c r="A11630" s="1" t="str">
        <f>"01009081900"</f>
        <v>01009081900</v>
      </c>
      <c r="B11630" s="1" t="str">
        <f>"SMASON CHIYYA, SMASON HAGIT"</f>
        <v>SMASON CHIYYA, SMASON HAGIT</v>
      </c>
      <c r="C11630" s="1" t="str">
        <f>"CHESTERFIELD ROAD EASTMOOR LOT 236"</f>
        <v>CHESTERFIELD ROAD EASTMOOR LOT 236</v>
      </c>
      <c r="D11630" s="1">
        <v>2424.04</v>
      </c>
    </row>
    <row r="11631" spans="1:4" x14ac:dyDescent="0.3">
      <c r="A11631" s="1" t="str">
        <f>"01003738600"</f>
        <v>01003738600</v>
      </c>
      <c r="B11631" s="1" t="str">
        <f>"SMDA LLC"</f>
        <v>SMDA LLC</v>
      </c>
      <c r="C11631" s="1" t="str">
        <f>"1953-55 FAIRMONT AVE &amp; REAR GLENWOOD HTS LOT 82"</f>
        <v>1953-55 FAIRMONT AVE &amp; REAR GLENWOOD HTS LOT 82</v>
      </c>
      <c r="D11631" s="1">
        <v>2899.01</v>
      </c>
    </row>
    <row r="11632" spans="1:4" x14ac:dyDescent="0.3">
      <c r="A11632" s="1" t="str">
        <f>"17000015400"</f>
        <v>17000015400</v>
      </c>
      <c r="B11632" s="1" t="str">
        <f>"SME PROPERTIES LLC"</f>
        <v>SME PROPERTIES LLC</v>
      </c>
      <c r="C11632" s="1" t="str">
        <f>"6805 CLARK STATE RD REYNLDSBURG PK ACRES 1.5 R16 T1 1-4T 1 35"</f>
        <v>6805 CLARK STATE RD REYNLDSBURG PK ACRES 1.5 R16 T1 1-4T 1 35</v>
      </c>
      <c r="D11632" s="1">
        <v>342.27</v>
      </c>
    </row>
    <row r="11633" spans="1:4" x14ac:dyDescent="0.3">
      <c r="A11633" s="1" t="str">
        <f>"02501319800"</f>
        <v>02501319800</v>
      </c>
      <c r="B11633" s="1" t="str">
        <f>"SME PROPERTIES LLC"</f>
        <v>SME PROPERTIES LLC</v>
      </c>
      <c r="C11633" s="1" t="str">
        <f>"GAHANNA GROVE CONDOMINIUM 4TH AMD BLDG 25 UNIT 2504"</f>
        <v>GAHANNA GROVE CONDOMINIUM 4TH AMD BLDG 25 UNIT 2504</v>
      </c>
      <c r="D11633" s="1">
        <v>202.18</v>
      </c>
    </row>
    <row r="11634" spans="1:4" x14ac:dyDescent="0.3">
      <c r="A11634" s="1" t="str">
        <f>"01003166500"</f>
        <v>01003166500</v>
      </c>
      <c r="B11634" s="1" t="str">
        <f>"SMELSER DAVID"</f>
        <v>SMELSER DAVID</v>
      </c>
      <c r="C11634" s="1" t="str">
        <f>"WOODROW AVE LINTON LOT 20"</f>
        <v>WOODROW AVE LINTON LOT 20</v>
      </c>
      <c r="D11634" s="1">
        <v>650.41</v>
      </c>
    </row>
    <row r="11635" spans="1:4" x14ac:dyDescent="0.3">
      <c r="A11635" s="1" t="str">
        <f>"01017722700"</f>
        <v>01017722700</v>
      </c>
      <c r="B11635" s="1" t="str">
        <f>"SMELTZER JOHN"</f>
        <v>SMELTZER JOHN</v>
      </c>
      <c r="C11635" s="1" t="str">
        <f>"HENDEREED VIL CONDO UNIT BLDG 1752 40 "</f>
        <v xml:space="preserve">HENDEREED VIL CONDO UNIT BLDG 1752 40 </v>
      </c>
      <c r="D11635" s="1">
        <v>116.85</v>
      </c>
    </row>
    <row r="11636" spans="1:4" x14ac:dyDescent="0.3">
      <c r="A11636" s="1" t="str">
        <f>"15300009100"</f>
        <v>15300009100</v>
      </c>
      <c r="B11636" s="1" t="str">
        <f>"SMETANKO MATTHEW C"</f>
        <v>SMETANKO MATTHEW C</v>
      </c>
      <c r="C11636" s="1" t="str">
        <f>"JERMOORE RD MCFADYENS ACRES 21 "</f>
        <v xml:space="preserve">JERMOORE RD MCFADYENS ACRES 21 </v>
      </c>
      <c r="D11636" s="1">
        <v>4861.9799999999996</v>
      </c>
    </row>
    <row r="11637" spans="1:4" x14ac:dyDescent="0.3">
      <c r="A11637" s="1" t="str">
        <f>"15300060800"</f>
        <v>15300060800</v>
      </c>
      <c r="B11637" s="1" t="str">
        <f>"SMETANKO MATTHEW C"</f>
        <v>SMETANKO MATTHEW C</v>
      </c>
      <c r="C11637" s="1" t="str">
        <f>"JERMOORE ROAD MCFADYENS ACRES ES LOT 22"</f>
        <v>JERMOORE ROAD MCFADYENS ACRES ES LOT 22</v>
      </c>
      <c r="D11637" s="1">
        <v>314.56</v>
      </c>
    </row>
    <row r="11638" spans="1:4" x14ac:dyDescent="0.3">
      <c r="A11638" s="1" t="str">
        <f>"01018562200"</f>
        <v>01018562200</v>
      </c>
      <c r="B11638" s="1" t="str">
        <f>"SMITH ADAM"</f>
        <v>SMITH ADAM</v>
      </c>
      <c r="C11638" s="1" t="str">
        <f>"KENNY RD CHATHAM VILL CONDO UNIT 879 F BLDG 14"</f>
        <v>KENNY RD CHATHAM VILL CONDO UNIT 879 F BLDG 14</v>
      </c>
      <c r="D11638" s="1">
        <v>1615.11</v>
      </c>
    </row>
    <row r="11639" spans="1:4" x14ac:dyDescent="0.3">
      <c r="A11639" s="1" t="str">
        <f>"01010167700"</f>
        <v>01010167700</v>
      </c>
      <c r="B11639" s="1" t="str">
        <f>"SMITH ANDREW L JR, SMITH LINDA C"</f>
        <v>SMITH ANDREW L JR, SMITH LINDA C</v>
      </c>
      <c r="C11639" s="1" t="str">
        <f>"STAFFORD PL BERWICK HTS 2 LOT 320"</f>
        <v>STAFFORD PL BERWICK HTS 2 LOT 320</v>
      </c>
      <c r="D11639" s="1">
        <v>263.79000000000002</v>
      </c>
    </row>
    <row r="11640" spans="1:4" x14ac:dyDescent="0.3">
      <c r="A11640" s="1" t="str">
        <f>"02500199500"</f>
        <v>02500199500</v>
      </c>
      <c r="B11640" s="1" t="str">
        <f>"SMITH ANN B, SMITH MARK S"</f>
        <v>SMITH ANN B, SMITH MARK S</v>
      </c>
      <c r="C11640" s="1" t="str">
        <f>"693 N HAMILTON RD R17 T1 1/4T1 1.0213 ACRE"</f>
        <v>693 N HAMILTON RD R17 T1 1/4T1 1.0213 ACRE</v>
      </c>
      <c r="D11640" s="1">
        <v>6551.64</v>
      </c>
    </row>
    <row r="11641" spans="1:4" x14ac:dyDescent="0.3">
      <c r="A11641" s="1" t="str">
        <f>"07000199000"</f>
        <v>07000199000</v>
      </c>
      <c r="B11641" s="1" t="str">
        <f>"SMITH BENJAMIN A, SMITH JENNIFER L"</f>
        <v>SMITH BENJAMIN A, SMITH JENNIFER L</v>
      </c>
      <c r="C11641" s="1" t="str">
        <f>"2546 BERWYN RD NORTH ARLINGTON LOT 45"</f>
        <v>2546 BERWYN RD NORTH ARLINGTON LOT 45</v>
      </c>
      <c r="D11641" s="1">
        <v>824.72</v>
      </c>
    </row>
    <row r="11642" spans="1:4" x14ac:dyDescent="0.3">
      <c r="A11642" s="1" t="str">
        <f>"01007318900"</f>
        <v>01007318900</v>
      </c>
      <c r="B11642" s="1" t="str">
        <f>"SMITH BERNICE"</f>
        <v>SMITH BERNICE</v>
      </c>
      <c r="C11642" s="1" t="str">
        <f>"20TH AVE RICHMOND LOT 104"</f>
        <v>20TH AVE RICHMOND LOT 104</v>
      </c>
      <c r="D11642" s="1">
        <v>989.7</v>
      </c>
    </row>
    <row r="11643" spans="1:4" x14ac:dyDescent="0.3">
      <c r="A11643" s="1" t="str">
        <f>"01014669900"</f>
        <v>01014669900</v>
      </c>
      <c r="B11643" s="1" t="str">
        <f>"SMITH BONNIE"</f>
        <v>SMITH BONNIE</v>
      </c>
      <c r="C11643" s="1" t="str">
        <f>"FLORIAN DR BRUNSWICK ESTATES 2 LOT 22"</f>
        <v>FLORIAN DR BRUNSWICK ESTATES 2 LOT 22</v>
      </c>
      <c r="D11643" s="1">
        <v>1304.8499999999999</v>
      </c>
    </row>
    <row r="11644" spans="1:4" x14ac:dyDescent="0.3">
      <c r="A11644" s="1" t="str">
        <f>"01004061400"</f>
        <v>01004061400</v>
      </c>
      <c r="B11644" s="1" t="str">
        <f>"SMITH BRANDON"</f>
        <v>SMITH BRANDON</v>
      </c>
      <c r="C11644" s="1" t="str">
        <f>"WILLIAMS RD .201 ACRE PARCEL 12 SEC 4 LOT 6"</f>
        <v>WILLIAMS RD .201 ACRE PARCEL 12 SEC 4 LOT 6</v>
      </c>
      <c r="D11644" s="1">
        <v>2843.17</v>
      </c>
    </row>
    <row r="11645" spans="1:4" x14ac:dyDescent="0.3">
      <c r="A11645" s="1" t="str">
        <f>"03000089200"</f>
        <v>03000089200</v>
      </c>
      <c r="B11645" s="1" t="str">
        <f>"SMITH BRUCE B"</f>
        <v>SMITH BRUCE B</v>
      </c>
      <c r="C11645" s="1" t="str">
        <f>"907-909 OXLEY RD 9.5FT SS 181 &amp; ALL 182 NW BLVD 4"</f>
        <v>907-909 OXLEY RD 9.5FT SS 181 &amp; ALL 182 NW BLVD 4</v>
      </c>
      <c r="D11645" s="1">
        <v>10187.27</v>
      </c>
    </row>
    <row r="11646" spans="1:4" x14ac:dyDescent="0.3">
      <c r="A11646" s="1" t="str">
        <f>"03000061800"</f>
        <v>03000061800</v>
      </c>
      <c r="B11646" s="1" t="str">
        <f>"SMITH BRUCE B"</f>
        <v>SMITH BRUCE B</v>
      </c>
      <c r="C11646" s="1" t="str">
        <f>"F.S. WAGEN(T)HALS ET AL'S AMENDED SUBDIVISION OF LOTS IN J.R. TILTON'S GLADDINGTON HEIGHTS SUBDIVISION LOT 404"</f>
        <v>F.S. WAGEN(T)HALS ET AL'S AMENDED SUBDIVISION OF LOTS IN J.R. TILTON'S GLADDINGTON HEIGHTS SUBDIVISION LOT 404</v>
      </c>
      <c r="D11646" s="1">
        <v>12881.04</v>
      </c>
    </row>
    <row r="11647" spans="1:4" x14ac:dyDescent="0.3">
      <c r="A11647" s="1" t="str">
        <f>"01013939200"</f>
        <v>01013939200</v>
      </c>
      <c r="B11647" s="1" t="str">
        <f>"SMITH CARL E, SMITH SHERYL E"</f>
        <v>SMITH CARL E, SMITH SHERYL E</v>
      </c>
      <c r="C11647" s="1" t="str">
        <f>"OAKMONT DR WALNUT HILL PK LOT 56"</f>
        <v>OAKMONT DR WALNUT HILL PK LOT 56</v>
      </c>
      <c r="D11647" s="1">
        <v>2064.79</v>
      </c>
    </row>
    <row r="11648" spans="1:4" x14ac:dyDescent="0.3">
      <c r="A11648" s="1" t="str">
        <f>"01015636500"</f>
        <v>01015636500</v>
      </c>
      <c r="B11648" s="1" t="str">
        <f>"SMITH CAROLYN J"</f>
        <v>SMITH CAROLYN J</v>
      </c>
      <c r="C11648" s="1" t="str">
        <f>"JERI AVE QUEENSWOOD SUBDIV LOT 105"</f>
        <v>JERI AVE QUEENSWOOD SUBDIV LOT 105</v>
      </c>
      <c r="D11648" s="1">
        <v>1228.68</v>
      </c>
    </row>
    <row r="11649" spans="1:4" x14ac:dyDescent="0.3">
      <c r="A11649" s="1" t="str">
        <f>"01012621800"</f>
        <v>01012621800</v>
      </c>
      <c r="B11649" s="1" t="str">
        <f>"SMITH CASSIETTA"</f>
        <v>SMITH CASSIETTA</v>
      </c>
      <c r="C11649" s="1" t="str">
        <f>"BROOKCLIFF AVE BRENTWOOD LOT 120"</f>
        <v>BROOKCLIFF AVE BRENTWOOD LOT 120</v>
      </c>
      <c r="D11649" s="1">
        <v>1429.09</v>
      </c>
    </row>
    <row r="11650" spans="1:4" x14ac:dyDescent="0.3">
      <c r="A11650" s="1" t="str">
        <f>"23000004900"</f>
        <v>23000004900</v>
      </c>
      <c r="B11650" s="1" t="str">
        <f>"SMITH CHRISTINE E TTEE"</f>
        <v>SMITH CHRISTINE E TTEE</v>
      </c>
      <c r="C11650" s="1" t="str">
        <f>"6946 HARRISBURG PIKE .378 ACRES ENTRY 6178-1500"</f>
        <v>6946 HARRISBURG PIKE .378 ACRES ENTRY 6178-1500</v>
      </c>
      <c r="D11650" s="1">
        <v>3413.7</v>
      </c>
    </row>
    <row r="11651" spans="1:4" x14ac:dyDescent="0.3">
      <c r="A11651" s="1" t="str">
        <f>"14000304900"</f>
        <v>14000304900</v>
      </c>
      <c r="B11651" s="1" t="str">
        <f>"SMITH CURTIS N, SMITH AMY J"</f>
        <v>SMITH CURTIS N, SMITH AMY J</v>
      </c>
      <c r="C11651" s="1" t="str">
        <f>"1422 GREENLEAF RD GREENLEAF 32 "</f>
        <v xml:space="preserve">1422 GREENLEAF RD GREENLEAF 32 </v>
      </c>
      <c r="D11651" s="1">
        <v>3083.99</v>
      </c>
    </row>
    <row r="11652" spans="1:4" x14ac:dyDescent="0.3">
      <c r="A11652" s="1" t="str">
        <f>"19100073400"</f>
        <v>19100073400</v>
      </c>
      <c r="B11652" s="1" t="str">
        <f>"SMITH DAVID M, SMITH STELLA M"</f>
        <v>SMITH DAVID M, SMITH STELLA M</v>
      </c>
      <c r="C11652" s="1" t="str">
        <f>"3815 GEORGIA AVENUE LEONARD PARK LOT 27 BLK I &amp; PT AL"</f>
        <v>3815 GEORGIA AVENUE LEONARD PARK LOT 27 BLK I &amp; PT AL</v>
      </c>
      <c r="D11652" s="1">
        <v>3559.04</v>
      </c>
    </row>
    <row r="11653" spans="1:4" x14ac:dyDescent="0.3">
      <c r="A11653" s="1" t="str">
        <f>"19000318200"</f>
        <v>19000318200</v>
      </c>
      <c r="B11653" s="1" t="str">
        <f>"SMITH DAVID M, SMITH STELLA M"</f>
        <v>SMITH DAVID M, SMITH STELLA M</v>
      </c>
      <c r="C11653" s="1" t="str">
        <f>"2882 JOHNSTOWN RD R17 T1 1/4T4 1.062 ACRES &amp; PT AL"</f>
        <v>2882 JOHNSTOWN RD R17 T1 1/4T4 1.062 ACRES &amp; PT AL</v>
      </c>
      <c r="D11653" s="1">
        <v>1290.45</v>
      </c>
    </row>
    <row r="11654" spans="1:4" x14ac:dyDescent="0.3">
      <c r="A11654" s="1" t="str">
        <f>"19100073300"</f>
        <v>19100073300</v>
      </c>
      <c r="B11654" s="1" t="str">
        <f>"SMITH DAVID M, SMITH STELLA M"</f>
        <v>SMITH DAVID M, SMITH STELLA M</v>
      </c>
      <c r="C11654" s="1" t="str">
        <f>"3815 GEORGIA AVENUE LEONARD PARK LOT 26 BLK I &amp; PT AL"</f>
        <v>3815 GEORGIA AVENUE LEONARD PARK LOT 26 BLK I &amp; PT AL</v>
      </c>
      <c r="D11654" s="1">
        <v>762.81</v>
      </c>
    </row>
    <row r="11655" spans="1:4" x14ac:dyDescent="0.3">
      <c r="A11655" s="1" t="str">
        <f>"01003778400"</f>
        <v>01003778400</v>
      </c>
      <c r="B11655" s="1" t="str">
        <f>"SMITH DAVID, SMITH JANE"</f>
        <v>SMITH DAVID, SMITH JANE</v>
      </c>
      <c r="C11655" s="1" t="str">
        <f>"327 MARTHA AVE ALL OF LOT25&amp;N1/2L26 SULLIVANTS HTS"</f>
        <v>327 MARTHA AVE ALL OF LOT25&amp;N1/2L26 SULLIVANTS HTS</v>
      </c>
      <c r="D11655" s="1">
        <v>1054.27</v>
      </c>
    </row>
    <row r="11656" spans="1:4" x14ac:dyDescent="0.3">
      <c r="A11656" s="1" t="str">
        <f>"01010183200"</f>
        <v>01010183200</v>
      </c>
      <c r="B11656" s="1" t="str">
        <f>"SMITH DEBORAH E"</f>
        <v>SMITH DEBORAH E</v>
      </c>
      <c r="C11656" s="1" t="str">
        <f>"MIRIAM DR WEST MIRIAM 2 20 BLK 8 "</f>
        <v xml:space="preserve">MIRIAM DR WEST MIRIAM 2 20 BLK 8 </v>
      </c>
      <c r="D11656" s="1">
        <v>98.56</v>
      </c>
    </row>
    <row r="11657" spans="1:4" x14ac:dyDescent="0.3">
      <c r="A11657" s="1" t="str">
        <f>"01006094700"</f>
        <v>01006094700</v>
      </c>
      <c r="B11657" s="1" t="str">
        <f>"SMITH DENEAN"</f>
        <v>SMITH DENEAN</v>
      </c>
      <c r="C11657" s="1" t="str">
        <f>"25TH AVE INNIS CREST LOT 84-5"</f>
        <v>25TH AVE INNIS CREST LOT 84-5</v>
      </c>
      <c r="D11657" s="1">
        <v>653.07000000000005</v>
      </c>
    </row>
    <row r="11658" spans="1:4" x14ac:dyDescent="0.3">
      <c r="A11658" s="1" t="str">
        <f>"01007930900"</f>
        <v>01007930900</v>
      </c>
      <c r="B11658" s="1" t="str">
        <f>"SMITH DENEAN"</f>
        <v>SMITH DENEAN</v>
      </c>
      <c r="C11658" s="1" t="str">
        <f>"1286 E 22ND AVE LINMOOR LOT 10"</f>
        <v>1286 E 22ND AVE LINMOOR LOT 10</v>
      </c>
      <c r="D11658" s="1">
        <v>1446.45</v>
      </c>
    </row>
    <row r="11659" spans="1:4" x14ac:dyDescent="0.3">
      <c r="A11659" s="1" t="str">
        <f>"01012645600"</f>
        <v>01012645600</v>
      </c>
      <c r="B11659" s="1" t="str">
        <f>"SMITH DENEAN"</f>
        <v>SMITH DENEAN</v>
      </c>
      <c r="C11659" s="1" t="str">
        <f>"12TH AVE LEA CREST LOT 67"</f>
        <v>12TH AVE LEA CREST LOT 67</v>
      </c>
      <c r="D11659" s="1">
        <v>665.46</v>
      </c>
    </row>
    <row r="11660" spans="1:4" x14ac:dyDescent="0.3">
      <c r="A11660" s="1" t="str">
        <f>"02500369500"</f>
        <v>02500369500</v>
      </c>
      <c r="B11660" s="1" t="str">
        <f>"SMITH DERRICK ANTONY"</f>
        <v>SMITH DERRICK ANTONY</v>
      </c>
      <c r="C11660" s="1" t="str">
        <f>"346 WORMAN DRIVE GAHANNA HEIGHTS 5 LOT 228"</f>
        <v>346 WORMAN DRIVE GAHANNA HEIGHTS 5 LOT 228</v>
      </c>
      <c r="D11660" s="1">
        <v>3837.02</v>
      </c>
    </row>
    <row r="11661" spans="1:4" x14ac:dyDescent="0.3">
      <c r="A11661" s="1" t="str">
        <f>"01015877300"</f>
        <v>01015877300</v>
      </c>
      <c r="B11661" s="1" t="str">
        <f>"SMITH DONALD R"</f>
        <v>SMITH DONALD R</v>
      </c>
      <c r="C11661" s="1" t="str">
        <f>"RAINIER AV FOREST HILLS EAST LOT 144"</f>
        <v>RAINIER AV FOREST HILLS EAST LOT 144</v>
      </c>
      <c r="D11661" s="1">
        <v>201.06</v>
      </c>
    </row>
    <row r="11662" spans="1:4" x14ac:dyDescent="0.3">
      <c r="A11662" s="1" t="str">
        <f>"19000238600"</f>
        <v>19000238600</v>
      </c>
      <c r="B11662" s="1" t="str">
        <f>"SMITH ELTON"</f>
        <v>SMITH ELTON</v>
      </c>
      <c r="C11662" s="1" t="str">
        <f>"ALLWINE RD ALLWINE SUB RES = 2' X 743.25'"</f>
        <v>ALLWINE RD ALLWINE SUB RES = 2' X 743.25'</v>
      </c>
      <c r="D11662" s="1">
        <v>5.12</v>
      </c>
    </row>
    <row r="11663" spans="1:4" x14ac:dyDescent="0.3">
      <c r="A11663" s="1" t="str">
        <f>"10000331200"</f>
        <v>10000331200</v>
      </c>
      <c r="B11663" s="1" t="str">
        <f>"SMITH EMILY"</f>
        <v>SMITH EMILY</v>
      </c>
      <c r="C11663" s="1" t="str">
        <f>"6849 HAYHURST ST WORTHINGTON ESTATES LOT 6 BLK A"</f>
        <v>6849 HAYHURST ST WORTHINGTON ESTATES LOT 6 BLK A</v>
      </c>
      <c r="D11663" s="1">
        <v>587.94000000000005</v>
      </c>
    </row>
    <row r="11664" spans="1:4" x14ac:dyDescent="0.3">
      <c r="A11664" s="1" t="str">
        <f>"23000244100"</f>
        <v>23000244100</v>
      </c>
      <c r="B11664" s="1" t="str">
        <f>"SMITH ERIC E"</f>
        <v>SMITH ERIC E</v>
      </c>
      <c r="C11664" s="1" t="str">
        <f>"C STREET COVERED BRIDGE 108 "</f>
        <v xml:space="preserve">C STREET COVERED BRIDGE 108 </v>
      </c>
      <c r="D11664" s="1">
        <v>1541.95</v>
      </c>
    </row>
    <row r="11665" spans="1:4" x14ac:dyDescent="0.3">
      <c r="A11665" s="1" t="str">
        <f>"01029566700"</f>
        <v>01029566700</v>
      </c>
      <c r="B11665" s="1" t="str">
        <f>"SMITH EUGENIA L"</f>
        <v>SMITH EUGENIA L</v>
      </c>
      <c r="C11665" s="1" t="str">
        <f>"5049 SUNBURY RD R17 T2 1/4T3 5.054 ACRES"</f>
        <v>5049 SUNBURY RD R17 T2 1/4T3 5.054 ACRES</v>
      </c>
      <c r="D11665" s="1">
        <v>7467.6</v>
      </c>
    </row>
    <row r="11666" spans="1:4" x14ac:dyDescent="0.3">
      <c r="A11666" s="1" t="str">
        <f>"01003799600"</f>
        <v>01003799600</v>
      </c>
      <c r="B11666" s="1" t="str">
        <f>"SMITH FLOYD M"</f>
        <v>SMITH FLOYD M</v>
      </c>
      <c r="C11666" s="1" t="str">
        <f>"1353 HILDRETH AVE HILDRETH&amp;CHITTENDEN LOT 38"</f>
        <v>1353 HILDRETH AVE HILDRETH&amp;CHITTENDEN LOT 38</v>
      </c>
      <c r="D11666" s="1">
        <v>2753.73</v>
      </c>
    </row>
    <row r="11667" spans="1:4" x14ac:dyDescent="0.3">
      <c r="A11667" s="1" t="str">
        <f>"01007114600"</f>
        <v>01007114600</v>
      </c>
      <c r="B11667" s="1" t="str">
        <f>"SMITH FRANK W TR"</f>
        <v>SMITH FRANK W TR</v>
      </c>
      <c r="C11667" s="1" t="str">
        <f>"4204 OLENTANGY BLVD ACRES .2135 R18T1 1-4T2 LOT 5"</f>
        <v>4204 OLENTANGY BLVD ACRES .2135 R18T1 1-4T2 LOT 5</v>
      </c>
      <c r="D11667" s="1">
        <v>155.87</v>
      </c>
    </row>
    <row r="11668" spans="1:4" x14ac:dyDescent="0.3">
      <c r="A11668" s="1" t="str">
        <f>"01011028100"</f>
        <v>01011028100</v>
      </c>
      <c r="B11668" s="1" t="str">
        <f>"SMITH GAIL"</f>
        <v>SMITH GAIL</v>
      </c>
      <c r="C11668" s="1" t="str">
        <f>"COLTON RD R22 T4 S10 SEC 5 URP LOT 7"</f>
        <v>COLTON RD R22 T4 S10 SEC 5 URP LOT 7</v>
      </c>
      <c r="D11668" s="1">
        <v>2643.08</v>
      </c>
    </row>
    <row r="11669" spans="1:4" x14ac:dyDescent="0.3">
      <c r="A11669" s="1" t="str">
        <f>"01019191700"</f>
        <v>01019191700</v>
      </c>
      <c r="B11669" s="1" t="str">
        <f>"SMITH GARY L, SMITH DENISE A"</f>
        <v>SMITH GARY L, SMITH DENISE A</v>
      </c>
      <c r="C11669" s="1" t="str">
        <f>"OLENTANGY THE CONDOMINIUM BLDG 17 UNIT 17-649D"</f>
        <v>OLENTANGY THE CONDOMINIUM BLDG 17 UNIT 17-649D</v>
      </c>
      <c r="D11669" s="1">
        <v>121.32</v>
      </c>
    </row>
    <row r="11670" spans="1:4" x14ac:dyDescent="0.3">
      <c r="A11670" s="1" t="str">
        <f>"24000167200"</f>
        <v>24000167200</v>
      </c>
      <c r="B11670" s="1" t="str">
        <f>"SMITH GLENNA FAYE"</f>
        <v>SMITH GLENNA FAYE</v>
      </c>
      <c r="C11670" s="1" t="str">
        <f>"AMITY RD SEE DUP DES 4-33 "</f>
        <v xml:space="preserve">AMITY RD SEE DUP DES 4-33 </v>
      </c>
      <c r="D11670" s="1">
        <v>911.9</v>
      </c>
    </row>
    <row r="11671" spans="1:4" x14ac:dyDescent="0.3">
      <c r="A11671" s="1" t="str">
        <f>"01007405700"</f>
        <v>01007405700</v>
      </c>
      <c r="B11671" s="1" t="str">
        <f>"SMITH INELL"</f>
        <v>SMITH INELL</v>
      </c>
      <c r="C11671" s="1" t="str">
        <f>"2781 ATWOOD TERRACE ALMADA LOT 89"</f>
        <v>2781 ATWOOD TERRACE ALMADA LOT 89</v>
      </c>
      <c r="D11671" s="1">
        <v>1125.94</v>
      </c>
    </row>
    <row r="11672" spans="1:4" x14ac:dyDescent="0.3">
      <c r="A11672" s="1" t="str">
        <f>"53028192000"</f>
        <v>53028192000</v>
      </c>
      <c r="B11672" s="1" t="str">
        <f>"SMITH IRA W, SMITH TERESA"</f>
        <v>SMITH IRA W, SMITH TERESA</v>
      </c>
      <c r="C11672" s="1" t="str">
        <f>"3894 WILLOW BRANCH DRIVE VILLAGE AT ABBIE TRAILS SECTION 3 PART 1 LOT 204"</f>
        <v>3894 WILLOW BRANCH DRIVE VILLAGE AT ABBIE TRAILS SECTION 3 PART 1 LOT 204</v>
      </c>
      <c r="D11672" s="1">
        <v>36.74</v>
      </c>
    </row>
    <row r="11673" spans="1:4" x14ac:dyDescent="0.3">
      <c r="A11673" s="1" t="str">
        <f>"01001868300"</f>
        <v>01001868300</v>
      </c>
      <c r="B11673" s="1" t="str">
        <f>"SMITH JACK V"</f>
        <v>SMITH JACK V</v>
      </c>
      <c r="C11673" s="1" t="str">
        <f>"1736 MCALLISTER AVE DONEY LOT 2 EX 90 FT NE"</f>
        <v>1736 MCALLISTER AVE DONEY LOT 2 EX 90 FT NE</v>
      </c>
      <c r="D11673" s="1">
        <v>263.11</v>
      </c>
    </row>
    <row r="11674" spans="1:4" x14ac:dyDescent="0.3">
      <c r="A11674" s="1" t="str">
        <f>"01001819100"</f>
        <v>01001819100</v>
      </c>
      <c r="B11674" s="1" t="str">
        <f>"SMITH JACK V"</f>
        <v>SMITH JACK V</v>
      </c>
      <c r="C11674" s="1" t="str">
        <f>"E MAIN ST DONEY 90FT EWL NE LOT 2"</f>
        <v>E MAIN ST DONEY 90FT EWL NE LOT 2</v>
      </c>
      <c r="D11674" s="1">
        <v>587.66</v>
      </c>
    </row>
    <row r="11675" spans="1:4" x14ac:dyDescent="0.3">
      <c r="A11675" s="1" t="str">
        <f>"01011365200"</f>
        <v>01011365200</v>
      </c>
      <c r="B11675" s="1" t="str">
        <f>"SMITH JACKIE M, SMITH PAMELA"</f>
        <v>SMITH JACKIE M, SMITH PAMELA</v>
      </c>
      <c r="C11675" s="1" t="str">
        <f>"2586 RHODES AVE OPPORTUNITY FARMS LOT 21"</f>
        <v>2586 RHODES AVE OPPORTUNITY FARMS LOT 21</v>
      </c>
      <c r="D11675" s="1">
        <v>1513.85</v>
      </c>
    </row>
    <row r="11676" spans="1:4" x14ac:dyDescent="0.3">
      <c r="A11676" s="1" t="str">
        <f>"01010726800"</f>
        <v>01010726800</v>
      </c>
      <c r="B11676" s="1" t="str">
        <f>"SMITH JACOB ELIOT"</f>
        <v>SMITH JACOB ELIOT</v>
      </c>
      <c r="C11676" s="1" t="str">
        <f>"AVEN DR LIVMOOR HTS 3 LOT 15"</f>
        <v>AVEN DR LIVMOOR HTS 3 LOT 15</v>
      </c>
      <c r="D11676" s="1">
        <v>1888.22</v>
      </c>
    </row>
    <row r="11677" spans="1:4" x14ac:dyDescent="0.3">
      <c r="A11677" s="1" t="str">
        <f>"57015398800"</f>
        <v>57015398800</v>
      </c>
      <c r="B11677" s="1" t="str">
        <f>"SMITH JAMES H JR, SMITH DONNA J"</f>
        <v>SMITH JAMES H JR, SMITH DONNA J</v>
      </c>
      <c r="C11677" s="1" t="str">
        <f>"WESTERN HILL RD RIVER BEND SEC 4 LOT 405"</f>
        <v>WESTERN HILL RD RIVER BEND SEC 4 LOT 405</v>
      </c>
      <c r="D11677" s="1">
        <v>101.14</v>
      </c>
    </row>
    <row r="11678" spans="1:4" x14ac:dyDescent="0.3">
      <c r="A11678" s="1" t="str">
        <f>"11000359600"</f>
        <v>11000359600</v>
      </c>
      <c r="B11678" s="1" t="str">
        <f>"SMITH JAMES L"</f>
        <v>SMITH JAMES L</v>
      </c>
      <c r="C11678" s="1" t="str">
        <f>"SANTIAGO DR H C HUBE- PLAT 48 SEC 4 1659"</f>
        <v>SANTIAGO DR H C HUBE- PLAT 48 SEC 4 1659</v>
      </c>
      <c r="D11678" s="1">
        <v>1694.99</v>
      </c>
    </row>
    <row r="11679" spans="1:4" x14ac:dyDescent="0.3">
      <c r="A11679" s="1" t="str">
        <f>"01000595700"</f>
        <v>01000595700</v>
      </c>
      <c r="B11679" s="1" t="str">
        <f>"SMITH JAMES M, SMITH JANA L"</f>
        <v>SMITH JAMES M, SMITH JANA L</v>
      </c>
      <c r="C11679" s="1" t="str">
        <f>"1292 BRADSHIRE DR RESUB OF SHEFFIELD LOT 5"</f>
        <v>1292 BRADSHIRE DR RESUB OF SHEFFIELD LOT 5</v>
      </c>
      <c r="D11679" s="1">
        <v>2537.69</v>
      </c>
    </row>
    <row r="11680" spans="1:4" x14ac:dyDescent="0.3">
      <c r="A11680" s="1" t="str">
        <f>"01007101700"</f>
        <v>01007101700</v>
      </c>
      <c r="B11680" s="1" t="str">
        <f>"SMITH JAMES T, SMITH DEBRA J"</f>
        <v>SMITH JAMES T, SMITH DEBRA J</v>
      </c>
      <c r="C11680" s="1" t="str">
        <f>"MAYFAIR BLVD MAYFIAR AMD PLATT L196TO250 LOT 80"</f>
        <v>MAYFAIR BLVD MAYFIAR AMD PLATT L196TO250 LOT 80</v>
      </c>
      <c r="D11680" s="1">
        <v>139.6</v>
      </c>
    </row>
    <row r="11681" spans="1:4" x14ac:dyDescent="0.3">
      <c r="A11681" s="1" t="str">
        <f>"15200177300"</f>
        <v>15200177300</v>
      </c>
      <c r="B11681" s="1" t="str">
        <f>"SMITH JEANNIE"</f>
        <v>SMITH JEANNIE</v>
      </c>
      <c r="C11681" s="1" t="str">
        <f>"METCALF AVE MULBERRY GROVE SECTION 3 PART 1 LOT 171"</f>
        <v>METCALF AVE MULBERRY GROVE SECTION 3 PART 1 LOT 171</v>
      </c>
      <c r="D11681" s="1">
        <v>3821.92</v>
      </c>
    </row>
    <row r="11682" spans="1:4" x14ac:dyDescent="0.3">
      <c r="A11682" s="1" t="str">
        <f>"01002257600"</f>
        <v>01002257600</v>
      </c>
      <c r="B11682" s="1" t="str">
        <f>"SMITH JEFFREY A, IYER VIJAYA"</f>
        <v>SMITH JEFFREY A, IYER VIJAYA</v>
      </c>
      <c r="C11682" s="1" t="str">
        <f>"213-15 BECK ST STOTTS LOT 12"</f>
        <v>213-15 BECK ST STOTTS LOT 12</v>
      </c>
      <c r="D11682" s="1">
        <v>5178.37</v>
      </c>
    </row>
    <row r="11683" spans="1:4" x14ac:dyDescent="0.3">
      <c r="A11683" s="1" t="str">
        <f>"01004763200"</f>
        <v>01004763200</v>
      </c>
      <c r="B11683" s="1" t="str">
        <f>"SMITH JEFFREY D, SMITH DAKISHA L"</f>
        <v>SMITH JEFFREY D, SMITH DAKISHA L</v>
      </c>
      <c r="C11683" s="1" t="str">
        <f>"WILLAMONT AVE HAYDEN PK.PL. LOT 100"</f>
        <v>WILLAMONT AVE HAYDEN PK.PL. LOT 100</v>
      </c>
      <c r="D11683" s="1">
        <v>453.65</v>
      </c>
    </row>
    <row r="11684" spans="1:4" x14ac:dyDescent="0.3">
      <c r="A11684" s="1" t="str">
        <f>"01028559800"</f>
        <v>01028559800</v>
      </c>
      <c r="B11684" s="1" t="str">
        <f>"SMITH JEFFREY L"</f>
        <v>SMITH JEFFREY L</v>
      </c>
      <c r="C11684" s="1" t="str">
        <f>"HAYDENS RESERVE CONDOMINIUM COMMUNITY 2ND AMD UNIT 5621"</f>
        <v>HAYDENS RESERVE CONDOMINIUM COMMUNITY 2ND AMD UNIT 5621</v>
      </c>
      <c r="D11684" s="1">
        <v>357</v>
      </c>
    </row>
    <row r="11685" spans="1:4" x14ac:dyDescent="0.3">
      <c r="A11685" s="1" t="str">
        <f>"15000059500"</f>
        <v>15000059500</v>
      </c>
      <c r="B11685" s="1" t="str">
        <f>"SMITH JEFFREY V, SMITH BRENDA R"</f>
        <v>SMITH JEFFREY V, SMITH BRENDA R</v>
      </c>
      <c r="C11685" s="1" t="str">
        <f>"2040 REESE AVE WALNUT HTS LOT 243"</f>
        <v>2040 REESE AVE WALNUT HTS LOT 243</v>
      </c>
      <c r="D11685" s="1">
        <v>1950.55</v>
      </c>
    </row>
    <row r="11686" spans="1:4" x14ac:dyDescent="0.3">
      <c r="A11686" s="1" t="str">
        <f>"15000059400"</f>
        <v>15000059400</v>
      </c>
      <c r="B11686" s="1" t="str">
        <f>"SMITH JEFFREY V, SMITH BRENDA R"</f>
        <v>SMITH JEFFREY V, SMITH BRENDA R</v>
      </c>
      <c r="C11686" s="1" t="str">
        <f>"REESE AVE WALNUT HTS LOT 242"</f>
        <v>REESE AVE WALNUT HTS LOT 242</v>
      </c>
      <c r="D11686" s="1">
        <v>230.16</v>
      </c>
    </row>
    <row r="11687" spans="1:4" x14ac:dyDescent="0.3">
      <c r="A11687" s="1" t="str">
        <f>"55015382600"</f>
        <v>55015382600</v>
      </c>
      <c r="B11687" s="1" t="str">
        <f>"SMITH JERRY L"</f>
        <v>SMITH JERRY L</v>
      </c>
      <c r="C11687" s="1" t="str">
        <f>"BORR AVE KINGS RIDGE LOT 14"</f>
        <v>BORR AVE KINGS RIDGE LOT 14</v>
      </c>
      <c r="D11687" s="1">
        <v>1790.47</v>
      </c>
    </row>
    <row r="11688" spans="1:4" x14ac:dyDescent="0.3">
      <c r="A11688" s="1" t="str">
        <f>"01018683300"</f>
        <v>01018683300</v>
      </c>
      <c r="B11688" s="1" t="str">
        <f>"SMITH JERRY L"</f>
        <v>SMITH JERRY L</v>
      </c>
      <c r="C11688" s="1" t="str">
        <f>"REDAPPLE RIDGE APPLEWAY EAST CONDO UNIT 5835 BLDG 1"</f>
        <v>REDAPPLE RIDGE APPLEWAY EAST CONDO UNIT 5835 BLDG 1</v>
      </c>
      <c r="D11688" s="1">
        <v>462.94</v>
      </c>
    </row>
    <row r="11689" spans="1:4" x14ac:dyDescent="0.3">
      <c r="A11689" s="1" t="str">
        <f>"01018689100"</f>
        <v>01018689100</v>
      </c>
      <c r="B11689" s="1" t="str">
        <f>"SMITH JERRY L"</f>
        <v>SMITH JERRY L</v>
      </c>
      <c r="C11689" s="1" t="str">
        <f>"SUNAPPLE WAY APPLEWAY EAST CONDO UNIT 1757 BLDG 15"</f>
        <v>SUNAPPLE WAY APPLEWAY EAST CONDO UNIT 1757 BLDG 15</v>
      </c>
      <c r="D11689" s="1">
        <v>462.94</v>
      </c>
    </row>
    <row r="11690" spans="1:4" x14ac:dyDescent="0.3">
      <c r="A11690" s="1" t="str">
        <f>"53017200800"</f>
        <v>53017200800</v>
      </c>
      <c r="B11690" s="1" t="str">
        <f>"SMITH JERRY L"</f>
        <v>SMITH JERRY L</v>
      </c>
      <c r="C11690" s="1" t="str">
        <f>"UNITED CT INDEPENDENCE VLGE 2 LOT 101"</f>
        <v>UNITED CT INDEPENDENCE VLGE 2 LOT 101</v>
      </c>
      <c r="D11690" s="1">
        <v>1799.1</v>
      </c>
    </row>
    <row r="11691" spans="1:4" x14ac:dyDescent="0.3">
      <c r="A11691" s="1" t="str">
        <f>"01018687000"</f>
        <v>01018687000</v>
      </c>
      <c r="B11691" s="1" t="str">
        <f>"SMITH JERRY L"</f>
        <v>SMITH JERRY L</v>
      </c>
      <c r="C11691" s="1" t="str">
        <f>"LEAFAPPLE LANE APPLEWAY EAST CONDO UNIT 5840 BLDG 10"</f>
        <v>LEAFAPPLE LANE APPLEWAY EAST CONDO UNIT 5840 BLDG 10</v>
      </c>
      <c r="D11691" s="1">
        <v>462.94</v>
      </c>
    </row>
    <row r="11692" spans="1:4" x14ac:dyDescent="0.3">
      <c r="A11692" s="1" t="str">
        <f>"01018688200"</f>
        <v>01018688200</v>
      </c>
      <c r="B11692" s="1" t="str">
        <f>"SMITH JERRY L"</f>
        <v>SMITH JERRY L</v>
      </c>
      <c r="C11692" s="1" t="str">
        <f>"SUNAPPLE WAY APPLEWAY EAST CONDO UNIT 1733 BLDG 13"</f>
        <v>SUNAPPLE WAY APPLEWAY EAST CONDO UNIT 1733 BLDG 13</v>
      </c>
      <c r="D11692" s="1">
        <v>462.94</v>
      </c>
    </row>
    <row r="11693" spans="1:4" x14ac:dyDescent="0.3">
      <c r="A11693" s="1" t="str">
        <f>"51525369800"</f>
        <v>51525369800</v>
      </c>
      <c r="B11693" s="1" t="str">
        <f>"SMITH JERRY L"</f>
        <v>SMITH JERRY L</v>
      </c>
      <c r="C11693" s="1" t="str">
        <f>"HARLEY RUN DRIVE WAGGONER CHASE SECTION 2 PART 1  LOT 113"</f>
        <v>HARLEY RUN DRIVE WAGGONER CHASE SECTION 2 PART 1  LOT 113</v>
      </c>
      <c r="D11693" s="1">
        <v>2548.9299999999998</v>
      </c>
    </row>
    <row r="11694" spans="1:4" x14ac:dyDescent="0.3">
      <c r="A11694" s="1" t="str">
        <f>"01018688100"</f>
        <v>01018688100</v>
      </c>
      <c r="B11694" s="1" t="str">
        <f>"SMITH JERRY L"</f>
        <v>SMITH JERRY L</v>
      </c>
      <c r="C11694" s="1" t="str">
        <f>"LEAFAPPLE LANE APPLEWAY EAST CONDO UNIT 5833 BLDG 13"</f>
        <v>LEAFAPPLE LANE APPLEWAY EAST CONDO UNIT 5833 BLDG 13</v>
      </c>
      <c r="D11694" s="1">
        <v>462.94</v>
      </c>
    </row>
    <row r="11695" spans="1:4" x14ac:dyDescent="0.3">
      <c r="A11695" s="1" t="str">
        <f>"01018690300"</f>
        <v>01018690300</v>
      </c>
      <c r="B11695" s="1" t="str">
        <f>"SMITH JERRY L"</f>
        <v>SMITH JERRY L</v>
      </c>
      <c r="C11695" s="1" t="str">
        <f>"SUNAPPLE WAY APPLEWAY EAST CONDO UNIT 1789 BLDG 18"</f>
        <v>SUNAPPLE WAY APPLEWAY EAST CONDO UNIT 1789 BLDG 18</v>
      </c>
      <c r="D11695" s="1">
        <v>462.94</v>
      </c>
    </row>
    <row r="11696" spans="1:4" x14ac:dyDescent="0.3">
      <c r="A11696" s="1" t="str">
        <f>"01011487200"</f>
        <v>01011487200</v>
      </c>
      <c r="B11696" s="1" t="str">
        <f>"SMITH JIMMIE L, SMITH LARITA M"</f>
        <v>SMITH JIMMIE L, SMITH LARITA M</v>
      </c>
      <c r="C11696" s="1" t="str">
        <f>"CHAMPOIN AVE 40X 157.60FT &amp;1/2 AL VAC MERION EXRS LOT E-F"</f>
        <v>CHAMPOIN AVE 40X 157.60FT &amp;1/2 AL VAC MERION EXRS LOT E-F</v>
      </c>
      <c r="D11696" s="1">
        <v>1000</v>
      </c>
    </row>
    <row r="11697" spans="1:4" x14ac:dyDescent="0.3">
      <c r="A11697" s="1" t="str">
        <f>"23000122000"</f>
        <v>23000122000</v>
      </c>
      <c r="B11697" s="1" t="str">
        <f>"SMITH JUANITA, SMITH JOSEPH"</f>
        <v>SMITH JUANITA, SMITH JOSEPH</v>
      </c>
      <c r="C11697" s="1" t="str">
        <f>"2ST ST W OF OHIO J L MOORE LOT 42-43"</f>
        <v>2ST ST W OF OHIO J L MOORE LOT 42-43</v>
      </c>
      <c r="D11697" s="1">
        <v>1879.75</v>
      </c>
    </row>
    <row r="11698" spans="1:4" x14ac:dyDescent="0.3">
      <c r="A11698" s="1" t="str">
        <f>"23000123500"</f>
        <v>23000123500</v>
      </c>
      <c r="B11698" s="1" t="str">
        <f>"SMITH JUANITA, SMITH JOSEPH"</f>
        <v>SMITH JUANITA, SMITH JOSEPH</v>
      </c>
      <c r="C11698" s="1" t="str">
        <f>"OHIO ST J L MOORE 55-6-7 "</f>
        <v xml:space="preserve">OHIO ST J L MOORE 55-6-7 </v>
      </c>
      <c r="D11698" s="1">
        <v>1059.0999999999999</v>
      </c>
    </row>
    <row r="11699" spans="1:4" x14ac:dyDescent="0.3">
      <c r="A11699" s="1" t="str">
        <f>"23000133800"</f>
        <v>23000133800</v>
      </c>
      <c r="B11699" s="1" t="str">
        <f>"SMITH JUANITA, SMITH JOSEPH"</f>
        <v>SMITH JUANITA, SMITH JOSEPH</v>
      </c>
      <c r="C11699" s="1" t="str">
        <f>"1ST ST W OF OHIO ST J L MOORE LOT 41"</f>
        <v>1ST ST W OF OHIO ST J L MOORE LOT 41</v>
      </c>
      <c r="D11699" s="1">
        <v>1404.82</v>
      </c>
    </row>
    <row r="11700" spans="1:4" x14ac:dyDescent="0.3">
      <c r="A11700" s="1" t="str">
        <f>"15000139000"</f>
        <v>15000139000</v>
      </c>
      <c r="B11700" s="1" t="str">
        <f>"SMITH JULIA"</f>
        <v>SMITH JULIA</v>
      </c>
      <c r="C11700" s="1" t="str">
        <f>"5016 FISHBURN ST HAMILTON MEADOWS 6 LOT 588"</f>
        <v>5016 FISHBURN ST HAMILTON MEADOWS 6 LOT 588</v>
      </c>
      <c r="D11700" s="1">
        <v>298.13</v>
      </c>
    </row>
    <row r="11701" spans="1:4" x14ac:dyDescent="0.3">
      <c r="A11701" s="1" t="str">
        <f>"01002813800"</f>
        <v>01002813800</v>
      </c>
      <c r="B11701" s="1" t="str">
        <f>"SMITH KARINA A"</f>
        <v>SMITH KARINA A</v>
      </c>
      <c r="C11701" s="1" t="str">
        <f>"651 WILSON AVE OAKWOOD LOT 154"</f>
        <v>651 WILSON AVE OAKWOOD LOT 154</v>
      </c>
      <c r="D11701" s="1">
        <v>4573.6099999999997</v>
      </c>
    </row>
    <row r="11702" spans="1:4" x14ac:dyDescent="0.3">
      <c r="A11702" s="1" t="str">
        <f>"01009306600"</f>
        <v>01009306600</v>
      </c>
      <c r="B11702" s="1" t="str">
        <f>"SMITH KAYLIN S"</f>
        <v>SMITH KAYLIN S</v>
      </c>
      <c r="C11702" s="1" t="str">
        <f>"SMITH FARMS COND 3 UNIT 1-D "</f>
        <v xml:space="preserve">SMITH FARMS COND 3 UNIT 1-D </v>
      </c>
      <c r="D11702" s="1">
        <v>3259.66</v>
      </c>
    </row>
    <row r="11703" spans="1:4" x14ac:dyDescent="0.3">
      <c r="A11703" s="1" t="str">
        <f>"06000400700"</f>
        <v>06000400700</v>
      </c>
      <c r="B11703" s="1" t="str">
        <f>"SMITH KEVIN B, CASTLE KATHERINE L"</f>
        <v>SMITH KEVIN B, CASTLE KATHERINE L</v>
      </c>
      <c r="C11703" s="1" t="str">
        <f>"HENTZ DRIVE H C HUBER PLAT 36 SEC 7 LOT 2005"</f>
        <v>HENTZ DRIVE H C HUBER PLAT 36 SEC 7 LOT 2005</v>
      </c>
      <c r="D11703" s="1">
        <v>201.66</v>
      </c>
    </row>
    <row r="11704" spans="1:4" x14ac:dyDescent="0.3">
      <c r="A11704" s="1" t="str">
        <f>"01019426700"</f>
        <v>01019426700</v>
      </c>
      <c r="B11704" s="1" t="str">
        <f>"SMITH KIER L"</f>
        <v>SMITH KIER L</v>
      </c>
      <c r="C11704" s="1" t="str">
        <f>"3312 PETZINGER RD R21 T12 S19 .794 ACRES"</f>
        <v>3312 PETZINGER RD R21 T12 S19 .794 ACRES</v>
      </c>
      <c r="D11704" s="1">
        <v>632.4</v>
      </c>
    </row>
    <row r="11705" spans="1:4" x14ac:dyDescent="0.3">
      <c r="A11705" s="1" t="str">
        <f>"61020378100"</f>
        <v>61020378100</v>
      </c>
      <c r="B11705" s="1" t="str">
        <f>"SMITH KIER L"</f>
        <v>SMITH KIER L</v>
      </c>
      <c r="C11705" s="1" t="str">
        <f>"WORTHINGTON WOODS WEST CONDO 8 1ST AMD UNIT 12-C"</f>
        <v>WORTHINGTON WOODS WEST CONDO 8 1ST AMD UNIT 12-C</v>
      </c>
      <c r="D11705" s="1">
        <v>1330.48</v>
      </c>
    </row>
    <row r="11706" spans="1:4" x14ac:dyDescent="0.3">
      <c r="A11706" s="1" t="str">
        <f>"01012248300"</f>
        <v>01012248300</v>
      </c>
      <c r="B11706" s="1" t="str">
        <f>"SMITH LARRY R, SMITH WINNONA L"</f>
        <v>SMITH LARRY R, SMITH WINNONA L</v>
      </c>
      <c r="C11706" s="1" t="str">
        <f>"DIXIE CT GEORGIAN HTS 5 LOT 72"</f>
        <v>DIXIE CT GEORGIAN HTS 5 LOT 72</v>
      </c>
      <c r="D11706" s="1">
        <v>1109.56</v>
      </c>
    </row>
    <row r="11707" spans="1:4" x14ac:dyDescent="0.3">
      <c r="A11707" s="1" t="str">
        <f>"01010482400"</f>
        <v>01010482400</v>
      </c>
      <c r="B11707" s="1" t="str">
        <f>"SMITH LARRY S"</f>
        <v>SMITH LARRY S</v>
      </c>
      <c r="C11707" s="1" t="str">
        <f>"STRIMPLE AVE CHASELAND MNR 47-48 46' ES 47 &amp; 4' WS 48"</f>
        <v>STRIMPLE AVE CHASELAND MNR 47-48 46' ES 47 &amp; 4' WS 48</v>
      </c>
      <c r="D11707" s="1">
        <v>3899.82</v>
      </c>
    </row>
    <row r="11708" spans="1:4" x14ac:dyDescent="0.3">
      <c r="A11708" s="1" t="str">
        <f>"01002256400"</f>
        <v>01002256400</v>
      </c>
      <c r="B11708" s="1" t="str">
        <f>"SMITH LEANDREW"</f>
        <v>SMITH LEANDREW</v>
      </c>
      <c r="C11708" s="1" t="str">
        <f>"2814 HIAWATHA AVE ALMADA LOT 697"</f>
        <v>2814 HIAWATHA AVE ALMADA LOT 697</v>
      </c>
      <c r="D11708" s="1">
        <v>1638.4</v>
      </c>
    </row>
    <row r="11709" spans="1:4" x14ac:dyDescent="0.3">
      <c r="A11709" s="1" t="str">
        <f>"01007272600"</f>
        <v>01007272600</v>
      </c>
      <c r="B11709" s="1" t="str">
        <f>"SMITH LEANDREW"</f>
        <v>SMITH LEANDREW</v>
      </c>
      <c r="C11709" s="1" t="str">
        <f>"AUDUBON RD HOMECROFT LOT 43"</f>
        <v>AUDUBON RD HOMECROFT LOT 43</v>
      </c>
      <c r="D11709" s="1">
        <v>2003.82</v>
      </c>
    </row>
    <row r="11710" spans="1:4" x14ac:dyDescent="0.3">
      <c r="A11710" s="1" t="str">
        <f>"01007391800"</f>
        <v>01007391800</v>
      </c>
      <c r="B11710" s="1" t="str">
        <f>"SMITH LEANDREW"</f>
        <v>SMITH LEANDREW</v>
      </c>
      <c r="C11710" s="1" t="str">
        <f>"HOMECROFT DR HOMECROFT LOT 161"</f>
        <v>HOMECROFT DR HOMECROFT LOT 161</v>
      </c>
      <c r="D11710" s="1">
        <v>1927.35</v>
      </c>
    </row>
    <row r="11711" spans="1:4" x14ac:dyDescent="0.3">
      <c r="A11711" s="1" t="str">
        <f>"01003377600"</f>
        <v>01003377600</v>
      </c>
      <c r="B11711" s="1" t="str">
        <f>"SMITH LILLIE MAE TOD"</f>
        <v>SMITH LILLIE MAE TOD</v>
      </c>
      <c r="C11711" s="1" t="str">
        <f>"15TH AVE LOUIS HTS LOT 222"</f>
        <v>15TH AVE LOUIS HTS LOT 222</v>
      </c>
      <c r="D11711" s="1">
        <v>653.17999999999995</v>
      </c>
    </row>
    <row r="11712" spans="1:4" x14ac:dyDescent="0.3">
      <c r="A11712" s="1" t="str">
        <f>"27301006000"</f>
        <v>27301006000</v>
      </c>
      <c r="B11712" s="1" t="str">
        <f>"SMITH LINDA S"</f>
        <v>SMITH LINDA S</v>
      </c>
      <c r="C11712" s="1" t="str">
        <f>"HEATHER GLEN VILLAGE CONDOMINIUM 1ST AMD PHASE 2 BLDG 14 UNIT 6179"</f>
        <v>HEATHER GLEN VILLAGE CONDOMINIUM 1ST AMD PHASE 2 BLDG 14 UNIT 6179</v>
      </c>
      <c r="D11712" s="1">
        <v>3353.51</v>
      </c>
    </row>
    <row r="11713" spans="1:4" x14ac:dyDescent="0.3">
      <c r="A11713" s="1" t="str">
        <f>"01002267400"</f>
        <v>01002267400</v>
      </c>
      <c r="B11713" s="1" t="str">
        <f>"SMITH MARLENE K"</f>
        <v>SMITH MARLENE K</v>
      </c>
      <c r="C11713" s="1" t="str">
        <f>"SHERBORNE DRIVE EAST GATE LOT 26 BLK 5"</f>
        <v>SHERBORNE DRIVE EAST GATE LOT 26 BLK 5</v>
      </c>
      <c r="D11713" s="1">
        <v>133.22999999999999</v>
      </c>
    </row>
    <row r="11714" spans="1:4" x14ac:dyDescent="0.3">
      <c r="A11714" s="1" t="str">
        <f>"01016695700"</f>
        <v>01016695700</v>
      </c>
      <c r="B11714" s="1" t="str">
        <f>"SMITH MARTHA"</f>
        <v>SMITH MARTHA</v>
      </c>
      <c r="C11714" s="1" t="str">
        <f>"MARSTON ROAD AMVET HOMESTEAD 2 RES K BLK N"</f>
        <v>MARSTON ROAD AMVET HOMESTEAD 2 RES K BLK N</v>
      </c>
      <c r="D11714" s="1">
        <v>4.55</v>
      </c>
    </row>
    <row r="11715" spans="1:4" x14ac:dyDescent="0.3">
      <c r="A11715" s="1" t="str">
        <f>"01001177200"</f>
        <v>01001177200</v>
      </c>
      <c r="B11715" s="1" t="str">
        <f>"SMITH MARTHA L"</f>
        <v>SMITH MARTHA L</v>
      </c>
      <c r="C11715" s="1" t="str">
        <f>"E FULTON ST MCALLISTER SUB LOT 14 (IRR LOT)"</f>
        <v>E FULTON ST MCALLISTER SUB LOT 14 (IRR LOT)</v>
      </c>
      <c r="D11715" s="1">
        <v>34.64</v>
      </c>
    </row>
    <row r="11716" spans="1:4" x14ac:dyDescent="0.3">
      <c r="A11716" s="1" t="str">
        <f>"01009909200"</f>
        <v>01009909200</v>
      </c>
      <c r="B11716" s="1" t="str">
        <f>"SMITH MARY E"</f>
        <v>SMITH MARY E</v>
      </c>
      <c r="C11716" s="1" t="str">
        <f>"DUXBERRY AVE NORLEA PARK LOT 184-185"</f>
        <v>DUXBERRY AVE NORLEA PARK LOT 184-185</v>
      </c>
      <c r="D11716" s="1">
        <v>1001.45</v>
      </c>
    </row>
    <row r="11717" spans="1:4" x14ac:dyDescent="0.3">
      <c r="A11717" s="1" t="str">
        <f>"07001157100"</f>
        <v>07001157100</v>
      </c>
      <c r="B11717" s="1" t="str">
        <f>"SMITH MARY P"</f>
        <v>SMITH MARY P</v>
      </c>
      <c r="C11717" s="1" t="str">
        <f>"4407 AIRENDEL COURT ARLINGTON CONDO UNIT F-4"</f>
        <v>4407 AIRENDEL COURT ARLINGTON CONDO UNIT F-4</v>
      </c>
      <c r="D11717" s="1">
        <v>274.33999999999997</v>
      </c>
    </row>
    <row r="11718" spans="1:4" x14ac:dyDescent="0.3">
      <c r="A11718" s="1" t="str">
        <f>"01010733000"</f>
        <v>01010733000</v>
      </c>
      <c r="B11718" s="1" t="str">
        <f>"SMITH MILAN"</f>
        <v>SMITH MILAN</v>
      </c>
      <c r="C11718" s="1" t="str">
        <f>"SCOTTWOOD RD LIV MOOR HTS 3 LOT 77"</f>
        <v>SCOTTWOOD RD LIV MOOR HTS 3 LOT 77</v>
      </c>
      <c r="D11718" s="1">
        <v>364.73</v>
      </c>
    </row>
    <row r="11719" spans="1:4" x14ac:dyDescent="0.3">
      <c r="A11719" s="1" t="str">
        <f>"06000453600"</f>
        <v>06000453600</v>
      </c>
      <c r="B11719" s="1" t="str">
        <f>"SMITH MILAN L"</f>
        <v>SMITH MILAN L</v>
      </c>
      <c r="C11719" s="1" t="str">
        <f>"BALDWIN RD BLACKLICK HEIGHTS 2 LOT 41"</f>
        <v>BALDWIN RD BLACKLICK HEIGHTS 2 LOT 41</v>
      </c>
      <c r="D11719" s="1">
        <v>682.01</v>
      </c>
    </row>
    <row r="11720" spans="1:4" x14ac:dyDescent="0.3">
      <c r="A11720" s="1" t="str">
        <f>"01003553400"</f>
        <v>01003553400</v>
      </c>
      <c r="B11720" s="1" t="str">
        <f>"SMITH NATHAN MICHAEL"</f>
        <v>SMITH NATHAN MICHAEL</v>
      </c>
      <c r="C11720" s="1" t="str">
        <f>"180 N 18TH ST DEWITT &amp; HOFFMAN LOT 42"</f>
        <v>180 N 18TH ST DEWITT &amp; HOFFMAN LOT 42</v>
      </c>
      <c r="D11720" s="1">
        <v>3598.12</v>
      </c>
    </row>
    <row r="11721" spans="1:4" x14ac:dyDescent="0.3">
      <c r="A11721" s="1" t="str">
        <f>"10000058500"</f>
        <v>10000058500</v>
      </c>
      <c r="B11721" s="1" t="str">
        <f>"SMITH PAMELA S"</f>
        <v>SMITH PAMELA S</v>
      </c>
      <c r="C11721" s="1" t="str">
        <f>"672 EVENING ST E HOWARD GILKEYS 7"</f>
        <v>672 EVENING ST E HOWARD GILKEYS 7</v>
      </c>
      <c r="D11721" s="1">
        <v>608.44000000000005</v>
      </c>
    </row>
    <row r="11722" spans="1:4" x14ac:dyDescent="0.3">
      <c r="A11722" s="1" t="str">
        <f>"25300272600"</f>
        <v>25300272600</v>
      </c>
      <c r="B11722" s="1" t="str">
        <f>"SMITH PATRICIA A, PROCTOR STEVEN"</f>
        <v>SMITH PATRICIA A, PROCTOR STEVEN</v>
      </c>
      <c r="C11722" s="1" t="str">
        <f>"RIVER GLE DR VAN D BOE HAGR 11 LOTS 66 67"</f>
        <v>RIVER GLE DR VAN D BOE HAGR 11 LOTS 66 67</v>
      </c>
      <c r="D11722" s="1">
        <v>744.01</v>
      </c>
    </row>
    <row r="11723" spans="1:4" x14ac:dyDescent="0.3">
      <c r="A11723" s="1" t="str">
        <f>"01015379300"</f>
        <v>01015379300</v>
      </c>
      <c r="B11723" s="1" t="str">
        <f>"SMITH PRISCILLA A"</f>
        <v>SMITH PRISCILLA A</v>
      </c>
      <c r="C11723" s="1" t="str">
        <f>"SKYWAE DR SKYWAE HTS SEC 4 LOT 171"</f>
        <v>SKYWAE DR SKYWAE HTS SEC 4 LOT 171</v>
      </c>
      <c r="D11723" s="1">
        <v>855.52</v>
      </c>
    </row>
    <row r="11724" spans="1:4" x14ac:dyDescent="0.3">
      <c r="A11724" s="1" t="str">
        <f>"03000092000"</f>
        <v>03000092000</v>
      </c>
      <c r="B11724" s="1" t="str">
        <f>"SMITH RACHEL"</f>
        <v>SMITH RACHEL</v>
      </c>
      <c r="C11724" s="1" t="str">
        <f>"814 OXLEY RD PT LOTS 209-210 NORTHWEST BLVD 4"</f>
        <v>814 OXLEY RD PT LOTS 209-210 NORTHWEST BLVD 4</v>
      </c>
      <c r="D11724" s="1">
        <v>4334.68</v>
      </c>
    </row>
    <row r="11725" spans="1:4" x14ac:dyDescent="0.3">
      <c r="A11725" s="1" t="str">
        <f>"01009787600"</f>
        <v>01009787600</v>
      </c>
      <c r="B11725" s="1" t="str">
        <f>"SMITH RALPH W, SMITH SHARRON I"</f>
        <v>SMITH RALPH W, SMITH SHARRON I</v>
      </c>
      <c r="C11725" s="1" t="str">
        <f>"SCOTTWOOD RD BERWICK HTS LOT 116"</f>
        <v>SCOTTWOOD RD BERWICK HTS LOT 116</v>
      </c>
      <c r="D11725" s="1">
        <v>2693.94</v>
      </c>
    </row>
    <row r="11726" spans="1:4" x14ac:dyDescent="0.3">
      <c r="A11726" s="1" t="str">
        <f>"27300296500"</f>
        <v>27300296500</v>
      </c>
      <c r="B11726" s="1" t="str">
        <f>"SMITH REBEKAH"</f>
        <v>SMITH REBEKAH</v>
      </c>
      <c r="C11726" s="1" t="str">
        <f>"5413 EARLINGTON PW EARLINGTON VIL SEC 1 LOT 29"</f>
        <v>5413 EARLINGTON PW EARLINGTON VIL SEC 1 LOT 29</v>
      </c>
      <c r="D11726" s="1">
        <v>6818.21</v>
      </c>
    </row>
    <row r="11727" spans="1:4" x14ac:dyDescent="0.3">
      <c r="A11727" s="1" t="str">
        <f>"01006041800"</f>
        <v>01006041800</v>
      </c>
      <c r="B11727" s="1" t="str">
        <f>"SMITH RICHARD L"</f>
        <v>SMITH RICHARD L</v>
      </c>
      <c r="C11727" s="1" t="str">
        <f>"1381-23RD AVE WALDEMERE LOT 145"</f>
        <v>1381-23RD AVE WALDEMERE LOT 145</v>
      </c>
      <c r="D11727" s="1">
        <v>590.69000000000005</v>
      </c>
    </row>
    <row r="11728" spans="1:4" x14ac:dyDescent="0.3">
      <c r="A11728" s="1" t="str">
        <f>"01015264700"</f>
        <v>01015264700</v>
      </c>
      <c r="B11728" s="1" t="str">
        <f>"SMITH RITA"</f>
        <v>SMITH RITA</v>
      </c>
      <c r="C11728" s="1" t="str">
        <f>"ROCKY PINE LOOP N FOREST PARK E SEC 9 LOT 1153"</f>
        <v>ROCKY PINE LOOP N FOREST PARK E SEC 9 LOT 1153</v>
      </c>
      <c r="D11728" s="1">
        <v>3594.53</v>
      </c>
    </row>
    <row r="11729" spans="1:4" x14ac:dyDescent="0.3">
      <c r="A11729" s="1" t="str">
        <f>"18000527100"</f>
        <v>18000527100</v>
      </c>
      <c r="B11729" s="1" t="str">
        <f>"SMITH RITA A"</f>
        <v>SMITH RITA A</v>
      </c>
      <c r="C11729" s="1" t="str">
        <f>"CROSSCREEK DRIVE CROSSCREEK VILLAGE SECTION 2 LOT 38"</f>
        <v>CROSSCREEK DRIVE CROSSCREEK VILLAGE SECTION 2 LOT 38</v>
      </c>
      <c r="D11729" s="1">
        <v>2314.0500000000002</v>
      </c>
    </row>
    <row r="11730" spans="1:4" x14ac:dyDescent="0.3">
      <c r="A11730" s="1" t="str">
        <f>"24000656400"</f>
        <v>24000656400</v>
      </c>
      <c r="B11730" s="1" t="str">
        <f>"SMITH ROBIN A TR, SIMMONS NIKI L"</f>
        <v>SMITH ROBIN A TR, SIMMONS NIKI L</v>
      </c>
      <c r="C11730" s="1" t="str">
        <f>"4955 BIF RUN SOUTH RD OQ 1000 ENTRY 3026 1.805 ACRES"</f>
        <v>4955 BIF RUN SOUTH RD OQ 1000 ENTRY 3026 1.805 ACRES</v>
      </c>
      <c r="D11730" s="1">
        <v>267.43</v>
      </c>
    </row>
    <row r="11731" spans="1:4" x14ac:dyDescent="0.3">
      <c r="A11731" s="1" t="str">
        <f>"05000536700"</f>
        <v>05000536700</v>
      </c>
      <c r="B11731" s="1" t="str">
        <f>"SMITH ROBIN R"</f>
        <v>SMITH ROBIN R</v>
      </c>
      <c r="C11731" s="1" t="str">
        <f>"CORDOBA STREET BRITTON FARMS SEC 1 LOT 35"</f>
        <v>CORDOBA STREET BRITTON FARMS SEC 1 LOT 35</v>
      </c>
      <c r="D11731" s="1">
        <v>6068.94</v>
      </c>
    </row>
    <row r="11732" spans="1:4" x14ac:dyDescent="0.3">
      <c r="A11732" s="1" t="str">
        <f>"07000605800"</f>
        <v>07000605800</v>
      </c>
      <c r="B11732" s="1" t="str">
        <f>"SMITH RONALD"</f>
        <v>SMITH RONALD</v>
      </c>
      <c r="C11732" s="1" t="str">
        <f>"WESLEYAN DRIVE SCIOTANGY HTS AMD LT 144-145&amp;PT VAC AL"</f>
        <v>WESLEYAN DRIVE SCIOTANGY HTS AMD LT 144-145&amp;PT VAC AL</v>
      </c>
      <c r="D11732" s="1">
        <v>340.58</v>
      </c>
    </row>
    <row r="11733" spans="1:4" x14ac:dyDescent="0.3">
      <c r="A11733" s="1" t="str">
        <f>"01005927200"</f>
        <v>01005927200</v>
      </c>
      <c r="B11733" s="1" t="str">
        <f>"SMITH RONNIE"</f>
        <v>SMITH RONNIE</v>
      </c>
      <c r="C11733" s="1" t="str">
        <f>"LINDEN ADD LOT 783-4  "</f>
        <v xml:space="preserve">LINDEN ADD LOT 783-4  </v>
      </c>
      <c r="D11733" s="1">
        <v>800.21</v>
      </c>
    </row>
    <row r="11734" spans="1:4" x14ac:dyDescent="0.3">
      <c r="A11734" s="1" t="str">
        <f>"01005930200"</f>
        <v>01005930200</v>
      </c>
      <c r="B11734" s="1" t="str">
        <f>"SMITH RONNIE L"</f>
        <v>SMITH RONNIE L</v>
      </c>
      <c r="C11734" s="1" t="str">
        <f>"1387 MINNESOTA AVE L INDEN LOT641"</f>
        <v>1387 MINNESOTA AVE L INDEN LOT641</v>
      </c>
      <c r="D11734" s="1">
        <v>2141.4899999999998</v>
      </c>
    </row>
    <row r="11735" spans="1:4" x14ac:dyDescent="0.3">
      <c r="A11735" s="1" t="str">
        <f>"01005908400"</f>
        <v>01005908400</v>
      </c>
      <c r="B11735" s="1" t="str">
        <f>"SMITH RONNIE L"</f>
        <v>SMITH RONNIE L</v>
      </c>
      <c r="C11735" s="1" t="str">
        <f>"1367 MINNESOTA AVE LINDEN LOTS 638-640"</f>
        <v>1367 MINNESOTA AVE LINDEN LOTS 638-640</v>
      </c>
      <c r="D11735" s="1">
        <v>1637.48</v>
      </c>
    </row>
    <row r="11736" spans="1:4" x14ac:dyDescent="0.3">
      <c r="A11736" s="1" t="str">
        <f>"01013240300"</f>
        <v>01013240300</v>
      </c>
      <c r="B11736" s="1" t="str">
        <f>"SMITH ROSE T TR"</f>
        <v>SMITH ROSE T TR</v>
      </c>
      <c r="C11736" s="1" t="str">
        <f>"KARL RD WOODWARD PARK LOT 1"</f>
        <v>KARL RD WOODWARD PARK LOT 1</v>
      </c>
      <c r="D11736" s="1">
        <v>162.13999999999999</v>
      </c>
    </row>
    <row r="11737" spans="1:4" x14ac:dyDescent="0.3">
      <c r="A11737" s="1" t="str">
        <f>"01011682400"</f>
        <v>01011682400</v>
      </c>
      <c r="B11737" s="1" t="str">
        <f>"SMITH RUTHIE M"</f>
        <v>SMITH RUTHIE M</v>
      </c>
      <c r="C11737" s="1" t="str">
        <f>"BLAINE DR LEA-WOOD GARDENS 3 LOT 140"</f>
        <v>BLAINE DR LEA-WOOD GARDENS 3 LOT 140</v>
      </c>
      <c r="D11737" s="1">
        <v>124.97</v>
      </c>
    </row>
    <row r="11738" spans="1:4" x14ac:dyDescent="0.3">
      <c r="A11738" s="1" t="str">
        <f>"01013395000"</f>
        <v>01013395000</v>
      </c>
      <c r="B11738" s="1" t="str">
        <f>"SMITH RYAN D"</f>
        <v>SMITH RYAN D</v>
      </c>
      <c r="C11738" s="1" t="str">
        <f>"WHITBY SQ N DEVONSHIRE 1 LOT 171"</f>
        <v>WHITBY SQ N DEVONSHIRE 1 LOT 171</v>
      </c>
      <c r="D11738" s="1">
        <v>164.43</v>
      </c>
    </row>
    <row r="11739" spans="1:4" x14ac:dyDescent="0.3">
      <c r="A11739" s="1" t="str">
        <f>"01007665900"</f>
        <v>01007665900</v>
      </c>
      <c r="B11739" s="1" t="str">
        <f>"SMITH SAMUEL"</f>
        <v>SMITH SAMUEL</v>
      </c>
      <c r="C11739" s="1" t="str">
        <f>"DUXBERRY AVE HOMESTEAD HEIGHTS 2 LOT 91"</f>
        <v>DUXBERRY AVE HOMESTEAD HEIGHTS 2 LOT 91</v>
      </c>
      <c r="D11739" s="1">
        <v>1589.03</v>
      </c>
    </row>
    <row r="11740" spans="1:4" x14ac:dyDescent="0.3">
      <c r="A11740" s="1" t="str">
        <f>"56018435200"</f>
        <v>56018435200</v>
      </c>
      <c r="B11740" s="1" t="str">
        <f>"SMITH SANDRA L"</f>
        <v>SMITH SANDRA L</v>
      </c>
      <c r="C11740" s="1" t="str">
        <f>"ROCHFORT BRIDGE DR THE GLEN NO 4 LOT 283"</f>
        <v>ROCHFORT BRIDGE DR THE GLEN NO 4 LOT 283</v>
      </c>
      <c r="D11740" s="1">
        <v>3322.25</v>
      </c>
    </row>
    <row r="11741" spans="1:4" x14ac:dyDescent="0.3">
      <c r="A11741" s="1" t="str">
        <f>"16000163800"</f>
        <v>16000163800</v>
      </c>
      <c r="B11741" s="1" t="str">
        <f>"SMITH SHERIDAN TTEE"</f>
        <v>SMITH SHERIDAN TTEE</v>
      </c>
      <c r="C11741" s="1" t="str">
        <f>"LONDON GROVEPORT RD SOUTHWEST ACRES 1 LOT 5"</f>
        <v>LONDON GROVEPORT RD SOUTHWEST ACRES 1 LOT 5</v>
      </c>
      <c r="D11741" s="1">
        <v>220.62</v>
      </c>
    </row>
    <row r="11742" spans="1:4" x14ac:dyDescent="0.3">
      <c r="A11742" s="1" t="str">
        <f>"07001051900"</f>
        <v>07001051900</v>
      </c>
      <c r="B11742" s="1" t="str">
        <f>"SMITH SHERYL A"</f>
        <v>SMITH SHERYL A</v>
      </c>
      <c r="C11742" s="1" t="str">
        <f>"1876 ARDWICK RD WILLIAMSBURG ESTATES LOT 19"</f>
        <v>1876 ARDWICK RD WILLIAMSBURG ESTATES LOT 19</v>
      </c>
      <c r="D11742" s="1">
        <v>1609.22</v>
      </c>
    </row>
    <row r="11743" spans="1:4" x14ac:dyDescent="0.3">
      <c r="A11743" s="1" t="str">
        <f>"27300064900"</f>
        <v>27300064900</v>
      </c>
      <c r="B11743" s="1" t="str">
        <f>"SMITH STEPHEN J"</f>
        <v>SMITH STEPHEN J</v>
      </c>
      <c r="C11743" s="1" t="str">
        <f>"8652 GAIRLOCH CT MUIRFIELD VILLAGE 1 LOT 33"</f>
        <v>8652 GAIRLOCH CT MUIRFIELD VILLAGE 1 LOT 33</v>
      </c>
      <c r="D11743" s="1">
        <v>703.99</v>
      </c>
    </row>
    <row r="11744" spans="1:4" x14ac:dyDescent="0.3">
      <c r="A11744" s="1" t="str">
        <f>"01006546100"</f>
        <v>01006546100</v>
      </c>
      <c r="B11744" s="1" t="str">
        <f>"SMITH TARA"</f>
        <v>SMITH TARA</v>
      </c>
      <c r="C11744" s="1" t="str">
        <f>"GRACE ST COR BRINKER AVE COLUMBIA PK LOT 24 BLK 2"</f>
        <v>GRACE ST COR BRINKER AVE COLUMBIA PK LOT 24 BLK 2</v>
      </c>
      <c r="D11744" s="1">
        <v>964.66</v>
      </c>
    </row>
    <row r="11745" spans="1:4" x14ac:dyDescent="0.3">
      <c r="A11745" s="1" t="str">
        <f>"01002196100"</f>
        <v>01002196100</v>
      </c>
      <c r="B11745" s="1" t="str">
        <f>"SMITH TRAVIS D"</f>
        <v>SMITH TRAVIS D</v>
      </c>
      <c r="C11745" s="1" t="str">
        <f>"1406 OXFORD ST. MONETTS CENTENIAL LOT 44"</f>
        <v>1406 OXFORD ST. MONETTS CENTENIAL LOT 44</v>
      </c>
      <c r="D11745" s="1">
        <v>508.83</v>
      </c>
    </row>
    <row r="11746" spans="1:4" x14ac:dyDescent="0.3">
      <c r="A11746" s="1" t="str">
        <f>"01014278000"</f>
        <v>01014278000</v>
      </c>
      <c r="B11746" s="1" t="str">
        <f>"SMITH WILLIAM T SR"</f>
        <v>SMITH WILLIAM T SR</v>
      </c>
      <c r="C11746" s="1" t="str">
        <f>"CARALEE DR SOMERSET 6 LOT 1034"</f>
        <v>CARALEE DR SOMERSET 6 LOT 1034</v>
      </c>
      <c r="D11746" s="1">
        <v>233.22</v>
      </c>
    </row>
    <row r="11747" spans="1:4" x14ac:dyDescent="0.3">
      <c r="A11747" s="1" t="str">
        <f>"01000830900"</f>
        <v>01000830900</v>
      </c>
      <c r="B11747" s="1" t="str">
        <f>"SMITH WILLIAM TIMOTHY SR, SMITH WAYNE EUGENE, SMITH MARK DWIGHT"</f>
        <v>SMITH WILLIAM TIMOTHY SR, SMITH WAYNE EUGENE, SMITH MARK DWIGHT</v>
      </c>
      <c r="C11747" s="1" t="str">
        <f>"1332 KENT AVE GEO H COLES LOT 32"</f>
        <v>1332 KENT AVE GEO H COLES LOT 32</v>
      </c>
      <c r="D11747" s="1">
        <v>193.05</v>
      </c>
    </row>
    <row r="11748" spans="1:4" x14ac:dyDescent="0.3">
      <c r="A11748" s="1" t="str">
        <f>"56021192800"</f>
        <v>56021192800</v>
      </c>
      <c r="B11748" s="1" t="str">
        <f>"SMITH ZACHARY TAYLOR"</f>
        <v>SMITH ZACHARY TAYLOR</v>
      </c>
      <c r="C11748" s="1" t="str">
        <f>"DRIFFIELD COURT SHANNONBROOK SEC 4 LOT 307"</f>
        <v>DRIFFIELD COURT SHANNONBROOK SEC 4 LOT 307</v>
      </c>
      <c r="D11748" s="1">
        <v>208.54</v>
      </c>
    </row>
    <row r="11749" spans="1:4" x14ac:dyDescent="0.3">
      <c r="A11749" s="1" t="str">
        <f>"10000181000"</f>
        <v>10000181000</v>
      </c>
      <c r="B11749" s="1" t="str">
        <f>"SMITHBERGER KATHERINE P TOD"</f>
        <v>SMITHBERGER KATHERINE P TOD</v>
      </c>
      <c r="C11749" s="1" t="str">
        <f>"5573 FOSTER ST LOT 13 RESUB LOTS 15-22 HILLS &amp; DALES"</f>
        <v>5573 FOSTER ST LOT 13 RESUB LOTS 15-22 HILLS &amp; DALES</v>
      </c>
      <c r="D11749" s="1">
        <v>1900.1</v>
      </c>
    </row>
    <row r="11750" spans="1:4" x14ac:dyDescent="0.3">
      <c r="A11750" s="1" t="str">
        <f>"61015928200"</f>
        <v>61015928200</v>
      </c>
      <c r="B11750" s="1" t="str">
        <f>"SMITHBERGER MARION E, SMITHBERGER CAROL A"</f>
        <v>SMITHBERGER MARION E, SMITHBERGER CAROL A</v>
      </c>
      <c r="C11750" s="1" t="str">
        <f>"7658 FOOTEMILL LANE WORTHINGTON HILLS 6 LOT 24"</f>
        <v>7658 FOOTEMILL LANE WORTHINGTON HILLS 6 LOT 24</v>
      </c>
      <c r="D11750" s="1">
        <v>939.16</v>
      </c>
    </row>
    <row r="11751" spans="1:4" x14ac:dyDescent="0.3">
      <c r="A11751" s="1" t="str">
        <f>"24000174900"</f>
        <v>24000174900</v>
      </c>
      <c r="B11751" s="1" t="str">
        <f>"SMITHERS MICHAEL RAY, SMITHERS ABIGAIL MALIA"</f>
        <v>SMITHERS MICHAEL RAY, SMITHERS ABIGAIL MALIA</v>
      </c>
      <c r="C11751" s="1" t="str">
        <f>"N HIGH ST GALLOWAY &amp; SMITH 70 "</f>
        <v xml:space="preserve">N HIGH ST GALLOWAY &amp; SMITH 70 </v>
      </c>
      <c r="D11751" s="1">
        <v>423.91</v>
      </c>
    </row>
    <row r="11752" spans="1:4" x14ac:dyDescent="0.3">
      <c r="A11752" s="1" t="str">
        <f>"24000176100"</f>
        <v>24000176100</v>
      </c>
      <c r="B11752" s="1" t="str">
        <f>"SMITHERS MICHAEL RAY, SMITHERS ABIGAIL MALIA"</f>
        <v>SMITHERS MICHAEL RAY, SMITHERS ABIGAIL MALIA</v>
      </c>
      <c r="C11752" s="1" t="str">
        <f>"N HIGH ST GALLOWAY &amp; SMITH 72 "</f>
        <v xml:space="preserve">N HIGH ST GALLOWAY &amp; SMITH 72 </v>
      </c>
      <c r="D11752" s="1">
        <v>565.21</v>
      </c>
    </row>
    <row r="11753" spans="1:4" x14ac:dyDescent="0.3">
      <c r="A11753" s="1" t="str">
        <f>"06000949300"</f>
        <v>06000949300</v>
      </c>
      <c r="B11753" s="1" t="str">
        <f>"SMITH-ROWE KARI M"</f>
        <v>SMITH-ROWE KARI M</v>
      </c>
      <c r="C11753" s="1" t="str">
        <f>"ROSE HILL TOWNHOME DEVELOPMENT LOT 26 "</f>
        <v xml:space="preserve">ROSE HILL TOWNHOME DEVELOPMENT LOT 26 </v>
      </c>
      <c r="D11753" s="1">
        <v>6797.78</v>
      </c>
    </row>
    <row r="11754" spans="1:4" x14ac:dyDescent="0.3">
      <c r="A11754" s="1" t="str">
        <f>"01006297200"</f>
        <v>01006297200</v>
      </c>
      <c r="B11754" s="1" t="str">
        <f>"SMOOT GENEVIEVE W"</f>
        <v>SMOOT GENEVIEVE W</v>
      </c>
      <c r="C11754" s="1" t="str">
        <f>"SUNBURY RD R17 T1 1/4T2 6.785 ACRES"</f>
        <v>SUNBURY RD R17 T1 1/4T2 6.785 ACRES</v>
      </c>
      <c r="D11754" s="1">
        <v>619.63</v>
      </c>
    </row>
    <row r="11755" spans="1:4" x14ac:dyDescent="0.3">
      <c r="A11755" s="1" t="str">
        <f>"05000636500"</f>
        <v>05000636500</v>
      </c>
      <c r="B11755" s="1" t="str">
        <f>"SMOOT HOLLY"</f>
        <v>SMOOT HOLLY</v>
      </c>
      <c r="C11755" s="1" t="str">
        <f>"BOATHOUSE LN RESUB RIVER LANDINGS SEC4 &amp; VAC   LOT 309"</f>
        <v>BOATHOUSE LN RESUB RIVER LANDINGS SEC4 &amp; VAC   LOT 309</v>
      </c>
      <c r="D11755" s="1">
        <v>12756.61</v>
      </c>
    </row>
    <row r="11756" spans="1:4" x14ac:dyDescent="0.3">
      <c r="A11756" s="1" t="str">
        <f>"01015858900"</f>
        <v>01015858900</v>
      </c>
      <c r="B11756" s="1" t="str">
        <f>"SMOOT MICHELLE L"</f>
        <v>SMOOT MICHELLE L</v>
      </c>
      <c r="C11756" s="1" t="str">
        <f>"WALNUT CREEK DR WALNUT CREEK SEC 1 LOT 120"</f>
        <v>WALNUT CREEK DR WALNUT CREEK SEC 1 LOT 120</v>
      </c>
      <c r="D11756" s="1">
        <v>415.29</v>
      </c>
    </row>
    <row r="11757" spans="1:4" x14ac:dyDescent="0.3">
      <c r="A11757" s="1" t="str">
        <f>"01028412400"</f>
        <v>01028412400</v>
      </c>
      <c r="B11757" s="1" t="str">
        <f>"SMOYER CHLOE R"</f>
        <v>SMOYER CHLOE R</v>
      </c>
      <c r="C11757" s="1" t="str">
        <f>"GLENABBY CONDOMINIUM 2ND AMD BLDG 8 UNIT 8-5282"</f>
        <v>GLENABBY CONDOMINIUM 2ND AMD BLDG 8 UNIT 8-5282</v>
      </c>
      <c r="D11757" s="1">
        <v>2653.55</v>
      </c>
    </row>
    <row r="11758" spans="1:4" x14ac:dyDescent="0.3">
      <c r="A11758" s="1" t="str">
        <f>"01004003200"</f>
        <v>01004003200</v>
      </c>
      <c r="B11758" s="1" t="str">
        <f>"SMTIH MICHAEL L"</f>
        <v>SMTIH MICHAEL L</v>
      </c>
      <c r="C11758" s="1" t="str">
        <f>"HAGUE AVE CAMP CHASE HTS LOT 432"</f>
        <v>HAGUE AVE CAMP CHASE HTS LOT 432</v>
      </c>
      <c r="D11758" s="1">
        <v>256.88</v>
      </c>
    </row>
    <row r="11759" spans="1:4" x14ac:dyDescent="0.3">
      <c r="A11759" s="1" t="str">
        <f>"01004003100"</f>
        <v>01004003100</v>
      </c>
      <c r="B11759" s="1" t="str">
        <f>"SMTIH MICHAEL L"</f>
        <v>SMTIH MICHAEL L</v>
      </c>
      <c r="C11759" s="1" t="str">
        <f>"137 S HAGUE AVE CAMP CHASE HTS LOT 431"</f>
        <v>137 S HAGUE AVE CAMP CHASE HTS LOT 431</v>
      </c>
      <c r="D11759" s="1">
        <v>1389.58</v>
      </c>
    </row>
    <row r="11760" spans="1:4" x14ac:dyDescent="0.3">
      <c r="A11760" s="1" t="str">
        <f>"05000568900"</f>
        <v>05000568900</v>
      </c>
      <c r="B11760" s="1" t="str">
        <f>"SMYSER COURTNEY, SMYSER ROB III"</f>
        <v>SMYSER COURTNEY, SMYSER ROB III</v>
      </c>
      <c r="C11760" s="1" t="str">
        <f>"BOATHOUSE LANE RIVER LANDINGS SEC 4 LOT 358"</f>
        <v>BOATHOUSE LANE RIVER LANDINGS SEC 4 LOT 358</v>
      </c>
      <c r="D11760" s="1">
        <v>5833.66</v>
      </c>
    </row>
    <row r="11761" spans="1:4" x14ac:dyDescent="0.3">
      <c r="A11761" s="1" t="str">
        <f>"10000195700"</f>
        <v>10000195700</v>
      </c>
      <c r="B11761" s="1" t="str">
        <f>"SMYTH ALLEN T, SMYTH JULIA C"</f>
        <v>SMYTH ALLEN T, SMYTH JULIA C</v>
      </c>
      <c r="C11761" s="1" t="str">
        <f>"535 PARK BLVD COLONIAL HILLS 2 LOT 539 &amp; PT VAC ALLEY"</f>
        <v>535 PARK BLVD COLONIAL HILLS 2 LOT 539 &amp; PT VAC ALLEY</v>
      </c>
      <c r="D11761" s="1">
        <v>5199.13</v>
      </c>
    </row>
    <row r="11762" spans="1:4" x14ac:dyDescent="0.3">
      <c r="A11762" s="1" t="str">
        <f>"61023343700"</f>
        <v>61023343700</v>
      </c>
      <c r="B11762" s="1" t="str">
        <f>"SNA MANAGEMENT LLC"</f>
        <v>SNA MANAGEMENT LLC</v>
      </c>
      <c r="C11762" s="1" t="str">
        <f>"887 PHILADELPHIA DR CARRIAGE OAKS CONDO 5TH AMD UNIT 24D"</f>
        <v>887 PHILADELPHIA DR CARRIAGE OAKS CONDO 5TH AMD UNIT 24D</v>
      </c>
      <c r="D11762" s="1">
        <v>2650.3</v>
      </c>
    </row>
    <row r="11763" spans="1:4" x14ac:dyDescent="0.3">
      <c r="A11763" s="1" t="str">
        <f>"01012607300"</f>
        <v>01012607300</v>
      </c>
      <c r="B11763" s="1" t="str">
        <f>"SNA MANAGEMENT LLC"</f>
        <v>SNA MANAGEMENT LLC</v>
      </c>
      <c r="C11763" s="1" t="str">
        <f>"DANFORTH RD CLINTON ESTATES 5 LOT 219"</f>
        <v>DANFORTH RD CLINTON ESTATES 5 LOT 219</v>
      </c>
      <c r="D11763" s="1">
        <v>2055.8200000000002</v>
      </c>
    </row>
    <row r="11764" spans="1:4" x14ac:dyDescent="0.3">
      <c r="A11764" s="1" t="str">
        <f>"60015524900"</f>
        <v>60015524900</v>
      </c>
      <c r="B11764" s="1" t="str">
        <f>"SNELL RANDY G, SNELL PATRICIA"</f>
        <v>SNELL RANDY G, SNELL PATRICIA</v>
      </c>
      <c r="C11764" s="1" t="str">
        <f>"WALNUT VIEW BLVD GOULD PARK 2 LOTS 151-152"</f>
        <v>WALNUT VIEW BLVD GOULD PARK 2 LOTS 151-152</v>
      </c>
      <c r="D11764" s="1">
        <v>104.31</v>
      </c>
    </row>
    <row r="11765" spans="1:4" x14ac:dyDescent="0.3">
      <c r="A11765" s="1" t="str">
        <f>"60015530200"</f>
        <v>60015530200</v>
      </c>
      <c r="B11765" s="1" t="str">
        <f>"SNELL RANDY G, SNELL PATRICIA"</f>
        <v>SNELL RANDY G, SNELL PATRICIA</v>
      </c>
      <c r="C11765" s="1" t="str">
        <f>"SOUTH PARK DRIVE GOULD PARK 2 215-216"</f>
        <v>SOUTH PARK DRIVE GOULD PARK 2 215-216</v>
      </c>
      <c r="D11765" s="1">
        <v>6.79</v>
      </c>
    </row>
    <row r="11766" spans="1:4" x14ac:dyDescent="0.3">
      <c r="A11766" s="1" t="str">
        <f>"24000379500"</f>
        <v>24000379500</v>
      </c>
      <c r="B11766" s="1" t="str">
        <f>"SNEPP DALE M TTEE"</f>
        <v>SNEPP DALE M TTEE</v>
      </c>
      <c r="C11766" s="1" t="str">
        <f>"MALDEN WAY LINCOLN VILLAGE 655 "</f>
        <v xml:space="preserve">MALDEN WAY LINCOLN VILLAGE 655 </v>
      </c>
      <c r="D11766" s="1">
        <v>333.3</v>
      </c>
    </row>
    <row r="11767" spans="1:4" x14ac:dyDescent="0.3">
      <c r="A11767" s="1" t="str">
        <f>"11000247500"</f>
        <v>11000247500</v>
      </c>
      <c r="B11767" s="1" t="str">
        <f>"SNM BUILDERS LLC"</f>
        <v>SNM BUILDERS LLC</v>
      </c>
      <c r="C11767" s="1" t="str">
        <f>"CHESTER RD CLEVELAND HEIGHTS 2 216"</f>
        <v>CHESTER RD CLEVELAND HEIGHTS 2 216</v>
      </c>
      <c r="D11767" s="1">
        <v>876.85</v>
      </c>
    </row>
    <row r="11768" spans="1:4" x14ac:dyDescent="0.3">
      <c r="A11768" s="1" t="str">
        <f>"09000395100"</f>
        <v>09000395100</v>
      </c>
      <c r="B11768" s="1" t="str">
        <f>"SNOW CATHY BENNETT"</f>
        <v>SNOW CATHY BENNETT</v>
      </c>
      <c r="C11768" s="1" t="str">
        <f>"808 PIERCE AVE GLENCOE LOT 155"</f>
        <v>808 PIERCE AVE GLENCOE LOT 155</v>
      </c>
      <c r="D11768" s="1">
        <v>2280.4499999999998</v>
      </c>
    </row>
    <row r="11769" spans="1:4" x14ac:dyDescent="0.3">
      <c r="A11769" s="1" t="str">
        <f>"49026742400"</f>
        <v>49026742400</v>
      </c>
      <c r="B11769" s="1" t="str">
        <f>"SNOW INVESTMENTS INC"</f>
        <v>SNOW INVESTMENTS INC</v>
      </c>
      <c r="C11769" s="1" t="str">
        <f>"CANAL HIGHLANDS BLVD CANAL CROSSING SECTION 1 LOT 26"</f>
        <v>CANAL HIGHLANDS BLVD CANAL CROSSING SECTION 1 LOT 26</v>
      </c>
      <c r="D11769" s="1">
        <v>6361.38</v>
      </c>
    </row>
    <row r="11770" spans="1:4" x14ac:dyDescent="0.3">
      <c r="A11770" s="1" t="str">
        <f>"17000499200"</f>
        <v>17000499200</v>
      </c>
      <c r="B11770" s="1" t="str">
        <f>"SNOW TRACY L, SNOW FAITH A"</f>
        <v>SNOW TRACY L, SNOW FAITH A</v>
      </c>
      <c r="C11770" s="1" t="str">
        <f>"BRIARFIELD LOT 36 "</f>
        <v xml:space="preserve">BRIARFIELD LOT 36 </v>
      </c>
      <c r="D11770" s="1">
        <v>18409.52</v>
      </c>
    </row>
    <row r="11771" spans="1:4" x14ac:dyDescent="0.3">
      <c r="A11771" s="1" t="str">
        <f>"14000551200"</f>
        <v>14000551200</v>
      </c>
      <c r="B11771" s="1" t="str">
        <f>"SNYDER BRENDA"</f>
        <v>SNYDER BRENDA</v>
      </c>
      <c r="C11771" s="1" t="str">
        <f>"1060 GENEVA AVE ENTRY 717 ACRES .50"</f>
        <v>1060 GENEVA AVE ENTRY 717 ACRES .50</v>
      </c>
      <c r="D11771" s="1">
        <v>478.06</v>
      </c>
    </row>
    <row r="11772" spans="1:4" x14ac:dyDescent="0.3">
      <c r="A11772" s="1" t="str">
        <f>"57014568900"</f>
        <v>57014568900</v>
      </c>
      <c r="B11772" s="1" t="str">
        <f>"SNYDER BRENDA JO"</f>
        <v>SNYDER BRENDA JO</v>
      </c>
      <c r="C11772" s="1" t="str">
        <f>"CLIME RD RIVER BEND SEC 1 LOT 5"</f>
        <v>CLIME RD RIVER BEND SEC 1 LOT 5</v>
      </c>
      <c r="D11772" s="1">
        <v>418.31</v>
      </c>
    </row>
    <row r="11773" spans="1:4" x14ac:dyDescent="0.3">
      <c r="A11773" s="1" t="str">
        <f>"54522050000"</f>
        <v>54522050000</v>
      </c>
      <c r="B11773" s="1" t="str">
        <f>"SNYDER CAROL A"</f>
        <v>SNYDER CAROL A</v>
      </c>
      <c r="C11773" s="1" t="str">
        <f>"RESUBDIVISION OF TIMBER LEAF SEC 1 LOT 37"</f>
        <v>RESUBDIVISION OF TIMBER LEAF SEC 1 LOT 37</v>
      </c>
      <c r="D11773" s="1">
        <v>5209.51</v>
      </c>
    </row>
    <row r="11774" spans="1:4" x14ac:dyDescent="0.3">
      <c r="A11774" s="1" t="str">
        <f>"02500248700"</f>
        <v>02500248700</v>
      </c>
      <c r="B11774" s="1" t="str">
        <f>"SNYDER DOUGLAS W, SNYDER VIRGINIA A"</f>
        <v>SNYDER DOUGLAS W, SNYDER VIRGINIA A</v>
      </c>
      <c r="C11774" s="1" t="str">
        <f>"477 LINCOLNSHIRE ROA ROAYL MANOR 2 658 "</f>
        <v xml:space="preserve">477 LINCOLNSHIRE ROA ROAYL MANOR 2 658 </v>
      </c>
      <c r="D11774" s="1">
        <v>5311.69</v>
      </c>
    </row>
    <row r="11775" spans="1:4" x14ac:dyDescent="0.3">
      <c r="A11775" s="1" t="str">
        <f>"24000294200"</f>
        <v>24000294200</v>
      </c>
      <c r="B11775" s="1" t="str">
        <f>"SNYDER GLENORA"</f>
        <v>SNYDER GLENORA</v>
      </c>
      <c r="C11775" s="1" t="str">
        <f>"GREENER AVE GARDEN HEIGHTS 94 "</f>
        <v xml:space="preserve">GREENER AVE GARDEN HEIGHTS 94 </v>
      </c>
      <c r="D11775" s="1">
        <v>31.9</v>
      </c>
    </row>
    <row r="11776" spans="1:4" x14ac:dyDescent="0.3">
      <c r="A11776" s="1" t="str">
        <f>"22200171600"</f>
        <v>22200171600</v>
      </c>
      <c r="B11776" s="1" t="str">
        <f>"SNYDER JESSICA"</f>
        <v>SNYDER JESSICA</v>
      </c>
      <c r="C11776" s="1" t="str">
        <f>"BRANDON ROAD N ALBANY COUNTRY CL SECTION 14 LOT 4"</f>
        <v>BRANDON ROAD N ALBANY COUNTRY CL SECTION 14 LOT 4</v>
      </c>
      <c r="D11776" s="1">
        <v>34354.839999999997</v>
      </c>
    </row>
    <row r="11777" spans="1:4" x14ac:dyDescent="0.3">
      <c r="A11777" s="1" t="str">
        <f>"18400050400"</f>
        <v>18400050400</v>
      </c>
      <c r="B11777" s="1" t="str">
        <f>"SNYDER JOHN G, BAUCHMOYER SUSAN"</f>
        <v>SNYDER JOHN G, BAUCHMOYER SUSAN</v>
      </c>
      <c r="C11777" s="1" t="str">
        <f>"WINCHESTER PK .346 AC R20 T15 S30 "</f>
        <v xml:space="preserve">WINCHESTER PK .346 AC R20 T15 S30 </v>
      </c>
      <c r="D11777" s="1">
        <v>2737.31</v>
      </c>
    </row>
    <row r="11778" spans="1:4" x14ac:dyDescent="0.3">
      <c r="A11778" s="1" t="str">
        <f>"24000480500"</f>
        <v>24000480500</v>
      </c>
      <c r="B11778" s="1" t="str">
        <f>"SNYDER LORI, SNYDER BLAINE B"</f>
        <v>SNYDER LORI, SNYDER BLAINE B</v>
      </c>
      <c r="C11778" s="1" t="str">
        <f>"TAMARA AVE O HARRA ESTATES 2 7 "</f>
        <v xml:space="preserve">TAMARA AVE O HARRA ESTATES 2 7 </v>
      </c>
      <c r="D11778" s="1">
        <v>205.94</v>
      </c>
    </row>
    <row r="11779" spans="1:4" x14ac:dyDescent="0.3">
      <c r="A11779" s="1" t="str">
        <f>"27300341700"</f>
        <v>27300341700</v>
      </c>
      <c r="B11779" s="1" t="str">
        <f>"SNYDER RONALD E, SNYDER CHARLA E"</f>
        <v>SNYDER RONALD E, SNYDER CHARLA E</v>
      </c>
      <c r="C11779" s="1" t="str">
        <f>"6665 FALLEN TIMBERS INDIAN RUN MEADOWS SEC 4 LOT 155"</f>
        <v>6665 FALLEN TIMBERS INDIAN RUN MEADOWS SEC 4 LOT 155</v>
      </c>
      <c r="D11779" s="1">
        <v>404.15</v>
      </c>
    </row>
    <row r="11780" spans="1:4" x14ac:dyDescent="0.3">
      <c r="A11780" s="1" t="str">
        <f>"01005798700"</f>
        <v>01005798700</v>
      </c>
      <c r="B11780" s="1" t="str">
        <f>"SO THY"</f>
        <v>SO THY</v>
      </c>
      <c r="C11780" s="1" t="str">
        <f>"2505 SULLIVANT AVE SCHOENE HTS LOT 14"</f>
        <v>2505 SULLIVANT AVE SCHOENE HTS LOT 14</v>
      </c>
      <c r="D11780" s="1">
        <v>903.25</v>
      </c>
    </row>
    <row r="11781" spans="1:4" x14ac:dyDescent="0.3">
      <c r="A11781" s="1" t="str">
        <f>"18500241800"</f>
        <v>18500241800</v>
      </c>
      <c r="B11781" s="1" t="str">
        <f>"SOAPY SUDS CAR WASH INC"</f>
        <v>SOAPY SUDS CAR WASH INC</v>
      </c>
      <c r="C11781" s="1" t="str">
        <f>"GREEN POINTE DR N GREEN POINTE BUS PK PH 2 PT LOT 5=0.917 ACRE"</f>
        <v>GREEN POINTE DR N GREEN POINTE BUS PK PH 2 PT LOT 5=0.917 ACRE</v>
      </c>
      <c r="D11781" s="1">
        <v>10850.76</v>
      </c>
    </row>
    <row r="11782" spans="1:4" x14ac:dyDescent="0.3">
      <c r="A11782" s="1" t="str">
        <f>"01008796800"</f>
        <v>01008796800</v>
      </c>
      <c r="B11782" s="1" t="str">
        <f>"SOBEYA LLC"</f>
        <v>SOBEYA LLC</v>
      </c>
      <c r="C11782" s="1" t="str">
        <f>"883 BARNETT RD CALDWELLS MAIN ST LOT 283"</f>
        <v>883 BARNETT RD CALDWELLS MAIN ST LOT 283</v>
      </c>
      <c r="D11782" s="1">
        <v>1618.74</v>
      </c>
    </row>
    <row r="11783" spans="1:4" x14ac:dyDescent="0.3">
      <c r="A11783" s="1" t="str">
        <f>"01007784700"</f>
        <v>01007784700</v>
      </c>
      <c r="B11783" s="1" t="str">
        <f>"SOBHAAD LLC"</f>
        <v>SOBHAAD LLC</v>
      </c>
      <c r="C11783" s="1" t="str">
        <f>"1343 KOSSUTH ST BRYAN&amp;COMILLER AVE LOT 14"</f>
        <v>1343 KOSSUTH ST BRYAN&amp;COMILLER AVE LOT 14</v>
      </c>
      <c r="D11783" s="1">
        <v>3002.37</v>
      </c>
    </row>
    <row r="11784" spans="1:4" x14ac:dyDescent="0.3">
      <c r="A11784" s="1" t="str">
        <f>"02000129400"</f>
        <v>02000129400</v>
      </c>
      <c r="B11784" s="1" t="str">
        <f>"SOBOL AARON, SOBOL ANGELA"</f>
        <v>SOBOL AARON, SOBOL ANGELA</v>
      </c>
      <c r="C11784" s="1" t="str">
        <f>"2417 FAIR AVE BEXLEY PARK LOT 30"</f>
        <v>2417 FAIR AVE BEXLEY PARK LOT 30</v>
      </c>
      <c r="D11784" s="1">
        <v>867.17</v>
      </c>
    </row>
    <row r="11785" spans="1:4" x14ac:dyDescent="0.3">
      <c r="A11785" s="1" t="str">
        <f>"01003954600"</f>
        <v>01003954600</v>
      </c>
      <c r="B11785" s="1" t="str">
        <f>"SOKOI RANDY"</f>
        <v>SOKOI RANDY</v>
      </c>
      <c r="C11785" s="1" t="str">
        <f>"E S Y GRAHAM ST HAYES LOT 218"</f>
        <v>E S Y GRAHAM ST HAYES LOT 218</v>
      </c>
      <c r="D11785" s="1">
        <v>93.37</v>
      </c>
    </row>
    <row r="11786" spans="1:4" x14ac:dyDescent="0.3">
      <c r="A11786" s="1" t="str">
        <f>"01010703000"</f>
        <v>01010703000</v>
      </c>
      <c r="B11786" s="1" t="str">
        <f>"SOKOL RANDY"</f>
        <v>SOKOL RANDY</v>
      </c>
      <c r="C11786" s="1" t="str">
        <f>"ASTOR AVE BARNETT HTS AMD LOT 124"</f>
        <v>ASTOR AVE BARNETT HTS AMD LOT 124</v>
      </c>
      <c r="D11786" s="1">
        <v>122.86</v>
      </c>
    </row>
    <row r="11787" spans="1:4" x14ac:dyDescent="0.3">
      <c r="A11787" s="1" t="str">
        <f>"01015755100"</f>
        <v>01015755100</v>
      </c>
      <c r="B11787" s="1" t="str">
        <f>"SOLACE HEIDI W, CLOUD LISA W"</f>
        <v>SOLACE HEIDI W, CLOUD LISA W</v>
      </c>
      <c r="C11787" s="1" t="str">
        <f>"SCOTTSDALE AV THE GABLES WEST LOT 277"</f>
        <v>SCOTTSDALE AV THE GABLES WEST LOT 277</v>
      </c>
      <c r="D11787" s="1">
        <v>5774.75</v>
      </c>
    </row>
    <row r="11788" spans="1:4" x14ac:dyDescent="0.3">
      <c r="A11788" s="1" t="str">
        <f>"01011556200"</f>
        <v>01011556200</v>
      </c>
      <c r="B11788" s="1" t="str">
        <f>"SOLANO JOSE REFUGIO ALDERETE"</f>
        <v>SOLANO JOSE REFUGIO ALDERETE</v>
      </c>
      <c r="C11788" s="1" t="str">
        <f>"HILOCK AVE .1225 ACRES LOT 7 URP"</f>
        <v>HILOCK AVE .1225 ACRES LOT 7 URP</v>
      </c>
      <c r="D11788" s="1">
        <v>979.45</v>
      </c>
    </row>
    <row r="11789" spans="1:4" x14ac:dyDescent="0.3">
      <c r="A11789" s="1" t="str">
        <f>"01011556300"</f>
        <v>01011556300</v>
      </c>
      <c r="B11789" s="1" t="str">
        <f>"SOLANO JOSE REFUGIO ALDERETE"</f>
        <v>SOLANO JOSE REFUGIO ALDERETE</v>
      </c>
      <c r="C11789" s="1" t="str">
        <f>"HILOCK AVE .1225 ACRES LOT 8 URP"</f>
        <v>HILOCK AVE .1225 ACRES LOT 8 URP</v>
      </c>
      <c r="D11789" s="1">
        <v>501.75</v>
      </c>
    </row>
    <row r="11790" spans="1:4" x14ac:dyDescent="0.3">
      <c r="A11790" s="1" t="str">
        <f>"18000485100"</f>
        <v>18000485100</v>
      </c>
      <c r="B11790" s="1" t="str">
        <f>"SOLIS CHARLES"</f>
        <v>SOLIS CHARLES</v>
      </c>
      <c r="C11790" s="1" t="str">
        <f>"REINBEAU DR BLACKLICK ESTATES 8 LOT 1548"</f>
        <v>REINBEAU DR BLACKLICK ESTATES 8 LOT 1548</v>
      </c>
      <c r="D11790" s="1">
        <v>14.92</v>
      </c>
    </row>
    <row r="11791" spans="1:4" x14ac:dyDescent="0.3">
      <c r="A11791" s="1" t="str">
        <f>"57019896600"</f>
        <v>57019896600</v>
      </c>
      <c r="B11791" s="1" t="str">
        <f>"SOLIS CHARLES M"</f>
        <v>SOLIS CHARLES M</v>
      </c>
      <c r="C11791" s="1" t="str">
        <f>"MORTON CT LEHNERT FARM SEC 4 LOT 235"</f>
        <v>MORTON CT LEHNERT FARM SEC 4 LOT 235</v>
      </c>
      <c r="D11791" s="1">
        <v>12.05</v>
      </c>
    </row>
    <row r="11792" spans="1:4" x14ac:dyDescent="0.3">
      <c r="A11792" s="1" t="str">
        <f>"01016750200"</f>
        <v>01016750200</v>
      </c>
      <c r="B11792" s="1" t="str">
        <f>"SOLIS CHARLES M"</f>
        <v>SOLIS CHARLES M</v>
      </c>
      <c r="C11792" s="1" t="str">
        <f>"2110 SCHENLEY DR AMVET HOMESTEAD 2 RESUB LOT 2 BLK N"</f>
        <v>2110 SCHENLEY DR AMVET HOMESTEAD 2 RESUB LOT 2 BLK N</v>
      </c>
      <c r="D11792" s="1">
        <v>8.51</v>
      </c>
    </row>
    <row r="11793" spans="1:4" x14ac:dyDescent="0.3">
      <c r="A11793" s="1" t="str">
        <f>"01013767900"</f>
        <v>01013767900</v>
      </c>
      <c r="B11793" s="1" t="str">
        <f>"SOLIS CHUCK"</f>
        <v>SOLIS CHUCK</v>
      </c>
      <c r="C11793" s="1" t="str">
        <f>"EFENDALE RD SOUTHERN PINES SEC 1 LOT 66"</f>
        <v>EFENDALE RD SOUTHERN PINES SEC 1 LOT 66</v>
      </c>
      <c r="D11793" s="1">
        <v>11.25</v>
      </c>
    </row>
    <row r="11794" spans="1:4" x14ac:dyDescent="0.3">
      <c r="A11794" s="1" t="str">
        <f>"01010838900"</f>
        <v>01010838900</v>
      </c>
      <c r="B11794" s="1" t="str">
        <f>"SOLIS STEPHANIE R"</f>
        <v>SOLIS STEPHANIE R</v>
      </c>
      <c r="C11794" s="1" t="str">
        <f>"CASE RD N LINDEN 1 LOT 215"</f>
        <v>CASE RD N LINDEN 1 LOT 215</v>
      </c>
      <c r="D11794" s="1">
        <v>763.6</v>
      </c>
    </row>
    <row r="11795" spans="1:4" x14ac:dyDescent="0.3">
      <c r="A11795" s="1" t="str">
        <f>"01028014600"</f>
        <v>01028014600</v>
      </c>
      <c r="B11795" s="1" t="str">
        <f>"SOLLENBERGER EDWARD, SOLLENBERGER PATRICIA"</f>
        <v>SOLLENBERGER EDWARD, SOLLENBERGER PATRICIA</v>
      </c>
      <c r="C11795" s="1" t="str">
        <f>"GLENABBY CONDOMINIUM BLDG 16 UNIT 16-5288"</f>
        <v>GLENABBY CONDOMINIUM BLDG 16 UNIT 16-5288</v>
      </c>
      <c r="D11795" s="1">
        <v>2861.54</v>
      </c>
    </row>
    <row r="11796" spans="1:4" x14ac:dyDescent="0.3">
      <c r="A11796" s="1" t="str">
        <f>"01014467900"</f>
        <v>01014467900</v>
      </c>
      <c r="B11796" s="1" t="str">
        <f>"SOLLOWAY ROBERT TR"</f>
        <v>SOLLOWAY ROBERT TR</v>
      </c>
      <c r="C11796" s="1" t="str">
        <f>"PENWORTH DR FOREST PARK EAST SEC 1 LOT 78"</f>
        <v>PENWORTH DR FOREST PARK EAST SEC 1 LOT 78</v>
      </c>
      <c r="D11796" s="1">
        <v>2099.23</v>
      </c>
    </row>
    <row r="11797" spans="1:4" x14ac:dyDescent="0.3">
      <c r="A11797" s="1" t="str">
        <f>"02500581000"</f>
        <v>02500581000</v>
      </c>
      <c r="B11797" s="1" t="str">
        <f>"SOLOMON CYNTHIA S"</f>
        <v>SOLOMON CYNTHIA S</v>
      </c>
      <c r="C11797" s="1" t="str">
        <f>"116 EASTCHERRY AVENU CHERRY BOT GARD SEC1 LOT 23"</f>
        <v>116 EASTCHERRY AVENU CHERRY BOT GARD SEC1 LOT 23</v>
      </c>
      <c r="D11797" s="1">
        <v>3864.75</v>
      </c>
    </row>
    <row r="11798" spans="1:4" x14ac:dyDescent="0.3">
      <c r="A11798" s="1" t="str">
        <f>"60015021800"</f>
        <v>60015021800</v>
      </c>
      <c r="B11798" s="1" t="str">
        <f>"SOLOMON KATHERINE A TR"</f>
        <v>SOLOMON KATHERINE A TR</v>
      </c>
      <c r="C11798" s="1" t="str">
        <f>"FAIRGROVE ROAD PARKRIDGE VILLAGE SEC 2 LOT 306"</f>
        <v>FAIRGROVE ROAD PARKRIDGE VILLAGE SEC 2 LOT 306</v>
      </c>
      <c r="D11798" s="1">
        <v>3490.14</v>
      </c>
    </row>
    <row r="11799" spans="1:4" x14ac:dyDescent="0.3">
      <c r="A11799" s="1" t="str">
        <f>"01006345700"</f>
        <v>01006345700</v>
      </c>
      <c r="B11799" s="1" t="str">
        <f>"SOLOMON SAMIE, LOVETT SOLOMON SHARON JOY"</f>
        <v>SOLOMON SAMIE, LOVETT SOLOMON SHARON JOY</v>
      </c>
      <c r="C11799" s="1" t="str">
        <f>"98 N CHASE AVE HILLTOP LOT 145"</f>
        <v>98 N CHASE AVE HILLTOP LOT 145</v>
      </c>
      <c r="D11799" s="1">
        <v>1500.4</v>
      </c>
    </row>
    <row r="11800" spans="1:4" x14ac:dyDescent="0.3">
      <c r="A11800" s="1" t="str">
        <f>"01009122800"</f>
        <v>01009122800</v>
      </c>
      <c r="B11800" s="1" t="str">
        <f>"SOLORZANO JOSE V, GONZALEZ JOHANA"</f>
        <v>SOLORZANO JOSE V, GONZALEZ JOHANA</v>
      </c>
      <c r="C11800" s="1" t="str">
        <f>"JAMES RD EASTHAMPTON LOT 4"</f>
        <v>JAMES RD EASTHAMPTON LOT 4</v>
      </c>
      <c r="D11800" s="1">
        <v>2198.91</v>
      </c>
    </row>
    <row r="11801" spans="1:4" x14ac:dyDescent="0.3">
      <c r="A11801" s="1" t="str">
        <f>"08000245000"</f>
        <v>08000245000</v>
      </c>
      <c r="B11801" s="1" t="str">
        <f>"SOLTANIRAD SAMANTHA SAMIRA"</f>
        <v>SOLTANIRAD SAMANTHA SAMIRA</v>
      </c>
      <c r="C11801" s="1" t="str">
        <f>"CHERRINGTON RD RESUB OF PART OF H H BUCKS INGLESIDE PLC LOT10"</f>
        <v>CHERRINGTON RD RESUB OF PART OF H H BUCKS INGLESIDE PLC LOT10</v>
      </c>
      <c r="D11801" s="1">
        <v>221.11</v>
      </c>
    </row>
    <row r="11802" spans="1:4" x14ac:dyDescent="0.3">
      <c r="A11802" s="1" t="str">
        <f>"01010759400"</f>
        <v>01010759400</v>
      </c>
      <c r="B11802" s="1" t="str">
        <f>"SOMCHIT MANDY, DONG THOA"</f>
        <v>SOMCHIT MANDY, DONG THOA</v>
      </c>
      <c r="C11802" s="1" t="str">
        <f>"GILROY RD BERWICK MANOR 2 LOT 77"</f>
        <v>GILROY RD BERWICK MANOR 2 LOT 77</v>
      </c>
      <c r="D11802" s="1">
        <v>1541.62</v>
      </c>
    </row>
    <row r="11803" spans="1:4" x14ac:dyDescent="0.3">
      <c r="A11803" s="1" t="str">
        <f>"09000793600"</f>
        <v>09000793600</v>
      </c>
      <c r="B11803" s="1" t="str">
        <f>"SOMERS ONAMI C"</f>
        <v>SOMERS ONAMI C</v>
      </c>
      <c r="C11803" s="1" t="str">
        <f>"472 CUMBERLAND DR FAIRWAY OAKS LOT 103"</f>
        <v>472 CUMBERLAND DR FAIRWAY OAKS LOT 103</v>
      </c>
      <c r="D11803" s="1">
        <v>157.41999999999999</v>
      </c>
    </row>
    <row r="11804" spans="1:4" x14ac:dyDescent="0.3">
      <c r="A11804" s="1" t="str">
        <f>"01003870200"</f>
        <v>01003870200</v>
      </c>
      <c r="B11804" s="1" t="str">
        <f>"SOMMER ANTON III, SOMMER MARGARET J"</f>
        <v>SOMMER ANTON III, SOMMER MARGARET J</v>
      </c>
      <c r="C11804" s="1" t="str">
        <f>"1242 HILDRETH ST HILDRETH LOT 114"</f>
        <v>1242 HILDRETH ST HILDRETH LOT 114</v>
      </c>
      <c r="D11804" s="1">
        <v>5339.52</v>
      </c>
    </row>
    <row r="11805" spans="1:4" x14ac:dyDescent="0.3">
      <c r="A11805" s="1" t="str">
        <f>"56018608400"</f>
        <v>56018608400</v>
      </c>
      <c r="B11805" s="1" t="str">
        <f>"SONDRINI SHARON W"</f>
        <v>SONDRINI SHARON W</v>
      </c>
      <c r="C11805" s="1" t="str">
        <f>"GRIGGSVIEW CT WALDEN NORTH CONDO BLDG 2 UNIT 3141"</f>
        <v>GRIGGSVIEW CT WALDEN NORTH CONDO BLDG 2 UNIT 3141</v>
      </c>
      <c r="D11805" s="1">
        <v>209.69</v>
      </c>
    </row>
    <row r="11806" spans="1:4" x14ac:dyDescent="0.3">
      <c r="A11806" s="1" t="str">
        <f>"57012165000"</f>
        <v>57012165000</v>
      </c>
      <c r="B11806" s="1" t="str">
        <f>"SONG KEO, SONG CHANTHA P"</f>
        <v>SONG KEO, SONG CHANTHA P</v>
      </c>
      <c r="C11806" s="1" t="str">
        <f>"WILLOW PARK RD WILLOW CREEK SEC 5 PT LOT 415 &amp; 416"</f>
        <v>WILLOW PARK RD WILLOW CREEK SEC 5 PT LOT 415 &amp; 416</v>
      </c>
      <c r="D11806" s="1">
        <v>3342.81</v>
      </c>
    </row>
    <row r="11807" spans="1:4" x14ac:dyDescent="0.3">
      <c r="A11807" s="1" t="str">
        <f>"01029987600"</f>
        <v>01029987600</v>
      </c>
      <c r="B11807" s="1" t="str">
        <f>"SONI INDERJIT S, SONI PRITAM K"</f>
        <v>SONI INDERJIT S, SONI PRITAM K</v>
      </c>
      <c r="C11807" s="1" t="str">
        <f>"CROSSINGS AT ROCKY FORK SECTION 2 LOT 58"</f>
        <v>CROSSINGS AT ROCKY FORK SECTION 2 LOT 58</v>
      </c>
      <c r="D11807" s="1">
        <v>366.09</v>
      </c>
    </row>
    <row r="11808" spans="1:4" x14ac:dyDescent="0.3">
      <c r="A11808" s="1" t="str">
        <f>"01030834300"</f>
        <v>01030834300</v>
      </c>
      <c r="B11808" s="1" t="str">
        <f>"SONI NISCHAY"</f>
        <v>SONI NISCHAY</v>
      </c>
      <c r="C11808" s="1" t="str">
        <f>"AZILE WAY TOWNES AT HAMILTON WOODS LOT 3"</f>
        <v>AZILE WAY TOWNES AT HAMILTON WOODS LOT 3</v>
      </c>
      <c r="D11808" s="1">
        <v>6595.66</v>
      </c>
    </row>
    <row r="11809" spans="1:4" x14ac:dyDescent="0.3">
      <c r="A11809" s="1" t="str">
        <f>"56024083000"</f>
        <v>56024083000</v>
      </c>
      <c r="B11809" s="1" t="str">
        <f>"SOPCZAK JEFFREY S, WAMPLER-SOPCZAK L KATHRYN"</f>
        <v>SOPCZAK JEFFREY S, WAMPLER-SOPCZAK L KATHRYN</v>
      </c>
      <c r="C11809" s="1" t="str">
        <f>"THE VILLAGE AT THORNAPPLE SECTION 6 LOT 199"</f>
        <v>THE VILLAGE AT THORNAPPLE SECTION 6 LOT 199</v>
      </c>
      <c r="D11809" s="1">
        <v>8794.7000000000007</v>
      </c>
    </row>
    <row r="11810" spans="1:4" x14ac:dyDescent="0.3">
      <c r="A11810" s="1" t="str">
        <f>"02000409400"</f>
        <v>02000409400</v>
      </c>
      <c r="B11810" s="1" t="str">
        <f>"SOPIRA WILLIAM J, SOPIRA SUSAN E"</f>
        <v>SOPIRA WILLIAM J, SOPIRA SUSAN E</v>
      </c>
      <c r="C11810" s="1" t="str">
        <f>"325 N STANWOOD RD VAC BEACON HILL 97 "</f>
        <v xml:space="preserve">325 N STANWOOD RD VAC BEACON HILL 97 </v>
      </c>
      <c r="D11810" s="1">
        <v>8654.7099999999991</v>
      </c>
    </row>
    <row r="11811" spans="1:4" x14ac:dyDescent="0.3">
      <c r="A11811" s="1" t="str">
        <f>"01004073300"</f>
        <v>01004073300</v>
      </c>
      <c r="B11811" s="1" t="str">
        <f>"SORBARA DONALD L"</f>
        <v>SORBARA DONALD L</v>
      </c>
      <c r="C11811" s="1" t="str">
        <f>"48-50 JONES AVE EX 35 FT E S STEVENSON SUB 3"</f>
        <v>48-50 JONES AVE EX 35 FT E S STEVENSON SUB 3</v>
      </c>
      <c r="D11811" s="1">
        <v>249</v>
      </c>
    </row>
    <row r="11812" spans="1:4" x14ac:dyDescent="0.3">
      <c r="A11812" s="1" t="str">
        <f>"01005025100"</f>
        <v>01005025100</v>
      </c>
      <c r="B11812" s="1" t="str">
        <f>"SORBARA DONALD L"</f>
        <v>SORBARA DONALD L</v>
      </c>
      <c r="C11812" s="1" t="str">
        <f>"58-60 JONES AVE 90 FT W E STEVENSON SUB 1"</f>
        <v>58-60 JONES AVE 90 FT W E STEVENSON SUB 1</v>
      </c>
      <c r="D11812" s="1">
        <v>249</v>
      </c>
    </row>
    <row r="11813" spans="1:4" x14ac:dyDescent="0.3">
      <c r="A11813" s="1" t="str">
        <f>"01001802500"</f>
        <v>01001802500</v>
      </c>
      <c r="B11813" s="1" t="str">
        <f>"SORBARA DONALD L, DEBRA L BARKER"</f>
        <v>SORBARA DONALD L, DEBRA L BARKER</v>
      </c>
      <c r="C11813" s="1" t="str">
        <f>"44 46 JONES STEVENSON LOT 4"</f>
        <v>44 46 JONES STEVENSON LOT 4</v>
      </c>
      <c r="D11813" s="1">
        <v>1856.73</v>
      </c>
    </row>
    <row r="11814" spans="1:4" x14ac:dyDescent="0.3">
      <c r="A11814" s="1" t="str">
        <f>"01004696300"</f>
        <v>01004696300</v>
      </c>
      <c r="B11814" s="1" t="str">
        <f>"SORBARA DONALD SR"</f>
        <v>SORBARA DONALD SR</v>
      </c>
      <c r="C11814" s="1" t="str">
        <f>"47 JONES AVE COTTAGE PLC LOT 23"</f>
        <v>47 JONES AVE COTTAGE PLC LOT 23</v>
      </c>
      <c r="D11814" s="1">
        <v>2114.4899999999998</v>
      </c>
    </row>
    <row r="11815" spans="1:4" x14ac:dyDescent="0.3">
      <c r="A11815" s="1" t="str">
        <f>"01000138500"</f>
        <v>01000138500</v>
      </c>
      <c r="B11815" s="1" t="str">
        <f>"SORENSON M ERLANDSON"</f>
        <v>SORENSON M ERLANDSON</v>
      </c>
      <c r="C11815" s="1" t="str">
        <f>"1185 FRANKLIN AVE HOFFMAN &amp; MCGREW PT LOT 159 ALL 160"</f>
        <v>1185 FRANKLIN AVE HOFFMAN &amp; MCGREW PT LOT 159 ALL 160</v>
      </c>
      <c r="D11815" s="1">
        <v>6429.07</v>
      </c>
    </row>
    <row r="11816" spans="1:4" x14ac:dyDescent="0.3">
      <c r="A11816" s="1" t="str">
        <f>"01001589600"</f>
        <v>01001589600</v>
      </c>
      <c r="B11816" s="1" t="str">
        <f>"SOSA CARLA"</f>
        <v>SOSA CARLA</v>
      </c>
      <c r="C11816" s="1" t="str">
        <f>"410 S WAYNE AVE BELLAIRE EX LOT 337 &amp; AL VAC"</f>
        <v>410 S WAYNE AVE BELLAIRE EX LOT 337 &amp; AL VAC</v>
      </c>
      <c r="D11816" s="1">
        <v>1259.27</v>
      </c>
    </row>
    <row r="11817" spans="1:4" x14ac:dyDescent="0.3">
      <c r="A11817" s="1" t="str">
        <f>"01004530200"</f>
        <v>01004530200</v>
      </c>
      <c r="B11817" s="1" t="str">
        <f>"SOSA CARLA"</f>
        <v>SOSA CARLA</v>
      </c>
      <c r="C11817" s="1" t="str">
        <f>"S WAYNE AVE BELLAIRE EXT LOT 338 &amp; AL VAC"</f>
        <v>S WAYNE AVE BELLAIRE EXT LOT 338 &amp; AL VAC</v>
      </c>
      <c r="D11817" s="1">
        <v>172.43</v>
      </c>
    </row>
    <row r="11818" spans="1:4" x14ac:dyDescent="0.3">
      <c r="A11818" s="1" t="str">
        <f>"01002632000"</f>
        <v>01002632000</v>
      </c>
      <c r="B11818" s="1" t="str">
        <f>"SOSA CARLA J"</f>
        <v>SOSA CARLA J</v>
      </c>
      <c r="C11818" s="1" t="str">
        <f>"149 S WARREN AVE WICKLOW LOT 460"</f>
        <v>149 S WARREN AVE WICKLOW LOT 460</v>
      </c>
      <c r="D11818" s="1">
        <v>1072.9100000000001</v>
      </c>
    </row>
    <row r="11819" spans="1:4" x14ac:dyDescent="0.3">
      <c r="A11819" s="1" t="str">
        <f>"01002301500"</f>
        <v>01002301500</v>
      </c>
      <c r="B11819" s="1" t="str">
        <f>"SOSA CARLOS"</f>
        <v>SOSA CARLOS</v>
      </c>
      <c r="C11819" s="1" t="str">
        <f>"345 S WAYNE AVE BELLAIRE EXT LOT 291-292"</f>
        <v>345 S WAYNE AVE BELLAIRE EXT LOT 291-292</v>
      </c>
      <c r="D11819" s="1">
        <v>1583.95</v>
      </c>
    </row>
    <row r="11820" spans="1:4" x14ac:dyDescent="0.3">
      <c r="A11820" s="1" t="str">
        <f>"01000119700"</f>
        <v>01000119700</v>
      </c>
      <c r="B11820" s="1" t="str">
        <f>"SOSA CARLOS"</f>
        <v>SOSA CARLOS</v>
      </c>
      <c r="C11820" s="1" t="str">
        <f>"2394-96WBROADST FLORENCEPK LOT 3"</f>
        <v>2394-96WBROADST FLORENCEPK LOT 3</v>
      </c>
      <c r="D11820" s="1">
        <v>610.15</v>
      </c>
    </row>
    <row r="11821" spans="1:4" x14ac:dyDescent="0.3">
      <c r="A11821" s="1" t="str">
        <f>"01001113200"</f>
        <v>01001113200</v>
      </c>
      <c r="B11821" s="1" t="str">
        <f>"SOSA CARLOS"</f>
        <v>SOSA CARLOS</v>
      </c>
      <c r="C11821" s="1" t="str">
        <f>"2390 W BROAD ST FLORENCE PARK LOT 2"</f>
        <v>2390 W BROAD ST FLORENCE PARK LOT 2</v>
      </c>
      <c r="D11821" s="1">
        <v>1619.94</v>
      </c>
    </row>
    <row r="11822" spans="1:4" x14ac:dyDescent="0.3">
      <c r="A11822" s="1" t="str">
        <f>"01002441800"</f>
        <v>01002441800</v>
      </c>
      <c r="B11822" s="1" t="str">
        <f>"SOSA CARLOS"</f>
        <v>SOSA CARLOS</v>
      </c>
      <c r="C11822" s="1" t="str">
        <f>"434 S OAKLEY AVE ARLINGTON LOT 63"</f>
        <v>434 S OAKLEY AVE ARLINGTON LOT 63</v>
      </c>
      <c r="D11822" s="1">
        <v>1439.04</v>
      </c>
    </row>
    <row r="11823" spans="1:4" x14ac:dyDescent="0.3">
      <c r="A11823" s="1" t="str">
        <f>"22200460500"</f>
        <v>22200460500</v>
      </c>
      <c r="B11823" s="1" t="str">
        <f>"SOSH MICHAEL F, MOLNAR IRENE"</f>
        <v>SOSH MICHAEL F, MOLNAR IRENE</v>
      </c>
      <c r="C11823" s="1" t="str">
        <f>"NEW ALBANY COUNTRY CLUB SECTION 27 LOT 40"</f>
        <v>NEW ALBANY COUNTRY CLUB SECTION 27 LOT 40</v>
      </c>
      <c r="D11823" s="1">
        <v>898.77</v>
      </c>
    </row>
    <row r="11824" spans="1:4" x14ac:dyDescent="0.3">
      <c r="A11824" s="1" t="str">
        <f>"01015137000"</f>
        <v>01015137000</v>
      </c>
      <c r="B11824" s="1" t="str">
        <f>"SOTILE ANDREW P"</f>
        <v>SOTILE ANDREW P</v>
      </c>
      <c r="C11824" s="1" t="str">
        <f>"925 MEEKLYNN DR MEEKLYNN PARCELS LOT 9"</f>
        <v>925 MEEKLYNN DR MEEKLYNN PARCELS LOT 9</v>
      </c>
      <c r="D11824" s="1">
        <v>5637.41</v>
      </c>
    </row>
    <row r="11825" spans="1:4" x14ac:dyDescent="0.3">
      <c r="A11825" s="1" t="str">
        <f>"01018340500"</f>
        <v>01018340500</v>
      </c>
      <c r="B11825" s="1" t="str">
        <f>"SOTO UBALDO I, QUINTANA ZORAIDA"</f>
        <v>SOTO UBALDO I, QUINTANA ZORAIDA</v>
      </c>
      <c r="C11825" s="1" t="str">
        <f>"BRAFFERTON VIL CONDO UNIT 5268 "</f>
        <v xml:space="preserve">BRAFFERTON VIL CONDO UNIT 5268 </v>
      </c>
      <c r="D11825" s="1">
        <v>2507.3200000000002</v>
      </c>
    </row>
    <row r="11826" spans="1:4" x14ac:dyDescent="0.3">
      <c r="A11826" s="1" t="str">
        <f>"01018340600"</f>
        <v>01018340600</v>
      </c>
      <c r="B11826" s="1" t="str">
        <f>"SOTO UBALDO I, QUINTANA ZORAIDA"</f>
        <v>SOTO UBALDO I, QUINTANA ZORAIDA</v>
      </c>
      <c r="C11826" s="1" t="str">
        <f>"BRAFFERTON VIL CONDO UNIT 5270 "</f>
        <v xml:space="preserve">BRAFFERTON VIL CONDO UNIT 5270 </v>
      </c>
      <c r="D11826" s="1">
        <v>2507.3200000000002</v>
      </c>
    </row>
    <row r="11827" spans="1:4" x14ac:dyDescent="0.3">
      <c r="A11827" s="1" t="str">
        <f>"01018340700"</f>
        <v>01018340700</v>
      </c>
      <c r="B11827" s="1" t="str">
        <f>"SOTO UBALDO I, QUINTANA ZORAIDA"</f>
        <v>SOTO UBALDO I, QUINTANA ZORAIDA</v>
      </c>
      <c r="C11827" s="1" t="str">
        <f>"BRAFFERTON VIL CONDO UNIT 5272 "</f>
        <v xml:space="preserve">BRAFFERTON VIL CONDO UNIT 5272 </v>
      </c>
      <c r="D11827" s="1">
        <v>2507.3200000000002</v>
      </c>
    </row>
    <row r="11828" spans="1:4" x14ac:dyDescent="0.3">
      <c r="A11828" s="1" t="str">
        <f>"01001178300"</f>
        <v>01001178300</v>
      </c>
      <c r="B11828" s="1" t="str">
        <f>"SOTO UBALDO I, SOTO ZORAIDA Q"</f>
        <v>SOTO UBALDO I, SOTO ZORAIDA Q</v>
      </c>
      <c r="C11828" s="1" t="str">
        <f>"311-13 W HUBBARD AVE 2ND NEIL PL LOT 151"</f>
        <v>311-13 W HUBBARD AVE 2ND NEIL PL LOT 151</v>
      </c>
      <c r="D11828" s="1">
        <v>15835.08</v>
      </c>
    </row>
    <row r="11829" spans="1:4" x14ac:dyDescent="0.3">
      <c r="A11829" s="1" t="str">
        <f>"04000510500"</f>
        <v>04000510500</v>
      </c>
      <c r="B11829" s="1" t="str">
        <f>"SOTO-MARTINEZ VICTOR, TORRES ZAPATA ADRIANA AURORA"</f>
        <v>SOTO-MARTINEZ VICTOR, TORRES ZAPATA ADRIANA AURORA</v>
      </c>
      <c r="C11829" s="1" t="str">
        <f>"3690 HOLLY STREET WEST GROVE SEC 1 LOT 8"</f>
        <v>3690 HOLLY STREET WEST GROVE SEC 1 LOT 8</v>
      </c>
      <c r="D11829" s="1">
        <v>4734.03</v>
      </c>
    </row>
    <row r="11830" spans="1:4" x14ac:dyDescent="0.3">
      <c r="A11830" s="1" t="str">
        <f>"01009423000"</f>
        <v>01009423000</v>
      </c>
      <c r="B11830" s="1" t="str">
        <f>"SOUDERS JEFFREY L"</f>
        <v>SOUDERS JEFFREY L</v>
      </c>
      <c r="C11830" s="1" t="str">
        <f>"ABNER AVE COMO HTS LOT 50"</f>
        <v>ABNER AVE COMO HTS LOT 50</v>
      </c>
      <c r="D11830" s="1">
        <v>2743.59</v>
      </c>
    </row>
    <row r="11831" spans="1:4" x14ac:dyDescent="0.3">
      <c r="A11831" s="1" t="str">
        <f>"61020196900"</f>
        <v>61020196900</v>
      </c>
      <c r="B11831" s="1" t="str">
        <f>"SOUND INVESTMENTS LLC"</f>
        <v>SOUND INVESTMENTS LLC</v>
      </c>
      <c r="C11831" s="1" t="str">
        <f>"FIESTA DR BROOKSIDE BUS PARK 1 1.790 ACRES LOT 12"</f>
        <v>FIESTA DR BROOKSIDE BUS PARK 1 1.790 ACRES LOT 12</v>
      </c>
      <c r="D11831" s="1">
        <v>226.19</v>
      </c>
    </row>
    <row r="11832" spans="1:4" x14ac:dyDescent="0.3">
      <c r="A11832" s="1" t="str">
        <f>"01011901100"</f>
        <v>01011901100</v>
      </c>
      <c r="B11832" s="1" t="str">
        <f>"SOURIVONG SPENCER, SOURIVONG THOM"</f>
        <v>SOURIVONG SPENCER, SOURIVONG THOM</v>
      </c>
      <c r="C11832" s="1" t="str">
        <f>"NUWAY RD SOUTHFIELD LOT 34"</f>
        <v>NUWAY RD SOUTHFIELD LOT 34</v>
      </c>
      <c r="D11832" s="1">
        <v>1002.79</v>
      </c>
    </row>
    <row r="11833" spans="1:4" x14ac:dyDescent="0.3">
      <c r="A11833" s="1" t="str">
        <f>"57016854100"</f>
        <v>57016854100</v>
      </c>
      <c r="B11833" s="1" t="str">
        <f>"SOUTH CENTRAL OHIO DISTRICT CHURCH OF THE NAZARENE ADVISORY BOARD"</f>
        <v>SOUTH CENTRAL OHIO DISTRICT CHURCH OF THE NAZARENE ADVISORY BOARD</v>
      </c>
      <c r="C11833" s="1" t="str">
        <f>"654 DEMOREST ROAD BURNSIDE HTS 120'ES LOTS 29-33"</f>
        <v>654 DEMOREST ROAD BURNSIDE HTS 120'ES LOTS 29-33</v>
      </c>
      <c r="D11833" s="1">
        <v>3590.46</v>
      </c>
    </row>
    <row r="11834" spans="1:4" x14ac:dyDescent="0.3">
      <c r="A11834" s="1" t="str">
        <f>"57016854500"</f>
        <v>57016854500</v>
      </c>
      <c r="B11834" s="1" t="str">
        <f>"SOUTH CENTRAL OHIO DISTRICT CHURCH OF THE NAZARENE ADVISORY BOARD"</f>
        <v>SOUTH CENTRAL OHIO DISTRICT CHURCH OF THE NAZARENE ADVISORY BOARD</v>
      </c>
      <c r="C11834" s="1" t="str">
        <f>"DEXTER AVE BURNSIDE HTS LOTS 63-65"</f>
        <v>DEXTER AVE BURNSIDE HTS LOTS 63-65</v>
      </c>
      <c r="D11834" s="1">
        <v>628.79999999999995</v>
      </c>
    </row>
    <row r="11835" spans="1:4" x14ac:dyDescent="0.3">
      <c r="A11835" s="1" t="str">
        <f>"01003333800"</f>
        <v>01003333800</v>
      </c>
      <c r="B11835" s="1" t="str">
        <f>"SOUTH FRONT STREET LLC"</f>
        <v>SOUTH FRONT STREET LLC</v>
      </c>
      <c r="C11835" s="1" t="str">
        <f>"962 PARK ST SOUTH MICHEL SUB LOT 20"</f>
        <v>962 PARK ST SOUTH MICHEL SUB LOT 20</v>
      </c>
      <c r="D11835" s="1">
        <v>310.08999999999997</v>
      </c>
    </row>
    <row r="11836" spans="1:4" x14ac:dyDescent="0.3">
      <c r="A11836" s="1" t="str">
        <f>"01005290500"</f>
        <v>01005290500</v>
      </c>
      <c r="B11836" s="1" t="str">
        <f>"SOUTH GERMAN VILLAGE LIMITED LIABILTY COMPANY"</f>
        <v>SOUTH GERMAN VILLAGE LIMITED LIABILTY COMPANY</v>
      </c>
      <c r="C11836" s="1" t="str">
        <f>"843 ANN ST SWAYNE LOT 135"</f>
        <v>843 ANN ST SWAYNE LOT 135</v>
      </c>
      <c r="D11836" s="1">
        <v>3329.9</v>
      </c>
    </row>
    <row r="11837" spans="1:4" x14ac:dyDescent="0.3">
      <c r="A11837" s="1" t="str">
        <f>"01004365200"</f>
        <v>01004365200</v>
      </c>
      <c r="B11837" s="1" t="str">
        <f>"SOUTH GERMAN VILLAGE MEDICAL CENTER LLC"</f>
        <v>SOUTH GERMAN VILLAGE MEDICAL CENTER LLC</v>
      </c>
      <c r="C11837" s="1" t="str">
        <f>"377 BERKELEY RD THOMAS MILLERS HEIRS PART LOT 8"</f>
        <v>377 BERKELEY RD THOMAS MILLERS HEIRS PART LOT 8</v>
      </c>
      <c r="D11837" s="1">
        <v>2388.2399999999998</v>
      </c>
    </row>
    <row r="11838" spans="1:4" x14ac:dyDescent="0.3">
      <c r="A11838" s="1" t="str">
        <f>"01000500700"</f>
        <v>01000500700</v>
      </c>
      <c r="B11838" s="1" t="str">
        <f>"SOUTH GERMAN VILLAGE MEDICAL CENTER LLC"</f>
        <v>SOUTH GERMAN VILLAGE MEDICAL CENTER LLC</v>
      </c>
      <c r="C11838" s="1" t="str">
        <f>"1084-1086 E FULTON 38 1/2X65.82FT EE LUCKHAUPT SUB 44-45"</f>
        <v>1084-1086 E FULTON 38 1/2X65.82FT EE LUCKHAUPT SUB 44-45</v>
      </c>
      <c r="D11838" s="1">
        <v>5105.4399999999996</v>
      </c>
    </row>
    <row r="11839" spans="1:4" x14ac:dyDescent="0.3">
      <c r="A11839" s="1" t="str">
        <f>"01008638900"</f>
        <v>01008638900</v>
      </c>
      <c r="B11839" s="1" t="str">
        <f>"SOUTH GRAND 229 LLC"</f>
        <v>SOUTH GRAND 229 LLC</v>
      </c>
      <c r="C11839" s="1" t="str">
        <f>"25 NOTTINGHAM RD BEECHWOLD SOUTH LOT 118"</f>
        <v>25 NOTTINGHAM RD BEECHWOLD SOUTH LOT 118</v>
      </c>
      <c r="D11839" s="1">
        <v>1964.66</v>
      </c>
    </row>
    <row r="11840" spans="1:4" x14ac:dyDescent="0.3">
      <c r="A11840" s="1" t="str">
        <f>"01029126400"</f>
        <v>01029126400</v>
      </c>
      <c r="B11840" s="1" t="str">
        <f>"SOUTH HIGH WAREHOUSE LLC"</f>
        <v>SOUTH HIGH WAREHOUSE LLC</v>
      </c>
      <c r="C11840" s="1" t="str">
        <f>"S HIGH ST R22 T4 S16 0.168 ACRE"</f>
        <v>S HIGH ST R22 T4 S16 0.168 ACRE</v>
      </c>
      <c r="D11840" s="1">
        <v>844.59</v>
      </c>
    </row>
    <row r="11841" spans="1:4" x14ac:dyDescent="0.3">
      <c r="A11841" s="1" t="str">
        <f>"01002982700"</f>
        <v>01002982700</v>
      </c>
      <c r="B11841" s="1" t="str">
        <f>"SOUTH WALL INVESTMENTS LLC"</f>
        <v>SOUTH WALL INVESTMENTS LLC</v>
      </c>
      <c r="C11841" s="1" t="str">
        <f>"785-787 S HIGH ST         REAR TALLMADGE            SOUTH 126.36 FT          "</f>
        <v xml:space="preserve">785-787 S HIGH ST         REAR TALLMADGE            SOUTH 126.36 FT          </v>
      </c>
      <c r="D11841" s="1">
        <v>2740.22</v>
      </c>
    </row>
    <row r="11842" spans="1:4" x14ac:dyDescent="0.3">
      <c r="A11842" s="1" t="str">
        <f>"01002127500"</f>
        <v>01002127500</v>
      </c>
      <c r="B11842" s="1" t="str">
        <f>"SOUTH WALL INVESTMENTS LLC"</f>
        <v>SOUTH WALL INVESTMENTS LLC</v>
      </c>
      <c r="C11842" s="1" t="str">
        <f>"778-80 WALL STREET        JAEGER                    70'WS LOT 36 1/3         "</f>
        <v xml:space="preserve">778-80 WALL STREET        JAEGER                    70'WS LOT 36 1/3         </v>
      </c>
      <c r="D11842" s="1">
        <v>755.1</v>
      </c>
    </row>
    <row r="11843" spans="1:4" x14ac:dyDescent="0.3">
      <c r="A11843" s="1" t="str">
        <f>"01005324700"</f>
        <v>01005324700</v>
      </c>
      <c r="B11843" s="1" t="str">
        <f>"SOUTHERN FAMILY PROPERTIES LLC"</f>
        <v>SOUTHERN FAMILY PROPERTIES LLC</v>
      </c>
      <c r="C11843" s="1" t="str">
        <f>"1807-9 S 5TH ST LINTON &amp; MCLARREN'S PARCELS PT OF LOT 41"</f>
        <v>1807-9 S 5TH ST LINTON &amp; MCLARREN'S PARCELS PT OF LOT 41</v>
      </c>
      <c r="D11843" s="1">
        <v>400.99</v>
      </c>
    </row>
    <row r="11844" spans="1:4" x14ac:dyDescent="0.3">
      <c r="A11844" s="1" t="str">
        <f>"01002178100"</f>
        <v>01002178100</v>
      </c>
      <c r="B11844" s="1" t="str">
        <f>"SOUTHERN FAMILY PROPERTIES LLC"</f>
        <v>SOUTHERN FAMILY PROPERTIES LLC</v>
      </c>
      <c r="C11844" s="1" t="str">
        <f>"1798 SO 5TH ST LINTON &amp; MCLARREN'S PARCELS PT OF LOT 45"</f>
        <v>1798 SO 5TH ST LINTON &amp; MCLARREN'S PARCELS PT OF LOT 45</v>
      </c>
      <c r="D11844" s="1">
        <v>1391.35</v>
      </c>
    </row>
    <row r="11845" spans="1:4" x14ac:dyDescent="0.3">
      <c r="A11845" s="1" t="str">
        <f>"01001444500"</f>
        <v>01001444500</v>
      </c>
      <c r="B11845" s="1" t="str">
        <f>"SOUTHERN FAMILY PROPERTIES LLC"</f>
        <v>SOUTHERN FAMILY PROPERTIES LLC</v>
      </c>
      <c r="C11845" s="1" t="str">
        <f>"1816 S 5TH ST LINTON &amp; MCLARREN'S PARCELS PT OF LOT 49"</f>
        <v>1816 S 5TH ST LINTON &amp; MCLARREN'S PARCELS PT OF LOT 49</v>
      </c>
      <c r="D11845" s="1">
        <v>1318.78</v>
      </c>
    </row>
    <row r="11846" spans="1:4" x14ac:dyDescent="0.3">
      <c r="A11846" s="1" t="str">
        <f>"01001150500"</f>
        <v>01001150500</v>
      </c>
      <c r="B11846" s="1" t="str">
        <f>"SOUTHERN FAMILY PROPERTIES LLC"</f>
        <v>SOUTHERN FAMILY PROPERTIES LLC</v>
      </c>
      <c r="C11846" s="1" t="str">
        <f>"1820 S 5TH ST LINTON &amp; MCLARREN'S PARCELS PT OF LOT 50"</f>
        <v>1820 S 5TH ST LINTON &amp; MCLARREN'S PARCELS PT OF LOT 50</v>
      </c>
      <c r="D11846" s="1">
        <v>1346.09</v>
      </c>
    </row>
    <row r="11847" spans="1:4" x14ac:dyDescent="0.3">
      <c r="A11847" s="1" t="str">
        <f>"18500168500"</f>
        <v>18500168500</v>
      </c>
      <c r="B11847" s="1" t="str">
        <f>"SOUTHWARD ROGER E, SOUTHWARD KAREN E"</f>
        <v>SOUTHWARD ROGER E, SOUTHWARD KAREN E</v>
      </c>
      <c r="C11847" s="1" t="str">
        <f>"SANDCHERRY DRIVE THE ORCHARD PHASE 2 LOT 45"</f>
        <v>SANDCHERRY DRIVE THE ORCHARD PHASE 2 LOT 45</v>
      </c>
      <c r="D11847" s="1">
        <v>235.68</v>
      </c>
    </row>
    <row r="11848" spans="1:4" x14ac:dyDescent="0.3">
      <c r="A11848" s="1" t="str">
        <f>"01013553200"</f>
        <v>01013553200</v>
      </c>
      <c r="B11848" s="1" t="str">
        <f>"SOVA IRENE H SU TR"</f>
        <v>SOVA IRENE H SU TR</v>
      </c>
      <c r="C11848" s="1" t="str">
        <f>"MEDHURST RD FOXCROFT 3 LOT 8"</f>
        <v>MEDHURST RD FOXCROFT 3 LOT 8</v>
      </c>
      <c r="D11848" s="1">
        <v>258.72000000000003</v>
      </c>
    </row>
    <row r="11849" spans="1:4" x14ac:dyDescent="0.3">
      <c r="A11849" s="1" t="str">
        <f>"01015081000"</f>
        <v>01015081000</v>
      </c>
      <c r="B11849" s="1" t="str">
        <f>"SOW BABAGALE, BAHIM ANEMA"</f>
        <v>SOW BABAGALE, BAHIM ANEMA</v>
      </c>
      <c r="C11849" s="1" t="str">
        <f>"SUMAC LP E FOREST PARK E SEC 8 LOT 906"</f>
        <v>SUMAC LP E FOREST PARK E SEC 8 LOT 906</v>
      </c>
      <c r="D11849" s="1">
        <v>1807.63</v>
      </c>
    </row>
    <row r="11850" spans="1:4" x14ac:dyDescent="0.3">
      <c r="A11850" s="1" t="str">
        <f>"04000304300"</f>
        <v>04000304300</v>
      </c>
      <c r="B11850" s="1" t="str">
        <f>"SOWARDS MARTIN, SOWARDS MICHELLE"</f>
        <v>SOWARDS MARTIN, SOWARDS MICHELLE</v>
      </c>
      <c r="C11850" s="1" t="str">
        <f>"3315 SIMMONS DRIVE PARK RIDGE PLAT 2 LOT 78"</f>
        <v>3315 SIMMONS DRIVE PARK RIDGE PLAT 2 LOT 78</v>
      </c>
      <c r="D11850" s="1">
        <v>2240.3000000000002</v>
      </c>
    </row>
    <row r="11851" spans="1:4" x14ac:dyDescent="0.3">
      <c r="A11851" s="1" t="str">
        <f>"60015921800"</f>
        <v>60015921800</v>
      </c>
      <c r="B11851" s="1" t="str">
        <f>"SOWARDS TRACY N"</f>
        <v>SOWARDS TRACY N</v>
      </c>
      <c r="C11851" s="1" t="str">
        <f>"PARKRIDGE VIL SEC 3 GLENSHAW AV LOT 489"</f>
        <v>PARKRIDGE VIL SEC 3 GLENSHAW AV LOT 489</v>
      </c>
      <c r="D11851" s="1">
        <v>1642.04</v>
      </c>
    </row>
    <row r="11852" spans="1:4" x14ac:dyDescent="0.3">
      <c r="A11852" s="1" t="str">
        <f>"01010573200"</f>
        <v>01010573200</v>
      </c>
      <c r="B11852" s="1" t="str">
        <f>"SOWRY MASHANA L"</f>
        <v>SOWRY MASHANA L</v>
      </c>
      <c r="C11852" s="1" t="str">
        <f>"MC ALLISTER AVE WILLIS PARK 2 LOT 252"</f>
        <v>MC ALLISTER AVE WILLIS PARK 2 LOT 252</v>
      </c>
      <c r="D11852" s="1">
        <v>3490.53</v>
      </c>
    </row>
    <row r="11853" spans="1:4" x14ac:dyDescent="0.3">
      <c r="A11853" s="1" t="str">
        <f>"01001461100"</f>
        <v>01001461100</v>
      </c>
      <c r="B11853" s="1" t="str">
        <f>"SP4 LTD"</f>
        <v>SP4 LTD</v>
      </c>
      <c r="C11853" s="1" t="str">
        <f>"2305 SUMMIT ST INDIANOLA HTS LOT 43"</f>
        <v>2305 SUMMIT ST INDIANOLA HTS LOT 43</v>
      </c>
      <c r="D11853" s="1">
        <v>2754.74</v>
      </c>
    </row>
    <row r="11854" spans="1:4" x14ac:dyDescent="0.3">
      <c r="A11854" s="1" t="str">
        <f>"01012181800"</f>
        <v>01012181800</v>
      </c>
      <c r="B11854" s="1" t="str">
        <f>"SPAHR RILEY"</f>
        <v>SPAHR RILEY</v>
      </c>
      <c r="C11854" s="1" t="str">
        <f>"WHITETHORNE AVE RAINBOW LOT 104"</f>
        <v>WHITETHORNE AVE RAINBOW LOT 104</v>
      </c>
      <c r="D11854" s="1">
        <v>4.78</v>
      </c>
    </row>
    <row r="11855" spans="1:4" x14ac:dyDescent="0.3">
      <c r="A11855" s="1" t="str">
        <f>"01005283800"</f>
        <v>01005283800</v>
      </c>
      <c r="B11855" s="1" t="str">
        <f>"SPAN REALTY LLC"</f>
        <v>SPAN REALTY LLC</v>
      </c>
      <c r="C11855" s="1" t="str">
        <f>"730-2 S OHIO RODENFELS AMD &amp; FALKENBACHS LOT 1"</f>
        <v>730-2 S OHIO RODENFELS AMD &amp; FALKENBACHS LOT 1</v>
      </c>
      <c r="D11855" s="1">
        <v>4197.32</v>
      </c>
    </row>
    <row r="11856" spans="1:4" x14ac:dyDescent="0.3">
      <c r="A11856" s="1" t="str">
        <f>"01000291700"</f>
        <v>01000291700</v>
      </c>
      <c r="B11856" s="1" t="str">
        <f>"SPARK PROPERTY MANAGEMENT LLC"</f>
        <v>SPARK PROPERTY MANAGEMENT LLC</v>
      </c>
      <c r="C11856" s="1" t="str">
        <f>"PARSONS AVE C HERMAN LOT 12-13"</f>
        <v>PARSONS AVE C HERMAN LOT 12-13</v>
      </c>
      <c r="D11856" s="1">
        <v>3361.95</v>
      </c>
    </row>
    <row r="11857" spans="1:4" x14ac:dyDescent="0.3">
      <c r="A11857" s="1" t="str">
        <f>"57021544000"</f>
        <v>57021544000</v>
      </c>
      <c r="B11857" s="1" t="str">
        <f>"SPARKS CHRISTOPHER J, SPARKS ANITA D"</f>
        <v>SPARKS CHRISTOPHER J, SPARKS ANITA D</v>
      </c>
      <c r="C11857" s="1" t="str">
        <f>"WESTGROVE DRIVE WESLIEGH SECTION 3 LOT 90"</f>
        <v>WESTGROVE DRIVE WESLIEGH SECTION 3 LOT 90</v>
      </c>
      <c r="D11857" s="1">
        <v>724.81</v>
      </c>
    </row>
    <row r="11858" spans="1:4" x14ac:dyDescent="0.3">
      <c r="A11858" s="1" t="str">
        <f>"01013198300"</f>
        <v>01013198300</v>
      </c>
      <c r="B11858" s="1" t="str">
        <f>"SPARKS JAYNE L"</f>
        <v>SPARKS JAYNE L</v>
      </c>
      <c r="C11858" s="1" t="str">
        <f>"YELLOWWOOD DR FOREST PK 2 LOT 336"</f>
        <v>YELLOWWOOD DR FOREST PK 2 LOT 336</v>
      </c>
      <c r="D11858" s="1">
        <v>1751.71</v>
      </c>
    </row>
    <row r="11859" spans="1:4" x14ac:dyDescent="0.3">
      <c r="A11859" s="1" t="str">
        <f>"18000210400"</f>
        <v>18000210400</v>
      </c>
      <c r="B11859" s="1" t="str">
        <f>"SPARKS JONATHAN P, SPARKS DIANA K"</f>
        <v>SPARKS JONATHAN P, SPARKS DIANA K</v>
      </c>
      <c r="C11859" s="1" t="str">
        <f>"BONITA PL BLACKLICK ESTATES 1 246 "</f>
        <v xml:space="preserve">BONITA PL BLACKLICK ESTATES 1 246 </v>
      </c>
      <c r="D11859" s="1">
        <v>3387.77</v>
      </c>
    </row>
    <row r="11860" spans="1:4" x14ac:dyDescent="0.3">
      <c r="A11860" s="1" t="str">
        <f>"01009711900"</f>
        <v>01009711900</v>
      </c>
      <c r="B11860" s="1" t="str">
        <f>"SPARKS RODNEY D"</f>
        <v>SPARKS RODNEY D</v>
      </c>
      <c r="C11860" s="1" t="str">
        <f>"TEMPLETON RD EASTMOOR-SO LOT 31"</f>
        <v>TEMPLETON RD EASTMOOR-SO LOT 31</v>
      </c>
      <c r="D11860" s="1">
        <v>1575.16</v>
      </c>
    </row>
    <row r="11861" spans="1:4" x14ac:dyDescent="0.3">
      <c r="A11861" s="1" t="str">
        <f>"01012049100"</f>
        <v>01012049100</v>
      </c>
      <c r="B11861" s="1" t="str">
        <f>"SPARKS RODNEY D TR"</f>
        <v>SPARKS RODNEY D TR</v>
      </c>
      <c r="C11861" s="1" t="str">
        <f>"BURLINGTON AVE THUNDERBIRD ACRES LOT 189"</f>
        <v>BURLINGTON AVE THUNDERBIRD ACRES LOT 189</v>
      </c>
      <c r="D11861" s="1">
        <v>1066.45</v>
      </c>
    </row>
    <row r="11862" spans="1:4" x14ac:dyDescent="0.3">
      <c r="A11862" s="1" t="str">
        <f>"01009141600"</f>
        <v>01009141600</v>
      </c>
      <c r="B11862" s="1" t="str">
        <f>"SPARKS RODNEY D TR"</f>
        <v>SPARKS RODNEY D TR</v>
      </c>
      <c r="C11862" s="1" t="str">
        <f>"ASTOR AVE EASTHAMPTON LOT 192"</f>
        <v>ASTOR AVE EASTHAMPTON LOT 192</v>
      </c>
      <c r="D11862" s="1">
        <v>893.01</v>
      </c>
    </row>
    <row r="11863" spans="1:4" x14ac:dyDescent="0.3">
      <c r="A11863" s="1" t="str">
        <f>"09000420700"</f>
        <v>09000420700</v>
      </c>
      <c r="B11863" s="1" t="str">
        <f>"SPARKS RODNEY D TR"</f>
        <v>SPARKS RODNEY D TR</v>
      </c>
      <c r="C11863" s="1" t="str">
        <f>"646-648 ELAINE RD GLENCOE LOT 411 "</f>
        <v xml:space="preserve">646-648 ELAINE RD GLENCOE LOT 411 </v>
      </c>
      <c r="D11863" s="1">
        <v>1249.0899999999999</v>
      </c>
    </row>
    <row r="11864" spans="1:4" x14ac:dyDescent="0.3">
      <c r="A11864" s="1" t="str">
        <f>"09000420800"</f>
        <v>09000420800</v>
      </c>
      <c r="B11864" s="1" t="str">
        <f>"SPARKS RODNEY D TR"</f>
        <v>SPARKS RODNEY D TR</v>
      </c>
      <c r="C11864" s="1" t="str">
        <f>"640-642 ELAINE RD GLENCOE LOT 412 "</f>
        <v xml:space="preserve">640-642 ELAINE RD GLENCOE LOT 412 </v>
      </c>
      <c r="D11864" s="1">
        <v>1249.0899999999999</v>
      </c>
    </row>
    <row r="11865" spans="1:4" x14ac:dyDescent="0.3">
      <c r="A11865" s="1" t="str">
        <f>"09000279200"</f>
        <v>09000279200</v>
      </c>
      <c r="B11865" s="1" t="str">
        <f>"SPARKS RODNEY D TR"</f>
        <v>SPARKS RODNEY D TR</v>
      </c>
      <c r="C11865" s="1" t="str">
        <f>"4161 POWELL AVE PINEWOOD LOT 327 "</f>
        <v xml:space="preserve">4161 POWELL AVE PINEWOOD LOT 327 </v>
      </c>
      <c r="D11865" s="1">
        <v>1139.69</v>
      </c>
    </row>
    <row r="11866" spans="1:4" x14ac:dyDescent="0.3">
      <c r="A11866" s="1" t="str">
        <f>"09000753800"</f>
        <v>09000753800</v>
      </c>
      <c r="B11866" s="1" t="str">
        <f>"SPARKS RODNEY D TR"</f>
        <v>SPARKS RODNEY D TR</v>
      </c>
      <c r="C11866" s="1" t="str">
        <f>"3838 KENARD COURT ROBINWOOD PL AMD LOT 38"</f>
        <v>3838 KENARD COURT ROBINWOOD PL AMD LOT 38</v>
      </c>
      <c r="D11866" s="1">
        <v>833.06</v>
      </c>
    </row>
    <row r="11867" spans="1:4" x14ac:dyDescent="0.3">
      <c r="A11867" s="1" t="str">
        <f>"09000103100"</f>
        <v>09000103100</v>
      </c>
      <c r="B11867" s="1" t="str">
        <f>"SPARKS RODNEY D TR"</f>
        <v>SPARKS RODNEY D TR</v>
      </c>
      <c r="C11867" s="1" t="str">
        <f>"BERNHARD RD 50FT S S BERNHARD 87 "</f>
        <v xml:space="preserve">BERNHARD RD 50FT S S BERNHARD 87 </v>
      </c>
      <c r="D11867" s="1">
        <v>6783.7</v>
      </c>
    </row>
    <row r="11868" spans="1:4" x14ac:dyDescent="0.3">
      <c r="A11868" s="1" t="str">
        <f>"09000128900"</f>
        <v>09000128900</v>
      </c>
      <c r="B11868" s="1" t="str">
        <f>"SPARKS RODNEY D TR"</f>
        <v>SPARKS RODNEY D TR</v>
      </c>
      <c r="C11868" s="1" t="str">
        <f>"236 SANTA MARIA LN NORTON FIELD PLAT 2 LOT 404"</f>
        <v>236 SANTA MARIA LN NORTON FIELD PLAT 2 LOT 404</v>
      </c>
      <c r="D11868" s="1">
        <v>1034.3</v>
      </c>
    </row>
    <row r="11869" spans="1:4" x14ac:dyDescent="0.3">
      <c r="A11869" s="1" t="str">
        <f>"09000148800"</f>
        <v>09000148800</v>
      </c>
      <c r="B11869" s="1" t="str">
        <f>"SPARKS RODNEY D TR"</f>
        <v>SPARKS RODNEY D TR</v>
      </c>
      <c r="C11869" s="1" t="str">
        <f>"141 ST CHRISTOPHER NORTON FIELD PLAT 2 LOT 578"</f>
        <v>141 ST CHRISTOPHER NORTON FIELD PLAT 2 LOT 578</v>
      </c>
      <c r="D11869" s="1">
        <v>1188.71</v>
      </c>
    </row>
    <row r="11870" spans="1:4" x14ac:dyDescent="0.3">
      <c r="A11870" s="1" t="str">
        <f>"01012799600"</f>
        <v>01012799600</v>
      </c>
      <c r="B11870" s="1" t="str">
        <f>"SPARKS RODNEY D TR"</f>
        <v>SPARKS RODNEY D TR</v>
      </c>
      <c r="C11870" s="1" t="str">
        <f>"NIAGARA RD BERWYN LOT 122"</f>
        <v>NIAGARA RD BERWYN LOT 122</v>
      </c>
      <c r="D11870" s="1">
        <v>1237.1199999999999</v>
      </c>
    </row>
    <row r="11871" spans="1:4" x14ac:dyDescent="0.3">
      <c r="A11871" s="1" t="str">
        <f>"01028537600"</f>
        <v>01028537600</v>
      </c>
      <c r="B11871" s="1" t="str">
        <f>"SPARROW HOLDINGS LLC"</f>
        <v>SPARROW HOLDINGS LLC</v>
      </c>
      <c r="C11871" s="1" t="str">
        <f>"ALBANY RESERVE CONDOMINIUM COMMUNITY 2ND AMD UNIT 6224"</f>
        <v>ALBANY RESERVE CONDOMINIUM COMMUNITY 2ND AMD UNIT 6224</v>
      </c>
      <c r="D11871" s="1">
        <v>1942.53</v>
      </c>
    </row>
    <row r="11872" spans="1:4" x14ac:dyDescent="0.3">
      <c r="A11872" s="1" t="str">
        <f>"60022240100"</f>
        <v>60022240100</v>
      </c>
      <c r="B11872" s="1" t="str">
        <f>"SPARTAN PROPERTY GROUP  LLC"</f>
        <v>SPARTAN PROPERTY GROUP  LLC</v>
      </c>
      <c r="C11872" s="1" t="str">
        <f>"OAKSTONE OFFICE PARK CONDOMINIUM 3RD AMD BLDG 13 UNIT 2602"</f>
        <v>OAKSTONE OFFICE PARK CONDOMINIUM 3RD AMD BLDG 13 UNIT 2602</v>
      </c>
      <c r="D11872" s="1">
        <v>18929.8</v>
      </c>
    </row>
    <row r="11873" spans="1:4" x14ac:dyDescent="0.3">
      <c r="A11873" s="1" t="str">
        <f>"60022240000"</f>
        <v>60022240000</v>
      </c>
      <c r="B11873" s="1" t="str">
        <f>"SPARTAN PROPERTY GROUP  LLC"</f>
        <v>SPARTAN PROPERTY GROUP  LLC</v>
      </c>
      <c r="C11873" s="1" t="str">
        <f>"OAKSTONE OFFICE PARK CONDOMINIUM 3RD AMD BLDG 13 UNIT 2600"</f>
        <v>OAKSTONE OFFICE PARK CONDOMINIUM 3RD AMD BLDG 13 UNIT 2600</v>
      </c>
      <c r="D11873" s="1">
        <v>7916.3</v>
      </c>
    </row>
    <row r="11874" spans="1:4" x14ac:dyDescent="0.3">
      <c r="A11874" s="1" t="str">
        <f>"04001340300"</f>
        <v>04001340300</v>
      </c>
      <c r="B11874" s="1" t="str">
        <f>"SPAULDING LINDA L"</f>
        <v>SPAULDING LINDA L</v>
      </c>
      <c r="C11874" s="1" t="str">
        <f>"FOUNTAINVIEW AT PARKWAY   CONDOMINIUM 5TH AMD       UNIT 30-1388             "</f>
        <v xml:space="preserve">FOUNTAINVIEW AT PARKWAY   CONDOMINIUM 5TH AMD       UNIT 30-1388             </v>
      </c>
      <c r="D11874" s="1">
        <v>4773.34</v>
      </c>
    </row>
    <row r="11875" spans="1:4" x14ac:dyDescent="0.3">
      <c r="A11875" s="1" t="str">
        <f>"27300835900"</f>
        <v>27300835900</v>
      </c>
      <c r="B11875" s="1" t="str">
        <f>"SPAULDING-HITESMAN ELIZABETH R"</f>
        <v>SPAULDING-HITESMAN ELIZABETH R</v>
      </c>
      <c r="C11875" s="1" t="str">
        <f>"6332 RIVERSIDE DR R19 T2 1/4T3 0.945 ACRE"</f>
        <v>6332 RIVERSIDE DR R19 T2 1/4T3 0.945 ACRE</v>
      </c>
      <c r="D11875" s="1">
        <v>11154.32</v>
      </c>
    </row>
    <row r="11876" spans="1:4" x14ac:dyDescent="0.3">
      <c r="A11876" s="1" t="str">
        <f>"27300826700"</f>
        <v>27300826700</v>
      </c>
      <c r="B11876" s="1" t="str">
        <f>"SPAULDING-HITESMAN ELIZABETH R"</f>
        <v>SPAULDING-HITESMAN ELIZABETH R</v>
      </c>
      <c r="C11876" s="1" t="str">
        <f>"6350 RIVERSIDE DR 1. ACRES R19 T2 1/4T3"</f>
        <v>6350 RIVERSIDE DR 1. ACRES R19 T2 1/4T3</v>
      </c>
      <c r="D11876" s="1">
        <v>8469.36</v>
      </c>
    </row>
    <row r="11877" spans="1:4" x14ac:dyDescent="0.3">
      <c r="A11877" s="1" t="str">
        <f>"01005204500"</f>
        <v>01005204500</v>
      </c>
      <c r="B11877" s="1" t="str">
        <f>"SPEAKMAN DUSTIN S"</f>
        <v>SPEAKMAN DUSTIN S</v>
      </c>
      <c r="C11877" s="1" t="str">
        <f>"305-307 W PARK AVE WEST PARK LOT 702"</f>
        <v>305-307 W PARK AVE WEST PARK LOT 702</v>
      </c>
      <c r="D11877" s="1">
        <v>43.42</v>
      </c>
    </row>
    <row r="11878" spans="1:4" x14ac:dyDescent="0.3">
      <c r="A11878" s="1" t="str">
        <f>"01011501900"</f>
        <v>01011501900</v>
      </c>
      <c r="B11878" s="1" t="str">
        <f>"SPEARS LEISA ANN"</f>
        <v>SPEARS LEISA ANN</v>
      </c>
      <c r="C11878" s="1" t="str">
        <f>"REEB AVE SOUTHEAST LOT 29"</f>
        <v>REEB AVE SOUTHEAST LOT 29</v>
      </c>
      <c r="D11878" s="1">
        <v>461.8</v>
      </c>
    </row>
    <row r="11879" spans="1:4" x14ac:dyDescent="0.3">
      <c r="A11879" s="1" t="str">
        <f>"05001088800"</f>
        <v>05001088800</v>
      </c>
      <c r="B11879" s="1" t="str">
        <f>"SPEARS LINDA J"</f>
        <v>SPEARS LINDA J</v>
      </c>
      <c r="C11879" s="1" t="str">
        <f>"VILLAGE AT TREMONT CLUB   CONDOMINIUM 9TH AMD       UNIT 62-4611             "</f>
        <v xml:space="preserve">VILLAGE AT TREMONT CLUB   CONDOMINIUM 9TH AMD       UNIT 62-4611             </v>
      </c>
      <c r="D11879" s="1">
        <v>1727.29</v>
      </c>
    </row>
    <row r="11880" spans="1:4" x14ac:dyDescent="0.3">
      <c r="A11880" s="1" t="str">
        <f>"24100018300"</f>
        <v>24100018300</v>
      </c>
      <c r="B11880" s="1" t="str">
        <f>"SPEARS STEVEN O"</f>
        <v>SPEARS STEVEN O</v>
      </c>
      <c r="C11880" s="1" t="str">
        <f>"GEORGE FOX DR QUAKER HILL SUB NO 4 LOT 3"</f>
        <v>GEORGE FOX DR QUAKER HILL SUB NO 4 LOT 3</v>
      </c>
      <c r="D11880" s="1">
        <v>1937.84</v>
      </c>
    </row>
    <row r="11881" spans="1:4" x14ac:dyDescent="0.3">
      <c r="A11881" s="1" t="str">
        <f>"56021445400"</f>
        <v>56021445400</v>
      </c>
      <c r="B11881" s="1" t="str">
        <f>"SPEECE GREG, SPEECE KATHLEEN, OSORIO AMANDA TRUJILLO"</f>
        <v>SPEECE GREG, SPEECE KATHLEEN, OSORIO AMANDA TRUJILLO</v>
      </c>
      <c r="C11881" s="1" t="str">
        <f>"CROSSCREEK VILLAGE SECTION 3 LOT 257"</f>
        <v>CROSSCREEK VILLAGE SECTION 3 LOT 257</v>
      </c>
      <c r="D11881" s="1">
        <v>4986.17</v>
      </c>
    </row>
    <row r="11882" spans="1:4" x14ac:dyDescent="0.3">
      <c r="A11882" s="1" t="str">
        <f>"01004348900"</f>
        <v>01004348900</v>
      </c>
      <c r="B11882" s="1" t="str">
        <f>"SPEITEL ERIC, SPEITEL LISA"</f>
        <v>SPEITEL ERIC, SPEITEL LISA</v>
      </c>
      <c r="C11882" s="1" t="str">
        <f>"235 E MAYNARD AVE CORNELL LOT 102"</f>
        <v>235 E MAYNARD AVE CORNELL LOT 102</v>
      </c>
      <c r="D11882" s="1">
        <v>2881.58</v>
      </c>
    </row>
    <row r="11883" spans="1:4" x14ac:dyDescent="0.3">
      <c r="A11883" s="1" t="str">
        <f>"53016411600"</f>
        <v>53016411600</v>
      </c>
      <c r="B11883" s="1" t="str">
        <f>"SPENCE WILLIAM J SR"</f>
        <v>SPENCE WILLIAM J SR</v>
      </c>
      <c r="C11883" s="1" t="str">
        <f>"DANUBE DRIVE THREE RIVERS LOT 211"</f>
        <v>DANUBE DRIVE THREE RIVERS LOT 211</v>
      </c>
      <c r="D11883" s="1">
        <v>3891.49</v>
      </c>
    </row>
    <row r="11884" spans="1:4" x14ac:dyDescent="0.3">
      <c r="A11884" s="1" t="str">
        <f>"01009814500"</f>
        <v>01009814500</v>
      </c>
      <c r="B11884" s="1" t="str">
        <f>"SPENCER AMY J"</f>
        <v>SPENCER AMY J</v>
      </c>
      <c r="C11884" s="1" t="str">
        <f>"2684 REGINA AVENUE BROOKSHIRE PK  30'ES LT 186 &amp; 25'WS LT187"</f>
        <v>2684 REGINA AVENUE BROOKSHIRE PK  30'ES LT 186 &amp; 25'WS LT187</v>
      </c>
      <c r="D11884" s="1">
        <v>1427.11</v>
      </c>
    </row>
    <row r="11885" spans="1:4" x14ac:dyDescent="0.3">
      <c r="A11885" s="1" t="str">
        <f>"01015235000"</f>
        <v>01015235000</v>
      </c>
      <c r="B11885" s="1" t="str">
        <f>"SPENCER AMY, WINER SCOTT JR"</f>
        <v>SPENCER AMY, WINER SCOTT JR</v>
      </c>
      <c r="C11885" s="1" t="str">
        <f>"SAVILLE ROW HYDE PARK PLAT 2 LOT 182"</f>
        <v>SAVILLE ROW HYDE PARK PLAT 2 LOT 182</v>
      </c>
      <c r="D11885" s="1">
        <v>1958.28</v>
      </c>
    </row>
    <row r="11886" spans="1:4" x14ac:dyDescent="0.3">
      <c r="A11886" s="1" t="str">
        <f>"09000779000"</f>
        <v>09000779000</v>
      </c>
      <c r="B11886" s="1" t="str">
        <f>"SPENCER BRIAN D"</f>
        <v>SPENCER BRIAN D</v>
      </c>
      <c r="C11886" s="1" t="str">
        <f>"643 BERNHARD RD S 1/2  LOT 99 BERNHARD"</f>
        <v>643 BERNHARD RD S 1/2  LOT 99 BERNHARD</v>
      </c>
      <c r="D11886" s="1">
        <v>3661.19</v>
      </c>
    </row>
    <row r="11887" spans="1:4" x14ac:dyDescent="0.3">
      <c r="A11887" s="1" t="str">
        <f>"04000953700"</f>
        <v>04000953700</v>
      </c>
      <c r="B11887" s="1" t="str">
        <f>"SPENCER BRIAN, SPENCER NANCY L"</f>
        <v>SPENCER BRIAN, SPENCER NANCY L</v>
      </c>
      <c r="C11887" s="1" t="str">
        <f>"LAKE LOUISE COURT CONCORD LAKES SECTION 2 LOT 71"</f>
        <v>LAKE LOUISE COURT CONCORD LAKES SECTION 2 LOT 71</v>
      </c>
      <c r="D11887" s="1">
        <v>2546.6</v>
      </c>
    </row>
    <row r="11888" spans="1:4" x14ac:dyDescent="0.3">
      <c r="A11888" s="1" t="str">
        <f>"01016716100"</f>
        <v>01016716100</v>
      </c>
      <c r="B11888" s="1" t="str">
        <f>"SPENCER STACY L"</f>
        <v>SPENCER STACY L</v>
      </c>
      <c r="C11888" s="1" t="str">
        <f>"ARGYLE DR AMVET HOMESTD SUB 1 LOT 39 BLK D"</f>
        <v>ARGYLE DR AMVET HOMESTD SUB 1 LOT 39 BLK D</v>
      </c>
      <c r="D11888" s="1">
        <v>1461.2</v>
      </c>
    </row>
    <row r="11889" spans="1:4" x14ac:dyDescent="0.3">
      <c r="A11889" s="1" t="str">
        <f>"01028611900"</f>
        <v>01028611900</v>
      </c>
      <c r="B11889" s="1" t="str">
        <f>"SPEYER BENNETT"</f>
        <v>SPEYER BENNETT</v>
      </c>
      <c r="C11889" s="1" t="str">
        <f>"199 SOUTH FIFTH STREET    CONDOMINIUM               UNIT 305                 "</f>
        <v xml:space="preserve">199 SOUTH FIFTH STREET    CONDOMINIUM               UNIT 305                 </v>
      </c>
      <c r="D11889" s="1">
        <v>298.17</v>
      </c>
    </row>
    <row r="11890" spans="1:4" x14ac:dyDescent="0.3">
      <c r="A11890" s="1" t="str">
        <f>"61019555900"</f>
        <v>61019555900</v>
      </c>
      <c r="B11890" s="1" t="str">
        <f>"SPIERS RONALD W"</f>
        <v>SPIERS RONALD W</v>
      </c>
      <c r="C11890" s="1" t="str">
        <f>"8025 SADDLE RUN WOODBRIDGE GREEN 3 LOT 149"</f>
        <v>8025 SADDLE RUN WOODBRIDGE GREEN 3 LOT 149</v>
      </c>
      <c r="D11890" s="1">
        <v>4269.33</v>
      </c>
    </row>
    <row r="11891" spans="1:4" x14ac:dyDescent="0.3">
      <c r="A11891" s="1" t="str">
        <f>"01013782700"</f>
        <v>01013782700</v>
      </c>
      <c r="B11891" s="1" t="str">
        <f>"SPIES DONNA J"</f>
        <v>SPIES DONNA J</v>
      </c>
      <c r="C11891" s="1" t="str">
        <f>"AMBLESIDE DR DEVONSHIRE 4 LOT 409"</f>
        <v>AMBLESIDE DR DEVONSHIRE 4 LOT 409</v>
      </c>
      <c r="D11891" s="1">
        <v>2240.38</v>
      </c>
    </row>
    <row r="11892" spans="1:4" x14ac:dyDescent="0.3">
      <c r="A11892" s="1" t="str">
        <f>"60016285800"</f>
        <v>60016285800</v>
      </c>
      <c r="B11892" s="1" t="str">
        <f>"SPINK DIANE C"</f>
        <v>SPINK DIANE C</v>
      </c>
      <c r="C11892" s="1" t="str">
        <f>"WRANGELL PLC SUNBURY HEIGHTS PUD DIST NO1 LOT 37"</f>
        <v>WRANGELL PLC SUNBURY HEIGHTS PUD DIST NO1 LOT 37</v>
      </c>
      <c r="D11892" s="1">
        <v>174.44</v>
      </c>
    </row>
    <row r="11893" spans="1:4" x14ac:dyDescent="0.3">
      <c r="A11893" s="1" t="str">
        <f>"11000266600"</f>
        <v>11000266600</v>
      </c>
      <c r="B11893" s="1" t="str">
        <f>"SPIRES RONALD J, SPIRES REBECCA S"</f>
        <v>SPIRES RONALD J, SPIRES REBECCA S</v>
      </c>
      <c r="C11893" s="1" t="str">
        <f>"2792 MINERVA AVE BLENDON 130-131"</f>
        <v>2792 MINERVA AVE BLENDON 130-131</v>
      </c>
      <c r="D11893" s="1">
        <v>189.89</v>
      </c>
    </row>
    <row r="11894" spans="1:4" x14ac:dyDescent="0.3">
      <c r="A11894" s="1" t="str">
        <f>"01005288300"</f>
        <v>01005288300</v>
      </c>
      <c r="B11894" s="1" t="str">
        <f>"SPIRIT LAND COMPANY LLC"</f>
        <v>SPIRIT LAND COMPANY LLC</v>
      </c>
      <c r="C11894" s="1" t="str">
        <f>"320 GRAHAM ST HORNS LOT 58"</f>
        <v>320 GRAHAM ST HORNS LOT 58</v>
      </c>
      <c r="D11894" s="1">
        <v>739.6</v>
      </c>
    </row>
    <row r="11895" spans="1:4" x14ac:dyDescent="0.3">
      <c r="A11895" s="1" t="str">
        <f>"01001721800"</f>
        <v>01001721800</v>
      </c>
      <c r="B11895" s="1" t="str">
        <f>"SPIROFF CHRISTOPHER J"</f>
        <v>SPIROFF CHRISTOPHER J</v>
      </c>
      <c r="C11895" s="1" t="str">
        <f>"25 HANFORD ST KOCH LOT 3"</f>
        <v>25 HANFORD ST KOCH LOT 3</v>
      </c>
      <c r="D11895" s="1">
        <v>1392.31</v>
      </c>
    </row>
    <row r="11896" spans="1:4" x14ac:dyDescent="0.3">
      <c r="A11896" s="1" t="str">
        <f>"01005994600"</f>
        <v>01005994600</v>
      </c>
      <c r="B11896" s="1" t="str">
        <f>"SPITLER DALLAS"</f>
        <v>SPITLER DALLAS</v>
      </c>
      <c r="C11896" s="1" t="str">
        <f>"WEBER RD LONDEN LOT 37"</f>
        <v>WEBER RD LONDEN LOT 37</v>
      </c>
      <c r="D11896" s="1">
        <v>1783.51</v>
      </c>
    </row>
    <row r="11897" spans="1:4" x14ac:dyDescent="0.3">
      <c r="A11897" s="1" t="str">
        <f>"01006124600"</f>
        <v>01006124600</v>
      </c>
      <c r="B11897" s="1" t="str">
        <f>"SPIVS REALTY LLC"</f>
        <v>SPIVS REALTY LLC</v>
      </c>
      <c r="C11897" s="1" t="str">
        <f>"1558 LORETTA AVE ST AUGUSTINES LOT 3"</f>
        <v>1558 LORETTA AVE ST AUGUSTINES LOT 3</v>
      </c>
      <c r="D11897" s="1">
        <v>583.57000000000005</v>
      </c>
    </row>
    <row r="11898" spans="1:4" x14ac:dyDescent="0.3">
      <c r="A11898" s="1" t="str">
        <f>"15200151500"</f>
        <v>15200151500</v>
      </c>
      <c r="B11898" s="1" t="str">
        <f>"SPLAIN RUTHANNE G"</f>
        <v>SPLAIN RUTHANNE G</v>
      </c>
      <c r="C11898" s="1" t="str">
        <f>"DEXTER COURT DEXTER VILLAGE LOT 45"</f>
        <v>DEXTER COURT DEXTER VILLAGE LOT 45</v>
      </c>
      <c r="D11898" s="1">
        <v>1942.8</v>
      </c>
    </row>
    <row r="11899" spans="1:4" x14ac:dyDescent="0.3">
      <c r="A11899" s="1" t="str">
        <f>"01008308300"</f>
        <v>01008308300</v>
      </c>
      <c r="B11899" s="1" t="str">
        <f>"SPLIT ROCK LLC"</f>
        <v>SPLIT ROCK LLC</v>
      </c>
      <c r="C11899" s="1" t="str">
        <f>"OAKLAND PK AVE OAKLAND PARK TERRACE 25'WS LOT 112"</f>
        <v>OAKLAND PK AVE OAKLAND PARK TERRACE 25'WS LOT 112</v>
      </c>
      <c r="D11899" s="1">
        <v>37.270000000000003</v>
      </c>
    </row>
    <row r="11900" spans="1:4" x14ac:dyDescent="0.3">
      <c r="A11900" s="1" t="str">
        <f>"01023555600"</f>
        <v>01023555600</v>
      </c>
      <c r="B11900" s="1" t="str">
        <f>"SPN PARTNERS LLC"</f>
        <v>SPN PARTNERS LLC</v>
      </c>
      <c r="C11900" s="1" t="str">
        <f>"2322 STELZER RD R17 T1 1/4T1 0.334 ACRE"</f>
        <v>2322 STELZER RD R17 T1 1/4T1 0.334 ACRE</v>
      </c>
      <c r="D11900" s="1">
        <v>5996.25</v>
      </c>
    </row>
    <row r="11901" spans="1:4" x14ac:dyDescent="0.3">
      <c r="A11901" s="1" t="str">
        <f>"22200529900"</f>
        <v>22200529900</v>
      </c>
      <c r="B11901" s="1" t="str">
        <f>"SPOLJARIC STEPHEN R, SPOLJARIC DAWN C"</f>
        <v>SPOLJARIC STEPHEN R, SPOLJARIC DAWN C</v>
      </c>
      <c r="C11901" s="1" t="str">
        <f>"WOODHAVEN LOT 8 &amp; PT LOT 7 "</f>
        <v xml:space="preserve">WOODHAVEN LOT 8 &amp; PT LOT 7 </v>
      </c>
      <c r="D11901" s="1">
        <v>3807.99</v>
      </c>
    </row>
    <row r="11902" spans="1:4" x14ac:dyDescent="0.3">
      <c r="A11902" s="1" t="str">
        <f>"01008725600"</f>
        <v>01008725600</v>
      </c>
      <c r="B11902" s="1" t="str">
        <f>"SPONGE HOLDINGS LLC"</f>
        <v>SPONGE HOLDINGS LLC</v>
      </c>
      <c r="C11902" s="1" t="str">
        <f>"713 S RICHARDSON AVE WESTLAND EXT 1 LOT 430"</f>
        <v>713 S RICHARDSON AVE WESTLAND EXT 1 LOT 430</v>
      </c>
      <c r="D11902" s="1">
        <v>812.72</v>
      </c>
    </row>
    <row r="11903" spans="1:4" x14ac:dyDescent="0.3">
      <c r="A11903" s="1" t="str">
        <f>"01005227700"</f>
        <v>01005227700</v>
      </c>
      <c r="B11903" s="1" t="str">
        <f>"SPONGE HOLDINGS LLC"</f>
        <v>SPONGE HOLDINGS LLC</v>
      </c>
      <c r="C11903" s="1" t="str">
        <f>"431 S OGDEN AVE WICKLOW LOT 156"</f>
        <v>431 S OGDEN AVE WICKLOW LOT 156</v>
      </c>
      <c r="D11903" s="1">
        <v>846.6</v>
      </c>
    </row>
    <row r="11904" spans="1:4" x14ac:dyDescent="0.3">
      <c r="A11904" s="1" t="str">
        <f>"01006761700"</f>
        <v>01006761700</v>
      </c>
      <c r="B11904" s="1" t="str">
        <f>"SPONGE HOLDINGS LLC"</f>
        <v>SPONGE HOLDINGS LLC</v>
      </c>
      <c r="C11904" s="1" t="str">
        <f>"CATHERINE ST FOREST HILL LOT 166"</f>
        <v>CATHERINE ST FOREST HILL LOT 166</v>
      </c>
      <c r="D11904" s="1">
        <v>693.92</v>
      </c>
    </row>
    <row r="11905" spans="1:4" x14ac:dyDescent="0.3">
      <c r="A11905" s="1" t="str">
        <f>"01007794000"</f>
        <v>01007794000</v>
      </c>
      <c r="B11905" s="1" t="str">
        <f>"SPONGE HOLDINGS LLC"</f>
        <v>SPONGE HOLDINGS LLC</v>
      </c>
      <c r="C11905" s="1" t="str">
        <f>"133 S BURGESS AVE LANDSCAPE LOT 342"</f>
        <v>133 S BURGESS AVE LANDSCAPE LOT 342</v>
      </c>
      <c r="D11905" s="1">
        <v>1007.86</v>
      </c>
    </row>
    <row r="11906" spans="1:4" x14ac:dyDescent="0.3">
      <c r="A11906" s="1" t="str">
        <f>"01007798200"</f>
        <v>01007798200</v>
      </c>
      <c r="B11906" s="1" t="str">
        <f>"SPONGE HOLDINGS LLC"</f>
        <v>SPONGE HOLDINGS LLC</v>
      </c>
      <c r="C11906" s="1" t="str">
        <f>"598 S TERRACE AVE WESTLAND LOT 7"</f>
        <v>598 S TERRACE AVE WESTLAND LOT 7</v>
      </c>
      <c r="D11906" s="1">
        <v>896.28</v>
      </c>
    </row>
    <row r="11907" spans="1:4" x14ac:dyDescent="0.3">
      <c r="A11907" s="1" t="str">
        <f>"18400267300"</f>
        <v>18400267300</v>
      </c>
      <c r="B11907" s="1" t="str">
        <f>"SPONSELLER KATHY"</f>
        <v>SPONSELLER KATHY</v>
      </c>
      <c r="C11907" s="1" t="str">
        <f>"GREENSVIEW VILLAS CONDOMINIUM BLDG 5 UNIT 7392"</f>
        <v>GREENSVIEW VILLAS CONDOMINIUM BLDG 5 UNIT 7392</v>
      </c>
      <c r="D11907" s="1">
        <v>4325.37</v>
      </c>
    </row>
    <row r="11908" spans="1:4" x14ac:dyDescent="0.3">
      <c r="A11908" s="1" t="str">
        <f>"59017366400"</f>
        <v>59017366400</v>
      </c>
      <c r="B11908" s="1" t="str">
        <f>"SPRATLEY -FRANTZ FRANCES S"</f>
        <v>SPRATLEY -FRANTZ FRANCES S</v>
      </c>
      <c r="C11908" s="1" t="str">
        <f>"LEESVILLE WAY RIVERSIDE HILLS SEC4 LOT 147"</f>
        <v>LEESVILLE WAY RIVERSIDE HILLS SEC4 LOT 147</v>
      </c>
      <c r="D11908" s="1">
        <v>17.52</v>
      </c>
    </row>
    <row r="11909" spans="1:4" x14ac:dyDescent="0.3">
      <c r="A11909" s="1" t="str">
        <f>"01019840000"</f>
        <v>01019840000</v>
      </c>
      <c r="B11909" s="1" t="str">
        <f>"SPRAYBERRY TERESA"</f>
        <v>SPRAYBERRY TERESA</v>
      </c>
      <c r="C11909" s="1" t="str">
        <f>"NORTHLAND SEN VIL CONDO 2ND AMD BLDG C UNIT 104"</f>
        <v>NORTHLAND SEN VIL CONDO 2ND AMD BLDG C UNIT 104</v>
      </c>
      <c r="D11909" s="1">
        <v>1108.55</v>
      </c>
    </row>
    <row r="11910" spans="1:4" x14ac:dyDescent="0.3">
      <c r="A11910" s="1" t="str">
        <f>"07000758200"</f>
        <v>07000758200</v>
      </c>
      <c r="B11910" s="1" t="str">
        <f>"SPREITZER ELEANOR F"</f>
        <v>SPREITZER ELEANOR F</v>
      </c>
      <c r="C11910" s="1" t="str">
        <f>"4205 CLAIRMONT RD L 82 &amp; N 1/2 6 83 FAIRFAX 82 83"</f>
        <v>4205 CLAIRMONT RD L 82 &amp; N 1/2 6 83 FAIRFAX 82 83</v>
      </c>
      <c r="D11910" s="1">
        <v>613.6</v>
      </c>
    </row>
    <row r="11911" spans="1:4" x14ac:dyDescent="0.3">
      <c r="A11911" s="1" t="str">
        <f>"59019696200"</f>
        <v>59019696200</v>
      </c>
      <c r="B11911" s="1" t="str">
        <f>"SPREITZER KATRINA L"</f>
        <v>SPREITZER KATRINA L</v>
      </c>
      <c r="C11911" s="1" t="str">
        <f>"2354 GAVINLEY WY WOODRUN PLC CONDO 1 BLDG 5 UNIT 34"</f>
        <v>2354 GAVINLEY WY WOODRUN PLC CONDO 1 BLDG 5 UNIT 34</v>
      </c>
      <c r="D11911" s="1">
        <v>6224.51</v>
      </c>
    </row>
    <row r="11912" spans="1:4" x14ac:dyDescent="0.3">
      <c r="A11912" s="1" t="str">
        <f>"06000946200"</f>
        <v>06000946200</v>
      </c>
      <c r="B11912" s="1" t="str">
        <f>"SPRING HILL FARM HOMEOWNERS ASSOCIATION INC"</f>
        <v>SPRING HILL FARM HOMEOWNERS ASSOCIATION INC</v>
      </c>
      <c r="C11912" s="1" t="str">
        <f>"SPRING HILL FARM SECTION 2 PART B RESERVE G"</f>
        <v>SPRING HILL FARM SECTION 2 PART B RESERVE G</v>
      </c>
      <c r="D11912" s="1">
        <v>146.47999999999999</v>
      </c>
    </row>
    <row r="11913" spans="1:4" x14ac:dyDescent="0.3">
      <c r="A11913" s="1" t="str">
        <f>"06000943800"</f>
        <v>06000943800</v>
      </c>
      <c r="B11913" s="1" t="str">
        <f>"SPRING HILL FARM HOMEOWNERS ASSOCIATION INC"</f>
        <v>SPRING HILL FARM HOMEOWNERS ASSOCIATION INC</v>
      </c>
      <c r="C11913" s="1" t="str">
        <f>"SPRING HILL FARM SECTION 2 PART A RESERVE F"</f>
        <v>SPRING HILL FARM SECTION 2 PART A RESERVE F</v>
      </c>
      <c r="D11913" s="1">
        <v>354.06</v>
      </c>
    </row>
    <row r="11914" spans="1:4" x14ac:dyDescent="0.3">
      <c r="A11914" s="1" t="str">
        <f>"06000960700"</f>
        <v>06000960700</v>
      </c>
      <c r="B11914" s="1" t="str">
        <f>"SPRING HILL FARM HOMEOWNERS ASSOCIATION INC"</f>
        <v>SPRING HILL FARM HOMEOWNERS ASSOCIATION INC</v>
      </c>
      <c r="C11914" s="1" t="str">
        <f>"SPRING HILL FARM SECTION 3 PART B RESERVE I"</f>
        <v>SPRING HILL FARM SECTION 3 PART B RESERVE I</v>
      </c>
      <c r="D11914" s="1">
        <v>595.54</v>
      </c>
    </row>
    <row r="11915" spans="1:4" x14ac:dyDescent="0.3">
      <c r="A11915" s="1" t="str">
        <f>"06000940200"</f>
        <v>06000940200</v>
      </c>
      <c r="B11915" s="1" t="str">
        <f>"SPRING HILL FARM HOMEOWNERS ASSOCIATION INC"</f>
        <v>SPRING HILL FARM HOMEOWNERS ASSOCIATION INC</v>
      </c>
      <c r="C11915" s="1" t="str">
        <f>"SPRING HILL FARM SECTION 1 RESERVE C"</f>
        <v>SPRING HILL FARM SECTION 1 RESERVE C</v>
      </c>
      <c r="D11915" s="1">
        <v>99.84</v>
      </c>
    </row>
    <row r="11916" spans="1:4" x14ac:dyDescent="0.3">
      <c r="A11916" s="1" t="str">
        <f>"06000940300"</f>
        <v>06000940300</v>
      </c>
      <c r="B11916" s="1" t="str">
        <f>"SPRING HILL FARM HOMEOWNERS ASSOCIATION INC"</f>
        <v>SPRING HILL FARM HOMEOWNERS ASSOCIATION INC</v>
      </c>
      <c r="C11916" s="1" t="str">
        <f>"SPRING HILL FARM SECTION 1 RESERVE D"</f>
        <v>SPRING HILL FARM SECTION 1 RESERVE D</v>
      </c>
      <c r="D11916" s="1">
        <v>167.64</v>
      </c>
    </row>
    <row r="11917" spans="1:4" x14ac:dyDescent="0.3">
      <c r="A11917" s="1" t="str">
        <f>"06000940100"</f>
        <v>06000940100</v>
      </c>
      <c r="B11917" s="1" t="str">
        <f>"SPRING HILL FARM HOMEOWNERS ASSOCIATION INC"</f>
        <v>SPRING HILL FARM HOMEOWNERS ASSOCIATION INC</v>
      </c>
      <c r="C11917" s="1" t="str">
        <f>"SPRING HILL FARM SECTION 1 RESERVE B"</f>
        <v>SPRING HILL FARM SECTION 1 RESERVE B</v>
      </c>
      <c r="D11917" s="1">
        <v>46.6</v>
      </c>
    </row>
    <row r="11918" spans="1:4" x14ac:dyDescent="0.3">
      <c r="A11918" s="1" t="str">
        <f>"06000957700"</f>
        <v>06000957700</v>
      </c>
      <c r="B11918" s="1" t="str">
        <f>"SPRING HILL FARM HOMEOWNERS ASSOCIATION INC"</f>
        <v>SPRING HILL FARM HOMEOWNERS ASSOCIATION INC</v>
      </c>
      <c r="C11918" s="1" t="str">
        <f>"SPRING HILL FARM SECTION 3 PART A RESERVE H"</f>
        <v>SPRING HILL FARM SECTION 3 PART A RESERVE H</v>
      </c>
      <c r="D11918" s="1">
        <v>201.55</v>
      </c>
    </row>
    <row r="11919" spans="1:4" x14ac:dyDescent="0.3">
      <c r="A11919" s="1" t="str">
        <f>"06000940000"</f>
        <v>06000940000</v>
      </c>
      <c r="B11919" s="1" t="str">
        <f>"SPRING HILL FARM HOMEOWNERS ASSOCIATION INC"</f>
        <v>SPRING HILL FARM HOMEOWNERS ASSOCIATION INC</v>
      </c>
      <c r="C11919" s="1" t="str">
        <f>"SPRING HILL FARM SECTION 1 RESERVE A"</f>
        <v>SPRING HILL FARM SECTION 1 RESERVE A</v>
      </c>
      <c r="D11919" s="1">
        <v>476.93</v>
      </c>
    </row>
    <row r="11920" spans="1:4" x14ac:dyDescent="0.3">
      <c r="A11920" s="1" t="str">
        <f>"06000943700"</f>
        <v>06000943700</v>
      </c>
      <c r="B11920" s="1" t="str">
        <f>"SPRING HILL FARM HOMEOWNERS ASSOCIATION INC"</f>
        <v>SPRING HILL FARM HOMEOWNERS ASSOCIATION INC</v>
      </c>
      <c r="C11920" s="1" t="str">
        <f>"SPRING HILL FARM SECTION 2 PART A RESERVE E"</f>
        <v>SPRING HILL FARM SECTION 2 PART A RESERVE E</v>
      </c>
      <c r="D11920" s="1">
        <v>487.2</v>
      </c>
    </row>
    <row r="11921" spans="1:4" x14ac:dyDescent="0.3">
      <c r="A11921" s="1" t="str">
        <f>"01006023600"</f>
        <v>01006023600</v>
      </c>
      <c r="B11921" s="1" t="str">
        <f>"SPRING LEAVES LTD"</f>
        <v>SPRING LEAVES LTD</v>
      </c>
      <c r="C11921" s="1" t="str">
        <f>"CLEVELAND AVE WEYANTS CLEVE AVE PL LOT 18-19"</f>
        <v>CLEVELAND AVE WEYANTS CLEVE AVE PL LOT 18-19</v>
      </c>
      <c r="D11921" s="1">
        <v>2389.19</v>
      </c>
    </row>
    <row r="11922" spans="1:4" x14ac:dyDescent="0.3">
      <c r="A11922" s="1" t="str">
        <f>"01009850000"</f>
        <v>01009850000</v>
      </c>
      <c r="B11922" s="1" t="str">
        <f>"SPROUSE BONNIE D AFDT"</f>
        <v>SPROUSE BONNIE D AFDT</v>
      </c>
      <c r="C11922" s="1" t="str">
        <f>"BASSWOOD RD ACRES .302R22T4S10SEC14 URP LOT 17-18"</f>
        <v>BASSWOOD RD ACRES .302R22T4S10SEC14 URP LOT 17-18</v>
      </c>
      <c r="D11922" s="1">
        <v>4091.17</v>
      </c>
    </row>
    <row r="11923" spans="1:4" x14ac:dyDescent="0.3">
      <c r="A11923" s="1" t="str">
        <f>"56021804400"</f>
        <v>56021804400</v>
      </c>
      <c r="B11923" s="1" t="str">
        <f>"SPROUSE JONI L"</f>
        <v>SPROUSE JONI L</v>
      </c>
      <c r="C11923" s="1" t="str">
        <f>"CROSS CREEK VILLAGE SECTION 8 LOT 778"</f>
        <v>CROSS CREEK VILLAGE SECTION 8 LOT 778</v>
      </c>
      <c r="D11923" s="1">
        <v>270.22000000000003</v>
      </c>
    </row>
    <row r="11924" spans="1:4" x14ac:dyDescent="0.3">
      <c r="A11924" s="1" t="str">
        <f>"08000137500"</f>
        <v>08000137500</v>
      </c>
      <c r="B11924" s="1" t="str">
        <f>"SPROWLS GREGORY, SPROWLS JUNE L"</f>
        <v>SPROWLS GREGORY, SPROWLS JUNE L</v>
      </c>
      <c r="C11924" s="1" t="str">
        <f>"155 LLEWELLYN AVE  &amp; PT ALLEYS VAC LLEWELLYN PARK 111"</f>
        <v>155 LLEWELLYN AVE  &amp; PT ALLEYS VAC LLEWELLYN PARK 111</v>
      </c>
      <c r="D11924" s="1">
        <v>2431.23</v>
      </c>
    </row>
    <row r="11925" spans="1:4" x14ac:dyDescent="0.3">
      <c r="A11925" s="1" t="str">
        <f>"02501116300"</f>
        <v>02501116300</v>
      </c>
      <c r="B11925" s="1" t="str">
        <f>"SPUNT LARRY, SPUNT JEAN"</f>
        <v>SPUNT LARRY, SPUNT JEAN</v>
      </c>
      <c r="C11925" s="1" t="str">
        <f>"LAKES AT HARRISON POND CONDO 1ST AMD BLDG 5 UNIT 1488"</f>
        <v>LAKES AT HARRISON POND CONDO 1ST AMD BLDG 5 UNIT 1488</v>
      </c>
      <c r="D11925" s="1">
        <v>778.67</v>
      </c>
    </row>
    <row r="11926" spans="1:4" x14ac:dyDescent="0.3">
      <c r="A11926" s="1" t="str">
        <f>"13001158600"</f>
        <v>13001158600</v>
      </c>
      <c r="B11926" s="1" t="str">
        <f>"SPURGEON ANNE M"</f>
        <v>SPURGEON ANNE M</v>
      </c>
      <c r="C11926" s="1" t="str">
        <f>"3833 KARL RD .943 ACRES KARL RD ACRES"</f>
        <v>3833 KARL RD .943 ACRES KARL RD ACRES</v>
      </c>
      <c r="D11926" s="1">
        <v>340.06</v>
      </c>
    </row>
    <row r="11927" spans="1:4" x14ac:dyDescent="0.3">
      <c r="A11927" s="1" t="str">
        <f>"01008418400"</f>
        <v>01008418400</v>
      </c>
      <c r="B11927" s="1" t="str">
        <f>"SPURGEON DANIEL J, KUSHINS JODI E"</f>
        <v>SPURGEON DANIEL J, KUSHINS JODI E</v>
      </c>
      <c r="C11927" s="1" t="str">
        <f>"DOMINION BLVE ROSEMARY E LOT 419"</f>
        <v>DOMINION BLVE ROSEMARY E LOT 419</v>
      </c>
      <c r="D11927" s="1">
        <v>253.47</v>
      </c>
    </row>
    <row r="11928" spans="1:4" x14ac:dyDescent="0.3">
      <c r="A11928" s="1" t="str">
        <f>"09000541200"</f>
        <v>09000541200</v>
      </c>
      <c r="B11928" s="1" t="str">
        <f>"SPURGEON SAMANTHA M"</f>
        <v>SPURGEON SAMANTHA M</v>
      </c>
      <c r="C11928" s="1" t="str">
        <f>"ROBINWOOD AVE 23.49X50FT MID PT LOWRIE BEOS LOT 345"</f>
        <v>ROBINWOOD AVE 23.49X50FT MID PT LOWRIE BEOS LOT 345</v>
      </c>
      <c r="D11928" s="1">
        <v>7.23</v>
      </c>
    </row>
    <row r="11929" spans="1:4" x14ac:dyDescent="0.3">
      <c r="A11929" s="1" t="str">
        <f>"18400053900"</f>
        <v>18400053900</v>
      </c>
      <c r="B11929" s="1" t="str">
        <f>"SPURLOCK BRAD A, SUDANO-SPURLOCK ROSANNE"</f>
        <v>SPURLOCK BRAD A, SUDANO-SPURLOCK ROSANNE</v>
      </c>
      <c r="C11929" s="1" t="str">
        <f>"HIGH ST ALL 13&amp;20FT SS 14 LOMBARDY HTS 13-14"</f>
        <v>HIGH ST ALL 13&amp;20FT SS 14 LOMBARDY HTS 13-14</v>
      </c>
      <c r="D11929" s="1">
        <v>2947.33</v>
      </c>
    </row>
    <row r="11930" spans="1:4" x14ac:dyDescent="0.3">
      <c r="A11930" s="1" t="str">
        <f>"27300287800"</f>
        <v>27300287800</v>
      </c>
      <c r="B11930" s="1" t="str">
        <f>"SQUILLACE MICHAEL L, SQUILLACE TERESA A"</f>
        <v>SQUILLACE MICHAEL L, SQUILLACE TERESA A</v>
      </c>
      <c r="C11930" s="1" t="str">
        <f>"7217 HOPEWELL ST INDIAN RUN MEADOWS LOT 93"</f>
        <v>7217 HOPEWELL ST INDIAN RUN MEADOWS LOT 93</v>
      </c>
      <c r="D11930" s="1">
        <v>962.48</v>
      </c>
    </row>
    <row r="11931" spans="1:4" x14ac:dyDescent="0.3">
      <c r="A11931" s="1" t="str">
        <f>"01001889900"</f>
        <v>01001889900</v>
      </c>
      <c r="B11931" s="1" t="str">
        <f>"SR 141 N 4TH ST LLC"</f>
        <v>SR 141 N 4TH ST LLC</v>
      </c>
      <c r="C11931" s="1" t="str">
        <f>"141 N 4TH ST NW COR 4TH &amp; LONG E PT LOTS 646-647 &amp; LOT 648"</f>
        <v>141 N 4TH ST NW COR 4TH &amp; LONG E PT LOTS 646-647 &amp; LOT 648</v>
      </c>
      <c r="D11931" s="1">
        <v>10738</v>
      </c>
    </row>
    <row r="11932" spans="1:4" x14ac:dyDescent="0.3">
      <c r="A11932" s="1" t="str">
        <f>"55015609000"</f>
        <v>55015609000</v>
      </c>
      <c r="B11932" s="1" t="str">
        <f>"SRAM EQUITY LLC"</f>
        <v>SRAM EQUITY LLC</v>
      </c>
      <c r="C11932" s="1" t="str">
        <f>"ROSELAWN AVE IDLEWILD MANOR LOT 275"</f>
        <v>ROSELAWN AVE IDLEWILD MANOR LOT 275</v>
      </c>
      <c r="D11932" s="1">
        <v>861.77</v>
      </c>
    </row>
    <row r="11933" spans="1:4" x14ac:dyDescent="0.3">
      <c r="A11933" s="1" t="str">
        <f>"08000041400"</f>
        <v>08000041400</v>
      </c>
      <c r="B11933" s="1" t="str">
        <f>"SRC PROPERTIES OHIO LLC"</f>
        <v>SRC PROPERTIES OHIO LLC</v>
      </c>
      <c r="C11933" s="1" t="str">
        <f>"HUBER VILLAGE BLVD        WESTERWOOD OFC PK 5       2.2ACR RES A             "</f>
        <v xml:space="preserve">HUBER VILLAGE BLVD        WESTERWOOD OFC PK 5       2.2ACR RES A             </v>
      </c>
      <c r="D11933" s="1">
        <v>44070.41</v>
      </c>
    </row>
    <row r="11934" spans="1:4" x14ac:dyDescent="0.3">
      <c r="A11934" s="1" t="str">
        <f>"01011677800"</f>
        <v>01011677800</v>
      </c>
      <c r="B11934" s="1" t="str">
        <f>"SRH PROPERTY INVESTMENTS LLC"</f>
        <v>SRH PROPERTY INVESTMENTS LLC</v>
      </c>
      <c r="C11934" s="1" t="str">
        <f>"FOLGER DR LEA-WOOD GARDENS 3 LOT 94"</f>
        <v>FOLGER DR LEA-WOOD GARDENS 3 LOT 94</v>
      </c>
      <c r="D11934" s="1">
        <v>1086.47</v>
      </c>
    </row>
    <row r="11935" spans="1:4" x14ac:dyDescent="0.3">
      <c r="A11935" s="1" t="str">
        <f>"01003332300"</f>
        <v>01003332300</v>
      </c>
      <c r="B11935" s="1" t="str">
        <f>"SRH PROPERTY INVESTMENTS LLC"</f>
        <v>SRH PROPERTY INVESTMENTS LLC</v>
      </c>
      <c r="C11935" s="1" t="str">
        <f>"309 JOHNSON ST HORN LOT 34"</f>
        <v>309 JOHNSON ST HORN LOT 34</v>
      </c>
      <c r="D11935" s="1">
        <v>993.88</v>
      </c>
    </row>
    <row r="11936" spans="1:4" x14ac:dyDescent="0.3">
      <c r="A11936" s="1" t="str">
        <f>"01014173900"</f>
        <v>01014173900</v>
      </c>
      <c r="B11936" s="1" t="str">
        <f>"SRH PROPERTY INVESTMENTS LLC"</f>
        <v>SRH PROPERTY INVESTMENTS LLC</v>
      </c>
      <c r="C11936" s="1" t="str">
        <f>"GLENSHIRE CT SOMERSET 1 LOT 271"</f>
        <v>GLENSHIRE CT SOMERSET 1 LOT 271</v>
      </c>
      <c r="D11936" s="1">
        <v>1180.73</v>
      </c>
    </row>
    <row r="11937" spans="1:4" x14ac:dyDescent="0.3">
      <c r="A11937" s="1" t="str">
        <f>"01016682000"</f>
        <v>01016682000</v>
      </c>
      <c r="B11937" s="1" t="str">
        <f>"SRH PROPERTY INVESTMENTS LLC"</f>
        <v>SRH PROPERTY INVESTMENTS LLC</v>
      </c>
      <c r="C11937" s="1" t="str">
        <f>"ARGYLE DRIVE AMVET HOMESTEAD 2 LOT 19 BLK K"</f>
        <v>ARGYLE DRIVE AMVET HOMESTEAD 2 LOT 19 BLK K</v>
      </c>
      <c r="D11937" s="1">
        <v>615.15</v>
      </c>
    </row>
    <row r="11938" spans="1:4" x14ac:dyDescent="0.3">
      <c r="A11938" s="1" t="str">
        <f>"01013668900"</f>
        <v>01013668900</v>
      </c>
      <c r="B11938" s="1" t="str">
        <f>"SRH PROPERTY INVESTMENTS LLC"</f>
        <v>SRH PROPERTY INVESTMENTS LLC</v>
      </c>
      <c r="C11938" s="1" t="str">
        <f>"ARGYLE PARK LOT 73 "</f>
        <v xml:space="preserve">ARGYLE PARK LOT 73 </v>
      </c>
      <c r="D11938" s="1">
        <v>787.58</v>
      </c>
    </row>
    <row r="11939" spans="1:4" x14ac:dyDescent="0.3">
      <c r="A11939" s="1" t="str">
        <f>"01015816000"</f>
        <v>01015816000</v>
      </c>
      <c r="B11939" s="1" t="str">
        <f>"SRH PROPERTY INVESTMENTS LLC"</f>
        <v>SRH PROPERTY INVESTMENTS LLC</v>
      </c>
      <c r="C11939" s="1" t="str">
        <f>"DIANE PLACE TOWNHOMES SUB DIV LOT 6"</f>
        <v>DIANE PLACE TOWNHOMES SUB DIV LOT 6</v>
      </c>
      <c r="D11939" s="1">
        <v>1091.23</v>
      </c>
    </row>
    <row r="11940" spans="1:4" x14ac:dyDescent="0.3">
      <c r="A11940" s="1" t="str">
        <f>"59019336800"</f>
        <v>59019336800</v>
      </c>
      <c r="B11940" s="1" t="str">
        <f>"SRI SAI RAMA LLC"</f>
        <v>SRI SAI RAMA LLC</v>
      </c>
      <c r="C11940" s="1" t="str">
        <f>"SALTERGATE VILLAGE TOWNHOMES CONDO II BLDG 18 UNIT 7764"</f>
        <v>SALTERGATE VILLAGE TOWNHOMES CONDO II BLDG 18 UNIT 7764</v>
      </c>
      <c r="D11940" s="1">
        <v>2954.4</v>
      </c>
    </row>
    <row r="11941" spans="1:4" x14ac:dyDescent="0.3">
      <c r="A11941" s="1" t="str">
        <f>"59019336900"</f>
        <v>59019336900</v>
      </c>
      <c r="B11941" s="1" t="str">
        <f>"SRI SAI RAMA LLC"</f>
        <v>SRI SAI RAMA LLC</v>
      </c>
      <c r="C11941" s="1" t="str">
        <f>"SALTERGATE VILLAGE TOWNHOMES CONDO II BLDG 18 UNIT 7766"</f>
        <v>SALTERGATE VILLAGE TOWNHOMES CONDO II BLDG 18 UNIT 7766</v>
      </c>
      <c r="D11941" s="1">
        <v>2954.4</v>
      </c>
    </row>
    <row r="11942" spans="1:4" x14ac:dyDescent="0.3">
      <c r="A11942" s="1" t="str">
        <f>"59019337000"</f>
        <v>59019337000</v>
      </c>
      <c r="B11942" s="1" t="str">
        <f>"SRI SAI RAMA LLC"</f>
        <v>SRI SAI RAMA LLC</v>
      </c>
      <c r="C11942" s="1" t="str">
        <f>"SALTERGATE VILLAGE TOWNHOMES CONDO II BLDG 18 UNIT 7768"</f>
        <v>SALTERGATE VILLAGE TOWNHOMES CONDO II BLDG 18 UNIT 7768</v>
      </c>
      <c r="D11942" s="1">
        <v>2954.4</v>
      </c>
    </row>
    <row r="11943" spans="1:4" x14ac:dyDescent="0.3">
      <c r="A11943" s="1" t="str">
        <f>"59019337100"</f>
        <v>59019337100</v>
      </c>
      <c r="B11943" s="1" t="str">
        <f>"SRI SAI RAMA LLC"</f>
        <v>SRI SAI RAMA LLC</v>
      </c>
      <c r="C11943" s="1" t="str">
        <f>"SALTERGATE VILLAGE TOWNHOMES CONDO II BLDG 18 UNIT 7770"</f>
        <v>SALTERGATE VILLAGE TOWNHOMES CONDO II BLDG 18 UNIT 7770</v>
      </c>
      <c r="D11943" s="1">
        <v>2954.4</v>
      </c>
    </row>
    <row r="11944" spans="1:4" x14ac:dyDescent="0.3">
      <c r="A11944" s="1" t="str">
        <f>"59019337200"</f>
        <v>59019337200</v>
      </c>
      <c r="B11944" s="1" t="str">
        <f>"SRI SAI RAMA LLC"</f>
        <v>SRI SAI RAMA LLC</v>
      </c>
      <c r="C11944" s="1" t="str">
        <f>"SALTERGATE VILLAGE TOWNHOMES CONDO II BLDG 18 UNIT 7772"</f>
        <v>SALTERGATE VILLAGE TOWNHOMES CONDO II BLDG 18 UNIT 7772</v>
      </c>
      <c r="D11944" s="1">
        <v>2954.4</v>
      </c>
    </row>
    <row r="11945" spans="1:4" x14ac:dyDescent="0.3">
      <c r="A11945" s="1" t="str">
        <f>"59019337300"</f>
        <v>59019337300</v>
      </c>
      <c r="B11945" s="1" t="str">
        <f>"SRI SAI RAMA LLC"</f>
        <v>SRI SAI RAMA LLC</v>
      </c>
      <c r="C11945" s="1" t="str">
        <f>"SALTERGATE VILLAGE TOWNHOMES CONDO II BLDG 18 UNIT 7774"</f>
        <v>SALTERGATE VILLAGE TOWNHOMES CONDO II BLDG 18 UNIT 7774</v>
      </c>
      <c r="D11945" s="1">
        <v>2954.4</v>
      </c>
    </row>
    <row r="11946" spans="1:4" x14ac:dyDescent="0.3">
      <c r="A11946" s="1" t="str">
        <f>"61023435800"</f>
        <v>61023435800</v>
      </c>
      <c r="B11946" s="1" t="str">
        <f>"SRI SIDDI VINAYAKA FOODS OHIO LLC"</f>
        <v>SRI SIDDI VINAYAKA FOODS OHIO LLC</v>
      </c>
      <c r="C11946" s="1" t="str">
        <f>"900 PHILADELPHIA DR CARRIAGE OAKS CONDO 6TH AMD UNIT 22C"</f>
        <v>900 PHILADELPHIA DR CARRIAGE OAKS CONDO 6TH AMD UNIT 22C</v>
      </c>
      <c r="D11946" s="1">
        <v>3189.43</v>
      </c>
    </row>
    <row r="11947" spans="1:4" x14ac:dyDescent="0.3">
      <c r="A11947" s="1" t="str">
        <f>"01011857100"</f>
        <v>01011857100</v>
      </c>
      <c r="B11947" s="1" t="str">
        <f>"SRIRAM LLC"</f>
        <v>SRIRAM LLC</v>
      </c>
      <c r="C11947" s="1" t="str">
        <f>"1665 ELAINE RD BERTHA H BATES L10 LIVINGSTON AVE"</f>
        <v>1665 ELAINE RD BERTHA H BATES L10 LIVINGSTON AVE</v>
      </c>
      <c r="D11947" s="1">
        <v>2974.38</v>
      </c>
    </row>
    <row r="11948" spans="1:4" x14ac:dyDescent="0.3">
      <c r="A11948" s="1" t="str">
        <f>"01002246500"</f>
        <v>01002246500</v>
      </c>
      <c r="B11948" s="1" t="str">
        <f>"SRIRAM LLC"</f>
        <v>SRIRAM LLC</v>
      </c>
      <c r="C11948" s="1" t="str">
        <f>"1646 BRYDEN RD MORRISON PK LOT 146"</f>
        <v>1646 BRYDEN RD MORRISON PK LOT 146</v>
      </c>
      <c r="D11948" s="1">
        <v>5170.54</v>
      </c>
    </row>
    <row r="11949" spans="1:4" x14ac:dyDescent="0.3">
      <c r="A11949" s="1" t="str">
        <f>"01013832400"</f>
        <v>01013832400</v>
      </c>
      <c r="B11949" s="1" t="str">
        <f>"SRIRAM LLC"</f>
        <v>SRIRAM LLC</v>
      </c>
      <c r="C11949" s="1" t="str">
        <f>"EASTHAVEN DR S GLENBROOK SEC 2 LOT 240"</f>
        <v>EASTHAVEN DR S GLENBROOK SEC 2 LOT 240</v>
      </c>
      <c r="D11949" s="1">
        <v>3312.71</v>
      </c>
    </row>
    <row r="11950" spans="1:4" x14ac:dyDescent="0.3">
      <c r="A11950" s="1" t="str">
        <f>"60030151200"</f>
        <v>60030151200</v>
      </c>
      <c r="B11950" s="1" t="str">
        <f>"SROUFE MERRY"</f>
        <v>SROUFE MERRY</v>
      </c>
      <c r="C11950" s="1" t="str">
        <f>"HOOVER FARMS SECTION 3 LOT 77"</f>
        <v>HOOVER FARMS SECTION 3 LOT 77</v>
      </c>
      <c r="D11950" s="1">
        <v>415.26</v>
      </c>
    </row>
    <row r="11951" spans="1:4" x14ac:dyDescent="0.3">
      <c r="A11951" s="1" t="str">
        <f>"53024875400"</f>
        <v>53024875400</v>
      </c>
      <c r="B11951" s="1" t="str">
        <f>"SS PANHANDLE GROUP LLC"</f>
        <v>SS PANHANDLE GROUP LLC</v>
      </c>
      <c r="C11951" s="1" t="str">
        <f>"GENDER RD R21 T12 S25 1/2S43-44 2.866 ACRES"</f>
        <v>GENDER RD R21 T12 S25 1/2S43-44 2.866 ACRES</v>
      </c>
      <c r="D11951" s="1">
        <v>1094.24</v>
      </c>
    </row>
    <row r="11952" spans="1:4" x14ac:dyDescent="0.3">
      <c r="A11952" s="1" t="str">
        <f>"53012563100"</f>
        <v>53012563100</v>
      </c>
      <c r="B11952" s="1" t="str">
        <f>"SS PANHANDLE GROUP LLC"</f>
        <v>SS PANHANDLE GROUP LLC</v>
      </c>
      <c r="C11952" s="1" t="str">
        <f>"GENDER RD R21 T11 S1 4.986 ACRES"</f>
        <v>GENDER RD R21 T11 S1 4.986 ACRES</v>
      </c>
      <c r="D11952" s="1">
        <v>4021.15</v>
      </c>
    </row>
    <row r="11953" spans="1:4" x14ac:dyDescent="0.3">
      <c r="A11953" s="1" t="str">
        <f>"11000249300"</f>
        <v>11000249300</v>
      </c>
      <c r="B11953" s="1" t="str">
        <f>"SS PROPERTIES ORANGE ROAD LLC"</f>
        <v>SS PROPERTIES ORANGE ROAD LLC</v>
      </c>
      <c r="C11953" s="1" t="str">
        <f>"CLARIDON RD CLEVELAND HTS 2 234 "</f>
        <v xml:space="preserve">CLARIDON RD CLEVELAND HTS 2 234 </v>
      </c>
      <c r="D11953" s="1">
        <v>876.85</v>
      </c>
    </row>
    <row r="11954" spans="1:4" x14ac:dyDescent="0.3">
      <c r="A11954" s="1" t="str">
        <f>"11000249400"</f>
        <v>11000249400</v>
      </c>
      <c r="B11954" s="1" t="str">
        <f>"SS PROPERTIES ORANGE ROAD LLC"</f>
        <v>SS PROPERTIES ORANGE ROAD LLC</v>
      </c>
      <c r="C11954" s="1" t="str">
        <f>"2521 CLARIDON ROAD CLEVELAND HTS 2 235 "</f>
        <v xml:space="preserve">2521 CLARIDON ROAD CLEVELAND HTS 2 235 </v>
      </c>
      <c r="D11954" s="1">
        <v>3272.85</v>
      </c>
    </row>
    <row r="11955" spans="1:4" x14ac:dyDescent="0.3">
      <c r="A11955" s="1" t="str">
        <f>"11000249500"</f>
        <v>11000249500</v>
      </c>
      <c r="B11955" s="1" t="str">
        <f>"SS PROPERTIES ORANGE ROAD LLC"</f>
        <v>SS PROPERTIES ORANGE ROAD LLC</v>
      </c>
      <c r="C11955" s="1" t="str">
        <f>"CLARIDON RD CLEVELAND HTS 2 236 "</f>
        <v xml:space="preserve">CLARIDON RD CLEVELAND HTS 2 236 </v>
      </c>
      <c r="D11955" s="1">
        <v>876.85</v>
      </c>
    </row>
    <row r="11956" spans="1:4" x14ac:dyDescent="0.3">
      <c r="A11956" s="1" t="str">
        <f>"06000413800"</f>
        <v>06000413800</v>
      </c>
      <c r="B11956" s="1" t="str">
        <f>"SS REYNOLDSBURG PROPCO LLC"</f>
        <v>SS REYNOLDSBURG PROPCO LLC</v>
      </c>
      <c r="C11956" s="1" t="str">
        <f>"6821 E MAIN ST ACRES .685 R21 T12 S13 102 S19"</f>
        <v>6821 E MAIN ST ACRES .685 R21 T12 S13 102 S19</v>
      </c>
      <c r="D11956" s="1">
        <v>11985</v>
      </c>
    </row>
    <row r="11957" spans="1:4" x14ac:dyDescent="0.3">
      <c r="A11957" s="1" t="str">
        <f>"01005218700"</f>
        <v>01005218700</v>
      </c>
      <c r="B11957" s="1" t="str">
        <f>"SSF II SOUTH CAMPUS LLC"</f>
        <v>SSF II SOUTH CAMPUS LLC</v>
      </c>
      <c r="C11957" s="1" t="str">
        <f>"218 E 11TH AVE CHITTENDEN LOT 10-11"</f>
        <v>218 E 11TH AVE CHITTENDEN LOT 10-11</v>
      </c>
      <c r="D11957" s="1">
        <v>1071.4100000000001</v>
      </c>
    </row>
    <row r="11958" spans="1:4" x14ac:dyDescent="0.3">
      <c r="A11958" s="1" t="str">
        <f>"01001521600"</f>
        <v>01001521600</v>
      </c>
      <c r="B11958" s="1" t="str">
        <f>"SSF II SOUTH CAMPUS LLC"</f>
        <v>SSF II SOUTH CAMPUS LLC</v>
      </c>
      <c r="C11958" s="1" t="str">
        <f>"1514 HAMLET ST CLIFTON LOT 1"</f>
        <v>1514 HAMLET ST CLIFTON LOT 1</v>
      </c>
      <c r="D11958" s="1">
        <v>2926.57</v>
      </c>
    </row>
    <row r="11959" spans="1:4" x14ac:dyDescent="0.3">
      <c r="A11959" s="1" t="str">
        <f>"01002340800"</f>
        <v>01002340800</v>
      </c>
      <c r="B11959" s="1" t="str">
        <f>"SSF II SOUTH CAMPUS LLC"</f>
        <v>SSF II SOUTH CAMPUS LLC</v>
      </c>
      <c r="C11959" s="1" t="str">
        <f>"1381-1383 INDIANOLA SMITH IMA B LOT 3"</f>
        <v>1381-1383 INDIANOLA SMITH IMA B LOT 3</v>
      </c>
      <c r="D11959" s="1">
        <v>2411.5300000000002</v>
      </c>
    </row>
    <row r="11960" spans="1:4" x14ac:dyDescent="0.3">
      <c r="A11960" s="1" t="str">
        <f>"01005570500"</f>
        <v>01005570500</v>
      </c>
      <c r="B11960" s="1" t="str">
        <f>"SSF II SOUTH CAMPUS LLC"</f>
        <v>SSF II SOUTH CAMPUS LLC</v>
      </c>
      <c r="C11960" s="1" t="str">
        <f>"247-49 11TH AVE CLIFTON LOT 22"</f>
        <v>247-49 11TH AVE CLIFTON LOT 22</v>
      </c>
      <c r="D11960" s="1">
        <v>1374.53</v>
      </c>
    </row>
    <row r="11961" spans="1:4" x14ac:dyDescent="0.3">
      <c r="A11961" s="1" t="str">
        <f>"01001418900"</f>
        <v>01001418900</v>
      </c>
      <c r="B11961" s="1" t="str">
        <f>"SSF II SOUTH CAMPUS LLC"</f>
        <v>SSF II SOUTH CAMPUS LLC</v>
      </c>
      <c r="C11961" s="1" t="str">
        <f>"237 11TH AVE 90 FT N E CLIFTON LOT 23"</f>
        <v>237 11TH AVE 90 FT N E CLIFTON LOT 23</v>
      </c>
      <c r="D11961" s="1">
        <v>4401.87</v>
      </c>
    </row>
    <row r="11962" spans="1:4" x14ac:dyDescent="0.3">
      <c r="A11962" s="1" t="str">
        <f>"01002389800"</f>
        <v>01002389800</v>
      </c>
      <c r="B11962" s="1" t="str">
        <f>"SSF II SOUTH CAMPUS LLC"</f>
        <v>SSF II SOUTH CAMPUS LLC</v>
      </c>
      <c r="C11962" s="1" t="str">
        <f>"235 E 11TH AVE CLIFTON LOT 24"</f>
        <v>235 E 11TH AVE CLIFTON LOT 24</v>
      </c>
      <c r="D11962" s="1">
        <v>2455.7800000000002</v>
      </c>
    </row>
    <row r="11963" spans="1:4" x14ac:dyDescent="0.3">
      <c r="A11963" s="1" t="str">
        <f>"01004093300"</f>
        <v>01004093300</v>
      </c>
      <c r="B11963" s="1" t="str">
        <f>"SSF II SOUTH CAMPUS LLC"</f>
        <v>SSF II SOUTH CAMPUS LLC</v>
      </c>
      <c r="C11963" s="1" t="str">
        <f>"1378 INDIANOLA AVE HYERS OUT 7"</f>
        <v>1378 INDIANOLA AVE HYERS OUT 7</v>
      </c>
      <c r="D11963" s="1">
        <v>2187.7800000000002</v>
      </c>
    </row>
    <row r="11964" spans="1:4" x14ac:dyDescent="0.3">
      <c r="A11964" s="1" t="str">
        <f>"01005407800"</f>
        <v>01005407800</v>
      </c>
      <c r="B11964" s="1" t="str">
        <f>"SSF II SOUTH CAMPUS LLC"</f>
        <v>SSF II SOUTH CAMPUS LLC</v>
      </c>
      <c r="C11964" s="1" t="str">
        <f>"1373 SUMMIT ST 30X170FT HYERS LOT 7-8"</f>
        <v>1373 SUMMIT ST 30X170FT HYERS LOT 7-8</v>
      </c>
      <c r="D11964" s="1">
        <v>2009.79</v>
      </c>
    </row>
    <row r="11965" spans="1:4" x14ac:dyDescent="0.3">
      <c r="A11965" s="1" t="str">
        <f>"01001283300"</f>
        <v>01001283300</v>
      </c>
      <c r="B11965" s="1" t="str">
        <f>"SSF II SOUTH CAMPUS LLC"</f>
        <v>SSF II SOUTH CAMPUS LLC</v>
      </c>
      <c r="C11965" s="1" t="str">
        <f>"1394 INDIANOLA AVE .104 ACR ON WESLEY AVE HYERS OUT 7"</f>
        <v>1394 INDIANOLA AVE .104 ACR ON WESLEY AVE HYERS OUT 7</v>
      </c>
      <c r="D11965" s="1">
        <v>2370.31</v>
      </c>
    </row>
    <row r="11966" spans="1:4" x14ac:dyDescent="0.3">
      <c r="A11966" s="1" t="str">
        <f>"01006494600"</f>
        <v>01006494600</v>
      </c>
      <c r="B11966" s="1" t="str">
        <f>"SSF II SOUTH CAMPUS LLC"</f>
        <v>SSF II SOUTH CAMPUS LLC</v>
      </c>
      <c r="C11966" s="1" t="str">
        <f>"1382-1/2 INDIANOLA WESLEY HYERS OUT 7"</f>
        <v>1382-1/2 INDIANOLA WESLEY HYERS OUT 7</v>
      </c>
      <c r="D11966" s="1">
        <v>2518.48</v>
      </c>
    </row>
    <row r="11967" spans="1:4" x14ac:dyDescent="0.3">
      <c r="A11967" s="1" t="str">
        <f>"01000866300"</f>
        <v>01000866300</v>
      </c>
      <c r="B11967" s="1" t="str">
        <f>"SSF II SOUTH CAMPUS LLC"</f>
        <v>SSF II SOUTH CAMPUS LLC</v>
      </c>
      <c r="C11967" s="1" t="str">
        <f>"1369 SUMMIT ST RUDISILLS 7TH AVE JOHN HYERS AMD L37-7"</f>
        <v>1369 SUMMIT ST RUDISILLS 7TH AVE JOHN HYERS AMD L37-7</v>
      </c>
      <c r="D11967" s="1">
        <v>1848.23</v>
      </c>
    </row>
    <row r="11968" spans="1:4" x14ac:dyDescent="0.3">
      <c r="A11968" s="1" t="str">
        <f>"01001804400"</f>
        <v>01001804400</v>
      </c>
      <c r="B11968" s="1" t="str">
        <f>"SSF II SOUTH CAMPUS LLC"</f>
        <v>SSF II SOUTH CAMPUS LLC</v>
      </c>
      <c r="C11968" s="1" t="str">
        <f>"45 EUCLID AVE 30 FT E S MARZETTI LOT 25"</f>
        <v>45 EUCLID AVE 30 FT E S MARZETTI LOT 25</v>
      </c>
      <c r="D11968" s="1">
        <v>2638.84</v>
      </c>
    </row>
    <row r="11969" spans="1:4" x14ac:dyDescent="0.3">
      <c r="A11969" s="1" t="str">
        <f>"01004795100"</f>
        <v>01004795100</v>
      </c>
      <c r="B11969" s="1" t="str">
        <f>"SSF II SOUTH CAMPUS LLC"</f>
        <v>SSF II SOUTH CAMPUS LLC</v>
      </c>
      <c r="C11969" s="1" t="str">
        <f>"180-2 W 8TH AVE UNIVERSITY LOT 73"</f>
        <v>180-2 W 8TH AVE UNIVERSITY LOT 73</v>
      </c>
      <c r="D11969" s="1">
        <v>3491.14</v>
      </c>
    </row>
    <row r="11970" spans="1:4" x14ac:dyDescent="0.3">
      <c r="A11970" s="1" t="str">
        <f>"01002349000"</f>
        <v>01002349000</v>
      </c>
      <c r="B11970" s="1" t="str">
        <f>"SSF II SOUTH CAMPUS LLC"</f>
        <v>SSF II SOUTH CAMPUS LLC</v>
      </c>
      <c r="C11970" s="1" t="str">
        <f>"1359-1365 SUMMIT ST J E RUDISILLS 7TH AVE TERR ADD LOT 36 &amp; PT LT37"</f>
        <v>1359-1365 SUMMIT ST J E RUDISILLS 7TH AVE TERR ADD LOT 36 &amp; PT LT37</v>
      </c>
      <c r="D11970" s="1">
        <v>8848.82</v>
      </c>
    </row>
    <row r="11971" spans="1:4" x14ac:dyDescent="0.3">
      <c r="A11971" s="1" t="str">
        <f>"01004296300"</f>
        <v>01004296300</v>
      </c>
      <c r="B11971" s="1" t="str">
        <f>"SSF II SOUTH CAMPUS LLC"</f>
        <v>SSF II SOUTH CAMPUS LLC</v>
      </c>
      <c r="C11971" s="1" t="str">
        <f>"1357-1359 INDIANOLA AVE J E RUDISILLS 7TH AVE TERRACE ADD PT LOT 6"</f>
        <v>1357-1359 INDIANOLA AVE J E RUDISILLS 7TH AVE TERRACE ADD PT LOT 6</v>
      </c>
      <c r="D11971" s="1">
        <v>1009.07</v>
      </c>
    </row>
    <row r="11972" spans="1:4" x14ac:dyDescent="0.3">
      <c r="A11972" s="1" t="str">
        <f>"01004296400"</f>
        <v>01004296400</v>
      </c>
      <c r="B11972" s="1" t="str">
        <f>"SSF II SOUTH CAMPUS LLC"</f>
        <v>SSF II SOUTH CAMPUS LLC</v>
      </c>
      <c r="C11972" s="1" t="str">
        <f>"1361-1363 INDIANOLA AVE J E RUDISILLS 7TH AVE TERRACE ADD PT LOT 7"</f>
        <v>1361-1363 INDIANOLA AVE J E RUDISILLS 7TH AVE TERRACE ADD PT LOT 7</v>
      </c>
      <c r="D11972" s="1">
        <v>2123.3000000000002</v>
      </c>
    </row>
    <row r="11973" spans="1:4" x14ac:dyDescent="0.3">
      <c r="A11973" s="1" t="str">
        <f>"01004296500"</f>
        <v>01004296500</v>
      </c>
      <c r="B11973" s="1" t="str">
        <f>"SSF II SOUTH CAMPUS LLC"</f>
        <v>SSF II SOUTH CAMPUS LLC</v>
      </c>
      <c r="C11973" s="1" t="str">
        <f>"1165-1167 INDIANOLA AVE J E RUDISILLS 7TH AVE TERRACE ADD PT LOT 8"</f>
        <v>1165-1167 INDIANOLA AVE J E RUDISILLS 7TH AVE TERRACE ADD PT LOT 8</v>
      </c>
      <c r="D11973" s="1">
        <v>4221.58</v>
      </c>
    </row>
    <row r="11974" spans="1:4" x14ac:dyDescent="0.3">
      <c r="A11974" s="1" t="str">
        <f>"01004296600"</f>
        <v>01004296600</v>
      </c>
      <c r="B11974" s="1" t="str">
        <f>"SSF II SOUTH CAMPUS LLC"</f>
        <v>SSF II SOUTH CAMPUS LLC</v>
      </c>
      <c r="C11974" s="1" t="str">
        <f>"1369-1371 INDIANOLA AVE J E RUDISILLS 7TH AVE TERRACE ADD PT LOT 9"</f>
        <v>1369-1371 INDIANOLA AVE J E RUDISILLS 7TH AVE TERRACE ADD PT LOT 9</v>
      </c>
      <c r="D11974" s="1">
        <v>4221.58</v>
      </c>
    </row>
    <row r="11975" spans="1:4" x14ac:dyDescent="0.3">
      <c r="A11975" s="1" t="str">
        <f>"01004296700"</f>
        <v>01004296700</v>
      </c>
      <c r="B11975" s="1" t="str">
        <f>"SSF II SOUTH CAMPUS LLC"</f>
        <v>SSF II SOUTH CAMPUS LLC</v>
      </c>
      <c r="C11975" s="1" t="str">
        <f>"1373-1375 INDIANOLA AVE J E RUDISILLS 7TH AVE TERRACE ADD PT LOT 10"</f>
        <v>1373-1375 INDIANOLA AVE J E RUDISILLS 7TH AVE TERRACE ADD PT LOT 10</v>
      </c>
      <c r="D11975" s="1">
        <v>2460.59</v>
      </c>
    </row>
    <row r="11976" spans="1:4" x14ac:dyDescent="0.3">
      <c r="A11976" s="1" t="str">
        <f>"01004296900"</f>
        <v>01004296900</v>
      </c>
      <c r="B11976" s="1" t="str">
        <f>"SSF II SOUTH CAMPUS LLC"</f>
        <v>SSF II SOUTH CAMPUS LLC</v>
      </c>
      <c r="C11976" s="1" t="str">
        <f>"1366 &amp; 1368 INDIANOLA AVE J E RUDISILLS 7TH AVE TERR ADD PT LOTS 22 &amp; 23"</f>
        <v>1366 &amp; 1368 INDIANOLA AVE J E RUDISILLS 7TH AVE TERR ADD PT LOTS 22 &amp; 23</v>
      </c>
      <c r="D11976" s="1">
        <v>2551.37</v>
      </c>
    </row>
    <row r="11977" spans="1:4" x14ac:dyDescent="0.3">
      <c r="A11977" s="1" t="str">
        <f>"01004297000"</f>
        <v>01004297000</v>
      </c>
      <c r="B11977" s="1" t="str">
        <f>"SSF II SOUTH CAMPUS LLC"</f>
        <v>SSF II SOUTH CAMPUS LLC</v>
      </c>
      <c r="C11977" s="1" t="str">
        <f>"1370-1372 INDIANOLA AVE J E RUDISILLS 7TH AVE TERR ADD PT LOTS 23 &amp; 24"</f>
        <v>1370-1372 INDIANOLA AVE J E RUDISILLS 7TH AVE TERR ADD PT LOTS 23 &amp; 24</v>
      </c>
      <c r="D11977" s="1">
        <v>2636.32</v>
      </c>
    </row>
    <row r="11978" spans="1:4" x14ac:dyDescent="0.3">
      <c r="A11978" s="1" t="str">
        <f>"01001884600"</f>
        <v>01001884600</v>
      </c>
      <c r="B11978" s="1" t="str">
        <f>"SSF II SOUTH CAMPUS LLC"</f>
        <v>SSF II SOUTH CAMPUS LLC</v>
      </c>
      <c r="C11978" s="1" t="str">
        <f>"1393-1391 INDIANOLA AVE INA Z SMITH LOT 1"</f>
        <v>1393-1391 INDIANOLA AVE INA Z SMITH LOT 1</v>
      </c>
      <c r="D11978" s="1">
        <v>2638.08</v>
      </c>
    </row>
    <row r="11979" spans="1:4" x14ac:dyDescent="0.3">
      <c r="A11979" s="1" t="str">
        <f>"01002331100"</f>
        <v>01002331100</v>
      </c>
      <c r="B11979" s="1" t="str">
        <f>"SSF II SOUTH CAMPUS LLC"</f>
        <v>SSF II SOUTH CAMPUS LLC</v>
      </c>
      <c r="C11979" s="1" t="str">
        <f>"1377-1379 INDIANOLA INA Z SMITH LOT 4"</f>
        <v>1377-1379 INDIANOLA INA Z SMITH LOT 4</v>
      </c>
      <c r="D11979" s="1">
        <v>2604.4499999999998</v>
      </c>
    </row>
    <row r="11980" spans="1:4" x14ac:dyDescent="0.3">
      <c r="A11980" s="1" t="str">
        <f>"01001812900"</f>
        <v>01001812900</v>
      </c>
      <c r="B11980" s="1" t="str">
        <f>"SSF II SOUTH CAMPUS LLC"</f>
        <v>SSF II SOUTH CAMPUS LLC</v>
      </c>
      <c r="C11980" s="1" t="str">
        <f>"232-234 11TH AVE 36X 134FT S PT CHITTENDN LOT 11-12"</f>
        <v>232-234 11TH AVE 36X 134FT S PT CHITTENDN LOT 11-12</v>
      </c>
      <c r="D11980" s="1">
        <v>1154.71</v>
      </c>
    </row>
    <row r="11981" spans="1:4" x14ac:dyDescent="0.3">
      <c r="A11981" s="1" t="str">
        <f>"01005040000"</f>
        <v>01005040000</v>
      </c>
      <c r="B11981" s="1" t="str">
        <f>"SSF II SOUTH CAMPUS LLC"</f>
        <v>SSF II SOUTH CAMPUS LLC</v>
      </c>
      <c r="C11981" s="1" t="str">
        <f>"CLIFTON LOT 26 "</f>
        <v xml:space="preserve">CLIFTON LOT 26 </v>
      </c>
      <c r="D11981" s="1">
        <v>3079.78</v>
      </c>
    </row>
    <row r="11982" spans="1:4" x14ac:dyDescent="0.3">
      <c r="A11982" s="1" t="str">
        <f>"01000165200"</f>
        <v>01000165200</v>
      </c>
      <c r="B11982" s="1" t="str">
        <f>"SSF II SOUTH CAMPUS LLC"</f>
        <v>SSF II SOUTH CAMPUS LLC</v>
      </c>
      <c r="C11982" s="1" t="str">
        <f>"226 E 11TH AVE HENRY T CHITTENDEN SUB 36 X 134FT LOT 11"</f>
        <v>226 E 11TH AVE HENRY T CHITTENDEN SUB 36 X 134FT LOT 11</v>
      </c>
      <c r="D11982" s="1">
        <v>1118.83</v>
      </c>
    </row>
    <row r="11983" spans="1:4" x14ac:dyDescent="0.3">
      <c r="A11983" s="1" t="str">
        <f>"01000347800"</f>
        <v>01000347800</v>
      </c>
      <c r="B11983" s="1" t="str">
        <f>"SSF II SOUTH CAMPUS LLC"</f>
        <v>SSF II SOUTH CAMPUS LLC</v>
      </c>
      <c r="C11983" s="1" t="str">
        <f>"222 11TH AVE 36X 134 FT CHITTENDEN LOT 11"</f>
        <v>222 11TH AVE 36X 134 FT CHITTENDEN LOT 11</v>
      </c>
      <c r="D11983" s="1">
        <v>7161.28</v>
      </c>
    </row>
    <row r="11984" spans="1:4" x14ac:dyDescent="0.3">
      <c r="A11984" s="1" t="str">
        <f>"01005209100"</f>
        <v>01005209100</v>
      </c>
      <c r="B11984" s="1" t="str">
        <f>"SSF II SOUTH CAMPUS LLC"</f>
        <v>SSF II SOUTH CAMPUS LLC</v>
      </c>
      <c r="C11984" s="1" t="str">
        <f>"77-78 7TH AVE 34.5X16LFT WE RUDISILL SUB 2-5"</f>
        <v>77-78 7TH AVE 34.5X16LFT WE RUDISILL SUB 2-5</v>
      </c>
      <c r="D11984" s="1">
        <v>2533.9899999999998</v>
      </c>
    </row>
    <row r="11985" spans="1:4" x14ac:dyDescent="0.3">
      <c r="A11985" s="1" t="str">
        <f>"01028103400"</f>
        <v>01028103400</v>
      </c>
      <c r="B11985" s="1" t="str">
        <f>"SSH1312 LLC"</f>
        <v>SSH1312 LLC</v>
      </c>
      <c r="C11985" s="1" t="str">
        <f>"THE BROADWIN CONDOMINIUM UNIT 7 B"</f>
        <v>THE BROADWIN CONDOMINIUM UNIT 7 B</v>
      </c>
      <c r="D11985" s="1">
        <v>1176.76</v>
      </c>
    </row>
    <row r="11986" spans="1:4" x14ac:dyDescent="0.3">
      <c r="A11986" s="1" t="str">
        <f>"01028089100"</f>
        <v>01028089100</v>
      </c>
      <c r="B11986" s="1" t="str">
        <f>"SSH1312 LLC"</f>
        <v>SSH1312 LLC</v>
      </c>
      <c r="C11986" s="1" t="str">
        <f>"THE BROADWIN CONDOMINIUM UNIT 1 A"</f>
        <v>THE BROADWIN CONDOMINIUM UNIT 1 A</v>
      </c>
      <c r="D11986" s="1">
        <v>466.87</v>
      </c>
    </row>
    <row r="11987" spans="1:4" x14ac:dyDescent="0.3">
      <c r="A11987" s="1" t="str">
        <f>"01028089200"</f>
        <v>01028089200</v>
      </c>
      <c r="B11987" s="1" t="str">
        <f>"SSH1312 LLC"</f>
        <v>SSH1312 LLC</v>
      </c>
      <c r="C11987" s="1" t="str">
        <f>"THE BROADWIN CONDOMINIUM UNIT 1 B"</f>
        <v>THE BROADWIN CONDOMINIUM UNIT 1 B</v>
      </c>
      <c r="D11987" s="1">
        <v>1052.5</v>
      </c>
    </row>
    <row r="11988" spans="1:4" x14ac:dyDescent="0.3">
      <c r="A11988" s="1" t="str">
        <f>"01028089300"</f>
        <v>01028089300</v>
      </c>
      <c r="B11988" s="1" t="str">
        <f>"SSH1312 LLC"</f>
        <v>SSH1312 LLC</v>
      </c>
      <c r="C11988" s="1" t="str">
        <f>"THE BROADWIN CONDOMINIUM UNIT 1 C"</f>
        <v>THE BROADWIN CONDOMINIUM UNIT 1 C</v>
      </c>
      <c r="D11988" s="1">
        <v>1230.9100000000001</v>
      </c>
    </row>
    <row r="11989" spans="1:4" x14ac:dyDescent="0.3">
      <c r="A11989" s="1" t="str">
        <f>"01028089400"</f>
        <v>01028089400</v>
      </c>
      <c r="B11989" s="1" t="str">
        <f>"SSH1312 LLC"</f>
        <v>SSH1312 LLC</v>
      </c>
      <c r="C11989" s="1" t="str">
        <f>"THE BROADWIN CONDOMINIUM UNIT 1 D"</f>
        <v>THE BROADWIN CONDOMINIUM UNIT 1 D</v>
      </c>
      <c r="D11989" s="1">
        <v>1182.58</v>
      </c>
    </row>
    <row r="11990" spans="1:4" x14ac:dyDescent="0.3">
      <c r="A11990" s="1" t="str">
        <f>"01028089500"</f>
        <v>01028089500</v>
      </c>
      <c r="B11990" s="1" t="str">
        <f>"SSH1312 LLC"</f>
        <v>SSH1312 LLC</v>
      </c>
      <c r="C11990" s="1" t="str">
        <f>"THE BROADWIN CONDOMINIUM UNIT 1 E"</f>
        <v>THE BROADWIN CONDOMINIUM UNIT 1 E</v>
      </c>
      <c r="D11990" s="1">
        <v>1379.58</v>
      </c>
    </row>
    <row r="11991" spans="1:4" x14ac:dyDescent="0.3">
      <c r="A11991" s="1" t="str">
        <f>"01028089600"</f>
        <v>01028089600</v>
      </c>
      <c r="B11991" s="1" t="str">
        <f>"SSH1312 LLC"</f>
        <v>SSH1312 LLC</v>
      </c>
      <c r="C11991" s="1" t="str">
        <f>"THE BROADWIN CONDOMINIUM UNIT 1 F"</f>
        <v>THE BROADWIN CONDOMINIUM UNIT 1 F</v>
      </c>
      <c r="D11991" s="1">
        <v>1004.18</v>
      </c>
    </row>
    <row r="11992" spans="1:4" x14ac:dyDescent="0.3">
      <c r="A11992" s="1" t="str">
        <f>"01028089700"</f>
        <v>01028089700</v>
      </c>
      <c r="B11992" s="1" t="str">
        <f>"SSH1312 LLC"</f>
        <v>SSH1312 LLC</v>
      </c>
      <c r="C11992" s="1" t="str">
        <f>"THE BROADWIN CONDOMINIUM UNIT 2 A"</f>
        <v>THE BROADWIN CONDOMINIUM UNIT 2 A</v>
      </c>
      <c r="D11992" s="1">
        <v>1373.74</v>
      </c>
    </row>
    <row r="11993" spans="1:4" x14ac:dyDescent="0.3">
      <c r="A11993" s="1" t="str">
        <f>"01028089800"</f>
        <v>01028089800</v>
      </c>
      <c r="B11993" s="1" t="str">
        <f>"SSH1312 LLC"</f>
        <v>SSH1312 LLC</v>
      </c>
      <c r="C11993" s="1" t="str">
        <f>"THE BROADWIN CONDOMINIUM UNIT 2 B"</f>
        <v>THE BROADWIN CONDOMINIUM UNIT 2 B</v>
      </c>
      <c r="D11993" s="1">
        <v>1052.5</v>
      </c>
    </row>
    <row r="11994" spans="1:4" x14ac:dyDescent="0.3">
      <c r="A11994" s="1" t="str">
        <f>"01028089900"</f>
        <v>01028089900</v>
      </c>
      <c r="B11994" s="1" t="str">
        <f>"SSH1312 LLC"</f>
        <v>SSH1312 LLC</v>
      </c>
      <c r="C11994" s="1" t="str">
        <f>"THE BROADWIN CONDOMINIUM UNIT 2 C"</f>
        <v>THE BROADWIN CONDOMINIUM UNIT 2 C</v>
      </c>
      <c r="D11994" s="1">
        <v>990.92</v>
      </c>
    </row>
    <row r="11995" spans="1:4" x14ac:dyDescent="0.3">
      <c r="A11995" s="1" t="str">
        <f>"01028090000"</f>
        <v>01028090000</v>
      </c>
      <c r="B11995" s="1" t="str">
        <f>"SSH1312 LLC"</f>
        <v>SSH1312 LLC</v>
      </c>
      <c r="C11995" s="1" t="str">
        <f>"THE BROADWIN CONDOMINIUM UNIT 2 D"</f>
        <v>THE BROADWIN CONDOMINIUM UNIT 2 D</v>
      </c>
      <c r="D11995" s="1">
        <v>1230.9100000000001</v>
      </c>
    </row>
    <row r="11996" spans="1:4" x14ac:dyDescent="0.3">
      <c r="A11996" s="1" t="str">
        <f>"01028090100"</f>
        <v>01028090100</v>
      </c>
      <c r="B11996" s="1" t="str">
        <f>"SSH1312 LLC"</f>
        <v>SSH1312 LLC</v>
      </c>
      <c r="C11996" s="1" t="str">
        <f>"THE BROADWIN CONDOMINIUM UNIT 2 E"</f>
        <v>THE BROADWIN CONDOMINIUM UNIT 2 E</v>
      </c>
      <c r="D11996" s="1">
        <v>1182.58</v>
      </c>
    </row>
    <row r="11997" spans="1:4" x14ac:dyDescent="0.3">
      <c r="A11997" s="1" t="str">
        <f>"01028090200"</f>
        <v>01028090200</v>
      </c>
      <c r="B11997" s="1" t="str">
        <f>"SSH1312 LLC"</f>
        <v>SSH1312 LLC</v>
      </c>
      <c r="C11997" s="1" t="str">
        <f>"THE BROADWIN CONDOMINIUM UNIT 2 F"</f>
        <v>THE BROADWIN CONDOMINIUM UNIT 2 F</v>
      </c>
      <c r="D11997" s="1">
        <v>963.31</v>
      </c>
    </row>
    <row r="11998" spans="1:4" x14ac:dyDescent="0.3">
      <c r="A11998" s="1" t="str">
        <f>"01028090300"</f>
        <v>01028090300</v>
      </c>
      <c r="B11998" s="1" t="str">
        <f>"SSH1312 LLC"</f>
        <v>SSH1312 LLC</v>
      </c>
      <c r="C11998" s="1" t="str">
        <f>"THE BROADWIN CONDOMINIUM UNIT 2 G"</f>
        <v>THE BROADWIN CONDOMINIUM UNIT 2 G</v>
      </c>
      <c r="D11998" s="1">
        <v>963.31</v>
      </c>
    </row>
    <row r="11999" spans="1:4" x14ac:dyDescent="0.3">
      <c r="A11999" s="1" t="str">
        <f>"01028090400"</f>
        <v>01028090400</v>
      </c>
      <c r="B11999" s="1" t="str">
        <f>"SSH1312 LLC"</f>
        <v>SSH1312 LLC</v>
      </c>
      <c r="C11999" s="1" t="str">
        <f>"THE BROADWIN CONDOMINIUM UNIT 3 A"</f>
        <v>THE BROADWIN CONDOMINIUM UNIT 3 A</v>
      </c>
      <c r="D11999" s="1">
        <v>1937.08</v>
      </c>
    </row>
    <row r="12000" spans="1:4" x14ac:dyDescent="0.3">
      <c r="A12000" s="1" t="str">
        <f>"01028090500"</f>
        <v>01028090500</v>
      </c>
      <c r="B12000" s="1" t="str">
        <f>"SSH1312 LLC"</f>
        <v>SSH1312 LLC</v>
      </c>
      <c r="C12000" s="1" t="str">
        <f>"THE BROADWIN CONDOMINIUM UNIT 3 B"</f>
        <v>THE BROADWIN CONDOMINIUM UNIT 3 B</v>
      </c>
      <c r="D12000" s="1">
        <v>990.92</v>
      </c>
    </row>
    <row r="12001" spans="1:4" x14ac:dyDescent="0.3">
      <c r="A12001" s="1" t="str">
        <f>"01028090600"</f>
        <v>01028090600</v>
      </c>
      <c r="B12001" s="1" t="str">
        <f>"SSH1312 LLC"</f>
        <v>SSH1312 LLC</v>
      </c>
      <c r="C12001" s="1" t="str">
        <f>"THE BROADWIN CONDOMINIUM UNIT 3 C"</f>
        <v>THE BROADWIN CONDOMINIUM UNIT 3 C</v>
      </c>
      <c r="D12001" s="1">
        <v>1230.9100000000001</v>
      </c>
    </row>
    <row r="12002" spans="1:4" x14ac:dyDescent="0.3">
      <c r="A12002" s="1" t="str">
        <f>"01028090700"</f>
        <v>01028090700</v>
      </c>
      <c r="B12002" s="1" t="str">
        <f>"SSH1312 LLC"</f>
        <v>SSH1312 LLC</v>
      </c>
      <c r="C12002" s="1" t="str">
        <f>"THE BROADWIN CONDOMINIUM UNIT 3 D"</f>
        <v>THE BROADWIN CONDOMINIUM UNIT 3 D</v>
      </c>
      <c r="D12002" s="1">
        <v>1182.58</v>
      </c>
    </row>
    <row r="12003" spans="1:4" x14ac:dyDescent="0.3">
      <c r="A12003" s="1" t="str">
        <f>"01028090800"</f>
        <v>01028090800</v>
      </c>
      <c r="B12003" s="1" t="str">
        <f>"SSH1312 LLC"</f>
        <v>SSH1312 LLC</v>
      </c>
      <c r="C12003" s="1" t="str">
        <f>"THE BROADWIN CONDOMINIUM UNIT 3 E"</f>
        <v>THE BROADWIN CONDOMINIUM UNIT 3 E</v>
      </c>
      <c r="D12003" s="1">
        <v>1290.3900000000001</v>
      </c>
    </row>
    <row r="12004" spans="1:4" x14ac:dyDescent="0.3">
      <c r="A12004" s="1" t="str">
        <f>"01028090900"</f>
        <v>01028090900</v>
      </c>
      <c r="B12004" s="1" t="str">
        <f>"SSH1312 LLC"</f>
        <v>SSH1312 LLC</v>
      </c>
      <c r="C12004" s="1" t="str">
        <f>"THE BROADWIN CONDOMINIUM UNIT 4 A"</f>
        <v>THE BROADWIN CONDOMINIUM UNIT 4 A</v>
      </c>
      <c r="D12004" s="1">
        <v>1914.76</v>
      </c>
    </row>
    <row r="12005" spans="1:4" x14ac:dyDescent="0.3">
      <c r="A12005" s="1" t="str">
        <f>"01028091000"</f>
        <v>01028091000</v>
      </c>
      <c r="B12005" s="1" t="str">
        <f>"SSH1312 LLC"</f>
        <v>SSH1312 LLC</v>
      </c>
      <c r="C12005" s="1" t="str">
        <f>"THE BROADWIN CONDOMINIUM UNIT 4 B"</f>
        <v>THE BROADWIN CONDOMINIUM UNIT 4 B</v>
      </c>
      <c r="D12005" s="1">
        <v>1176.76</v>
      </c>
    </row>
    <row r="12006" spans="1:4" x14ac:dyDescent="0.3">
      <c r="A12006" s="1" t="str">
        <f>"01028091100"</f>
        <v>01028091100</v>
      </c>
      <c r="B12006" s="1" t="str">
        <f>"SSH1312 LLC"</f>
        <v>SSH1312 LLC</v>
      </c>
      <c r="C12006" s="1" t="str">
        <f>"THE BROADWIN CONDOMINIUM UNIT 4 C"</f>
        <v>THE BROADWIN CONDOMINIUM UNIT 4 C</v>
      </c>
      <c r="D12006" s="1">
        <v>1230.9100000000001</v>
      </c>
    </row>
    <row r="12007" spans="1:4" x14ac:dyDescent="0.3">
      <c r="A12007" s="1" t="str">
        <f>"01028091200"</f>
        <v>01028091200</v>
      </c>
      <c r="B12007" s="1" t="str">
        <f>"SSH1312 LLC"</f>
        <v>SSH1312 LLC</v>
      </c>
      <c r="C12007" s="1" t="str">
        <f>"THE BROADWIN CONDOMINIUM UNIT 4 D"</f>
        <v>THE BROADWIN CONDOMINIUM UNIT 4 D</v>
      </c>
      <c r="D12007" s="1">
        <v>1182.58</v>
      </c>
    </row>
    <row r="12008" spans="1:4" x14ac:dyDescent="0.3">
      <c r="A12008" s="1" t="str">
        <f>"01028091300"</f>
        <v>01028091300</v>
      </c>
      <c r="B12008" s="1" t="str">
        <f>"SSH1312 LLC"</f>
        <v>SSH1312 LLC</v>
      </c>
      <c r="C12008" s="1" t="str">
        <f>"THE BROADWIN CONDOMINIUM UNIT 4 E"</f>
        <v>THE BROADWIN CONDOMINIUM UNIT 4 E</v>
      </c>
      <c r="D12008" s="1">
        <v>1290.3900000000001</v>
      </c>
    </row>
    <row r="12009" spans="1:4" x14ac:dyDescent="0.3">
      <c r="A12009" s="1" t="str">
        <f>"01028091400"</f>
        <v>01028091400</v>
      </c>
      <c r="B12009" s="1" t="str">
        <f>"SSH1312 LLC"</f>
        <v>SSH1312 LLC</v>
      </c>
      <c r="C12009" s="1" t="str">
        <f>"THE BROADWIN CONDOMINIUM UNIT 5 A"</f>
        <v>THE BROADWIN CONDOMINIUM UNIT 5 A</v>
      </c>
      <c r="D12009" s="1">
        <v>1914.76</v>
      </c>
    </row>
    <row r="12010" spans="1:4" x14ac:dyDescent="0.3">
      <c r="A12010" s="1" t="str">
        <f>"01028091500"</f>
        <v>01028091500</v>
      </c>
      <c r="B12010" s="1" t="str">
        <f>"SSH1312 LLC"</f>
        <v>SSH1312 LLC</v>
      </c>
      <c r="C12010" s="1" t="str">
        <f>"THE BROADWIN CONDOMINIUM UNIT 5 B"</f>
        <v>THE BROADWIN CONDOMINIUM UNIT 5 B</v>
      </c>
      <c r="D12010" s="1">
        <v>1176.76</v>
      </c>
    </row>
    <row r="12011" spans="1:4" x14ac:dyDescent="0.3">
      <c r="A12011" s="1" t="str">
        <f>"01028091600"</f>
        <v>01028091600</v>
      </c>
      <c r="B12011" s="1" t="str">
        <f>"SSH1312 LLC"</f>
        <v>SSH1312 LLC</v>
      </c>
      <c r="C12011" s="1" t="str">
        <f>"THE BROADWIN CONDOMINIUM UNIT 5 C"</f>
        <v>THE BROADWIN CONDOMINIUM UNIT 5 C</v>
      </c>
      <c r="D12011" s="1">
        <v>1230.9100000000001</v>
      </c>
    </row>
    <row r="12012" spans="1:4" x14ac:dyDescent="0.3">
      <c r="A12012" s="1" t="str">
        <f>"01028091700"</f>
        <v>01028091700</v>
      </c>
      <c r="B12012" s="1" t="str">
        <f>"SSH1312 LLC"</f>
        <v>SSH1312 LLC</v>
      </c>
      <c r="C12012" s="1" t="str">
        <f>"THE BROADWIN CONDOMINIUM UNIT 5 D"</f>
        <v>THE BROADWIN CONDOMINIUM UNIT 5 D</v>
      </c>
      <c r="D12012" s="1">
        <v>1182.58</v>
      </c>
    </row>
    <row r="12013" spans="1:4" x14ac:dyDescent="0.3">
      <c r="A12013" s="1" t="str">
        <f>"01028091800"</f>
        <v>01028091800</v>
      </c>
      <c r="B12013" s="1" t="str">
        <f>"SSH1312 LLC"</f>
        <v>SSH1312 LLC</v>
      </c>
      <c r="C12013" s="1" t="str">
        <f>"THE BROADWIN CONDOMINIUM UNIT 5 E"</f>
        <v>THE BROADWIN CONDOMINIUM UNIT 5 E</v>
      </c>
      <c r="D12013" s="1">
        <v>1290.3900000000001</v>
      </c>
    </row>
    <row r="12014" spans="1:4" x14ac:dyDescent="0.3">
      <c r="A12014" s="1" t="str">
        <f>"01028091900"</f>
        <v>01028091900</v>
      </c>
      <c r="B12014" s="1" t="str">
        <f>"SSH1312 LLC"</f>
        <v>SSH1312 LLC</v>
      </c>
      <c r="C12014" s="1" t="str">
        <f>"THE BROADWIN CONDOMINIUM UNIT 6 A"</f>
        <v>THE BROADWIN CONDOMINIUM UNIT 6 A</v>
      </c>
      <c r="D12014" s="1">
        <v>1914.76</v>
      </c>
    </row>
    <row r="12015" spans="1:4" x14ac:dyDescent="0.3">
      <c r="A12015" s="1" t="str">
        <f>"01028092000"</f>
        <v>01028092000</v>
      </c>
      <c r="B12015" s="1" t="str">
        <f>"SSH1312 LLC"</f>
        <v>SSH1312 LLC</v>
      </c>
      <c r="C12015" s="1" t="str">
        <f>"THE BROADWIN CONDOMINIUM UNIT 6 B"</f>
        <v>THE BROADWIN CONDOMINIUM UNIT 6 B</v>
      </c>
      <c r="D12015" s="1">
        <v>1176.76</v>
      </c>
    </row>
    <row r="12016" spans="1:4" x14ac:dyDescent="0.3">
      <c r="A12016" s="1" t="str">
        <f>"01028092100"</f>
        <v>01028092100</v>
      </c>
      <c r="B12016" s="1" t="str">
        <f>"SSH1312 LLC"</f>
        <v>SSH1312 LLC</v>
      </c>
      <c r="C12016" s="1" t="str">
        <f>"THE BROADWIN CONDOMINIUM UNIT 6 C"</f>
        <v>THE BROADWIN CONDOMINIUM UNIT 6 C</v>
      </c>
      <c r="D12016" s="1">
        <v>1594.66</v>
      </c>
    </row>
    <row r="12017" spans="1:4" x14ac:dyDescent="0.3">
      <c r="A12017" s="1" t="str">
        <f>"01028092200"</f>
        <v>01028092200</v>
      </c>
      <c r="B12017" s="1" t="str">
        <f>"SSH1312 LLC"</f>
        <v>SSH1312 LLC</v>
      </c>
      <c r="C12017" s="1" t="str">
        <f>"THE BROADWIN CONDOMINIUM UNIT 6 D"</f>
        <v>THE BROADWIN CONDOMINIUM UNIT 6 D</v>
      </c>
      <c r="D12017" s="1">
        <v>1182.58</v>
      </c>
    </row>
    <row r="12018" spans="1:4" x14ac:dyDescent="0.3">
      <c r="A12018" s="1" t="str">
        <f>"01028092300"</f>
        <v>01028092300</v>
      </c>
      <c r="B12018" s="1" t="str">
        <f>"SSH1312 LLC"</f>
        <v>SSH1312 LLC</v>
      </c>
      <c r="C12018" s="1" t="str">
        <f>"THE BROADWIN CONDOMINIUM UNIT 6 E"</f>
        <v>THE BROADWIN CONDOMINIUM UNIT 6 E</v>
      </c>
      <c r="D12018" s="1">
        <v>1290.3900000000001</v>
      </c>
    </row>
    <row r="12019" spans="1:4" x14ac:dyDescent="0.3">
      <c r="A12019" s="1" t="str">
        <f>"01028092400"</f>
        <v>01028092400</v>
      </c>
      <c r="B12019" s="1" t="str">
        <f>"SSH1312 LLC"</f>
        <v>SSH1312 LLC</v>
      </c>
      <c r="C12019" s="1" t="str">
        <f>"THE BROADWIN CONDOMINIUM UNIT 7 A"</f>
        <v>THE BROADWIN CONDOMINIUM UNIT 7 A</v>
      </c>
      <c r="D12019" s="1">
        <v>1937.08</v>
      </c>
    </row>
    <row r="12020" spans="1:4" x14ac:dyDescent="0.3">
      <c r="A12020" s="1" t="str">
        <f>"01028103500"</f>
        <v>01028103500</v>
      </c>
      <c r="B12020" s="1" t="str">
        <f>"SSH1312 LLC"</f>
        <v>SSH1312 LLC</v>
      </c>
      <c r="C12020" s="1" t="str">
        <f>"THE BROADWIN CONDOMINIUM UNIT 7 C"</f>
        <v>THE BROADWIN CONDOMINIUM UNIT 7 C</v>
      </c>
      <c r="D12020" s="1">
        <v>1230.9100000000001</v>
      </c>
    </row>
    <row r="12021" spans="1:4" x14ac:dyDescent="0.3">
      <c r="A12021" s="1" t="str">
        <f>"01028103600"</f>
        <v>01028103600</v>
      </c>
      <c r="B12021" s="1" t="str">
        <f>"SSH1312 LLC"</f>
        <v>SSH1312 LLC</v>
      </c>
      <c r="C12021" s="1" t="str">
        <f>"THE BROADWIN CONDOMINIUM UNIT 7 D"</f>
        <v>THE BROADWIN CONDOMINIUM UNIT 7 D</v>
      </c>
      <c r="D12021" s="1">
        <v>1182.58</v>
      </c>
    </row>
    <row r="12022" spans="1:4" x14ac:dyDescent="0.3">
      <c r="A12022" s="1" t="str">
        <f>"01028103700"</f>
        <v>01028103700</v>
      </c>
      <c r="B12022" s="1" t="str">
        <f>"SSH1312 LLC"</f>
        <v>SSH1312 LLC</v>
      </c>
      <c r="C12022" s="1" t="str">
        <f>"THE BROADWIN CONDOMINIUM UNIT 7 E"</f>
        <v>THE BROADWIN CONDOMINIUM UNIT 7 E</v>
      </c>
      <c r="D12022" s="1">
        <v>1290.3900000000001</v>
      </c>
    </row>
    <row r="12023" spans="1:4" x14ac:dyDescent="0.3">
      <c r="A12023" s="1" t="str">
        <f>"01028103800"</f>
        <v>01028103800</v>
      </c>
      <c r="B12023" s="1" t="str">
        <f>"SSH1312 LLC"</f>
        <v>SSH1312 LLC</v>
      </c>
      <c r="C12023" s="1" t="str">
        <f>"THE BROADWIN CONDOMINIUM UNIT 8 A"</f>
        <v>THE BROADWIN CONDOMINIUM UNIT 8 A</v>
      </c>
      <c r="D12023" s="1">
        <v>1914.76</v>
      </c>
    </row>
    <row r="12024" spans="1:4" x14ac:dyDescent="0.3">
      <c r="A12024" s="1" t="str">
        <f>"01028103900"</f>
        <v>01028103900</v>
      </c>
      <c r="B12024" s="1" t="str">
        <f>"SSH1312 LLC"</f>
        <v>SSH1312 LLC</v>
      </c>
      <c r="C12024" s="1" t="str">
        <f>"THE BROADWIN CONDOMINIUM UNIT 8 B"</f>
        <v>THE BROADWIN CONDOMINIUM UNIT 8 B</v>
      </c>
      <c r="D12024" s="1">
        <v>1176.76</v>
      </c>
    </row>
    <row r="12025" spans="1:4" x14ac:dyDescent="0.3">
      <c r="A12025" s="1" t="str">
        <f>"01028104000"</f>
        <v>01028104000</v>
      </c>
      <c r="B12025" s="1" t="str">
        <f>"SSH1312 LLC"</f>
        <v>SSH1312 LLC</v>
      </c>
      <c r="C12025" s="1" t="str">
        <f>"THE BROADWIN CONDOMINIUM UNIT 8 C"</f>
        <v>THE BROADWIN CONDOMINIUM UNIT 8 C</v>
      </c>
      <c r="D12025" s="1">
        <v>1230.9100000000001</v>
      </c>
    </row>
    <row r="12026" spans="1:4" x14ac:dyDescent="0.3">
      <c r="A12026" s="1" t="str">
        <f>"01028104100"</f>
        <v>01028104100</v>
      </c>
      <c r="B12026" s="1" t="str">
        <f>"SSH1312 LLC"</f>
        <v>SSH1312 LLC</v>
      </c>
      <c r="C12026" s="1" t="str">
        <f>"THE BROADWIN CONDOMINIUM UNIT 8 D"</f>
        <v>THE BROADWIN CONDOMINIUM UNIT 8 D</v>
      </c>
      <c r="D12026" s="1">
        <v>1182.58</v>
      </c>
    </row>
    <row r="12027" spans="1:4" x14ac:dyDescent="0.3">
      <c r="A12027" s="1" t="str">
        <f>"01028104200"</f>
        <v>01028104200</v>
      </c>
      <c r="B12027" s="1" t="str">
        <f>"SSH1312 LLC"</f>
        <v>SSH1312 LLC</v>
      </c>
      <c r="C12027" s="1" t="str">
        <f>"THE BROADWIN CONDOMINIUM UNIT 8 E"</f>
        <v>THE BROADWIN CONDOMINIUM UNIT 8 E</v>
      </c>
      <c r="D12027" s="1">
        <v>1290.3900000000001</v>
      </c>
    </row>
    <row r="12028" spans="1:4" x14ac:dyDescent="0.3">
      <c r="A12028" s="1" t="str">
        <f>"06000344500"</f>
        <v>06000344500</v>
      </c>
      <c r="B12028" s="1" t="str">
        <f>"STACY ANDREW E"</f>
        <v>STACY ANDREW E</v>
      </c>
      <c r="C12028" s="1" t="str">
        <f>"GOLDSMITH DR LUDLOW LOT 7"</f>
        <v>GOLDSMITH DR LUDLOW LOT 7</v>
      </c>
      <c r="D12028" s="1">
        <v>5723.95</v>
      </c>
    </row>
    <row r="12029" spans="1:4" x14ac:dyDescent="0.3">
      <c r="A12029" s="1" t="str">
        <f>"27300395600"</f>
        <v>27300395600</v>
      </c>
      <c r="B12029" s="1" t="str">
        <f>"STADTLANDER WILLIAM H JR, STADTLANDER MARGARET A"</f>
        <v>STADTLANDER WILLIAM H JR, STADTLANDER MARGARET A</v>
      </c>
      <c r="C12029" s="1" t="str">
        <f>"6139 GREY FRIAR WAY MUIRFIELD VILLAGE PHASE 32 LOT 1529"</f>
        <v>6139 GREY FRIAR WAY MUIRFIELD VILLAGE PHASE 32 LOT 1529</v>
      </c>
      <c r="D12029" s="1">
        <v>1064.06</v>
      </c>
    </row>
    <row r="12030" spans="1:4" x14ac:dyDescent="0.3">
      <c r="A12030" s="1" t="str">
        <f>"24000163100"</f>
        <v>24000163100</v>
      </c>
      <c r="B12030" s="1" t="str">
        <f>"STAGE TODD A"</f>
        <v>STAGE TODD A</v>
      </c>
      <c r="C12030" s="1" t="str">
        <f>"BROAD ST LOT 35 "</f>
        <v xml:space="preserve">BROAD ST LOT 35 </v>
      </c>
      <c r="D12030" s="1">
        <v>2819.37</v>
      </c>
    </row>
    <row r="12031" spans="1:4" x14ac:dyDescent="0.3">
      <c r="A12031" s="1" t="str">
        <f>"24000161300"</f>
        <v>24000161300</v>
      </c>
      <c r="B12031" s="1" t="str">
        <f>"STAGE TODD A"</f>
        <v>STAGE TODD A</v>
      </c>
      <c r="C12031" s="1" t="str">
        <f>"BROAD ST ALTON 34 "</f>
        <v xml:space="preserve">BROAD ST ALTON 34 </v>
      </c>
      <c r="D12031" s="1">
        <v>344.34</v>
      </c>
    </row>
    <row r="12032" spans="1:4" x14ac:dyDescent="0.3">
      <c r="A12032" s="1" t="str">
        <f>"01028296700"</f>
        <v>01028296700</v>
      </c>
      <c r="B12032" s="1" t="str">
        <f>"STAHL CARRIE ELIZABETH TTEE"</f>
        <v>STAHL CARRIE ELIZABETH TTEE</v>
      </c>
      <c r="C12032" s="1" t="str">
        <f>"5885 MCINNIS ROAD HAYDEN FARMS SECTION 4 LOT 325"</f>
        <v>5885 MCINNIS ROAD HAYDEN FARMS SECTION 4 LOT 325</v>
      </c>
      <c r="D12032" s="1">
        <v>6955.33</v>
      </c>
    </row>
    <row r="12033" spans="1:4" x14ac:dyDescent="0.3">
      <c r="A12033" s="1" t="str">
        <f>"01002172000"</f>
        <v>01002172000</v>
      </c>
      <c r="B12033" s="1" t="str">
        <f>"STAINER JUANITA M"</f>
        <v>STAINER JUANITA M</v>
      </c>
      <c r="C12033" s="1" t="str">
        <f>"51 N OGDEN AVE WICKLOW 3RD LOTS 908-9-10"</f>
        <v>51 N OGDEN AVE WICKLOW 3RD LOTS 908-9-10</v>
      </c>
      <c r="D12033" s="1">
        <v>2715.96</v>
      </c>
    </row>
    <row r="12034" spans="1:4" x14ac:dyDescent="0.3">
      <c r="A12034" s="1" t="str">
        <f>"24000398700"</f>
        <v>24000398700</v>
      </c>
      <c r="B12034" s="1" t="str">
        <f>"STAKELY CONSTANCE M"</f>
        <v>STAKELY CONSTANCE M</v>
      </c>
      <c r="C12034" s="1" t="str">
        <f>"4933 HAMDEN WAY LINCOLN VILLAGE SUB LOT 847"</f>
        <v>4933 HAMDEN WAY LINCOLN VILLAGE SUB LOT 847</v>
      </c>
      <c r="D12034" s="1">
        <v>3912.61</v>
      </c>
    </row>
    <row r="12035" spans="1:4" x14ac:dyDescent="0.3">
      <c r="A12035" s="1" t="str">
        <f>"01012537600"</f>
        <v>01012537600</v>
      </c>
      <c r="B12035" s="1" t="str">
        <f>"STALCUP LINCOLN E JR, STALCUP TEIKO"</f>
        <v>STALCUP LINCOLN E JR, STALCUP TEIKO</v>
      </c>
      <c r="C12035" s="1" t="str">
        <f>"3121 WEIRTON DR SOUTHFIELD 2ND LOT 181"</f>
        <v>3121 WEIRTON DR SOUTHFIELD 2ND LOT 181</v>
      </c>
      <c r="D12035" s="1">
        <v>1632.8</v>
      </c>
    </row>
    <row r="12036" spans="1:4" x14ac:dyDescent="0.3">
      <c r="A12036" s="1" t="str">
        <f>"01011175300"</f>
        <v>01011175300</v>
      </c>
      <c r="B12036" s="1" t="str">
        <f>"STALCUP ROBERT E"</f>
        <v>STALCUP ROBERT E</v>
      </c>
      <c r="C12036" s="1" t="str">
        <f>"LAWRENCE DR DELLBOURNE LOT 27"</f>
        <v>LAWRENCE DR DELLBOURNE LOT 27</v>
      </c>
      <c r="D12036" s="1">
        <v>66.650000000000006</v>
      </c>
    </row>
    <row r="12037" spans="1:4" x14ac:dyDescent="0.3">
      <c r="A12037" s="1" t="str">
        <f>"01018312000"</f>
        <v>01018312000</v>
      </c>
      <c r="B12037" s="1" t="str">
        <f>"STALDER STANLEY, STALDER MARCIA"</f>
        <v>STALDER STANLEY, STALDER MARCIA</v>
      </c>
      <c r="C12037" s="1" t="str">
        <f>"SCOTLAND YARD CONDO UNIT 1651   BLDG 17 "</f>
        <v xml:space="preserve">SCOTLAND YARD CONDO UNIT 1651   BLDG 17 </v>
      </c>
      <c r="D12037" s="1">
        <v>708.15</v>
      </c>
    </row>
    <row r="12038" spans="1:4" x14ac:dyDescent="0.3">
      <c r="A12038" s="1" t="str">
        <f>"01013509600"</f>
        <v>01013509600</v>
      </c>
      <c r="B12038" s="1" t="str">
        <f>"STALFORD DAVID J, STALFORD INGRID G"</f>
        <v>STALFORD DAVID J, STALFORD INGRID G</v>
      </c>
      <c r="C12038" s="1" t="str">
        <f>"LONGFIELD RD BROOKSHIRE S LOT 127"</f>
        <v>LONGFIELD RD BROOKSHIRE S LOT 127</v>
      </c>
      <c r="D12038" s="1">
        <v>184.76</v>
      </c>
    </row>
    <row r="12039" spans="1:4" x14ac:dyDescent="0.3">
      <c r="A12039" s="1" t="str">
        <f>"55015601400"</f>
        <v>55015601400</v>
      </c>
      <c r="B12039" s="1" t="str">
        <f>"STALICA NORBERT R"</f>
        <v>STALICA NORBERT R</v>
      </c>
      <c r="C12039" s="1" t="str">
        <f>"ASTOR AVE IDLEWILD MANOR LOT 197"</f>
        <v>ASTOR AVE IDLEWILD MANOR LOT 197</v>
      </c>
      <c r="D12039" s="1">
        <v>2138.9899999999998</v>
      </c>
    </row>
    <row r="12040" spans="1:4" x14ac:dyDescent="0.3">
      <c r="A12040" s="1" t="str">
        <f>"07000009200"</f>
        <v>07000009200</v>
      </c>
      <c r="B12040" s="1" t="str">
        <f>"STANFORD UA LLC"</f>
        <v>STANFORD UA LLC</v>
      </c>
      <c r="C12040" s="1" t="str">
        <f>"2080 STANFORD RD UPPER ARLINGTON LOT 2 BLK 10"</f>
        <v>2080 STANFORD RD UPPER ARLINGTON LOT 2 BLK 10</v>
      </c>
      <c r="D12040" s="1">
        <v>1984.14</v>
      </c>
    </row>
    <row r="12041" spans="1:4" x14ac:dyDescent="0.3">
      <c r="A12041" s="1" t="str">
        <f>"01005938600"</f>
        <v>01005938600</v>
      </c>
      <c r="B12041" s="1" t="str">
        <f>"STANLEY DEBORAH J"</f>
        <v>STANLEY DEBORAH J</v>
      </c>
      <c r="C12041" s="1" t="str">
        <f>"1561 ARLINGTON WALDON LOTS 88-89"</f>
        <v>1561 ARLINGTON WALDON LOTS 88-89</v>
      </c>
      <c r="D12041" s="1">
        <v>2263.94</v>
      </c>
    </row>
    <row r="12042" spans="1:4" x14ac:dyDescent="0.3">
      <c r="A12042" s="1" t="str">
        <f>"19000155300"</f>
        <v>19000155300</v>
      </c>
      <c r="B12042" s="1" t="str">
        <f>"STANLEY DEBORAH J"</f>
        <v>STANLEY DEBORAH J</v>
      </c>
      <c r="C12042" s="1" t="str">
        <f>"RANKIN AVE GREENDALE PLACE 199 "</f>
        <v xml:space="preserve">RANKIN AVE GREENDALE PLACE 199 </v>
      </c>
      <c r="D12042" s="1">
        <v>1959.49</v>
      </c>
    </row>
    <row r="12043" spans="1:4" x14ac:dyDescent="0.3">
      <c r="A12043" s="1" t="str">
        <f>"19000153400"</f>
        <v>19000153400</v>
      </c>
      <c r="B12043" s="1" t="str">
        <f>"STANLEY PERRY"</f>
        <v>STANLEY PERRY</v>
      </c>
      <c r="C12043" s="1" t="str">
        <f>"RANKIN AVE 2220 GREENDALE PL 180 "</f>
        <v xml:space="preserve">RANKIN AVE 2220 GREENDALE PL 180 </v>
      </c>
      <c r="D12043" s="1">
        <v>1843.38</v>
      </c>
    </row>
    <row r="12044" spans="1:4" x14ac:dyDescent="0.3">
      <c r="A12044" s="1" t="str">
        <f>"19000129300"</f>
        <v>19000129300</v>
      </c>
      <c r="B12044" s="1" t="str">
        <f>"STANLEY SAMANTHA, REASONER ASHLEY"</f>
        <v>STANLEY SAMANTHA, REASONER ASHLEY</v>
      </c>
      <c r="C12044" s="1" t="str">
        <f>"2382 MELROSE AVE LOT 66 TUXEDO PARK"</f>
        <v>2382 MELROSE AVE LOT 66 TUXEDO PARK</v>
      </c>
      <c r="D12044" s="1">
        <v>1235.07</v>
      </c>
    </row>
    <row r="12045" spans="1:4" x14ac:dyDescent="0.3">
      <c r="A12045" s="1" t="str">
        <f>"01001533700"</f>
        <v>01001533700</v>
      </c>
      <c r="B12045" s="1" t="str">
        <f>"STANLEY STEPHEN, FINNEY ANITA"</f>
        <v>STANLEY STEPHEN, FINNEY ANITA</v>
      </c>
      <c r="C12045" s="1" t="str">
        <f>"602 LILLEY AVE MC LILLEY LOT 47"</f>
        <v>602 LILLEY AVE MC LILLEY LOT 47</v>
      </c>
      <c r="D12045" s="1">
        <v>1347.7</v>
      </c>
    </row>
    <row r="12046" spans="1:4" x14ac:dyDescent="0.3">
      <c r="A12046" s="1" t="str">
        <f>"01004972300"</f>
        <v>01004972300</v>
      </c>
      <c r="B12046" s="1" t="str">
        <f>"STANOJEVIC BOZIDAR"</f>
        <v>STANOJEVIC BOZIDAR</v>
      </c>
      <c r="C12046" s="1" t="str">
        <f>"1230 FAIR AVE 90 FT FRT IDE PLACE LOT 51"</f>
        <v>1230 FAIR AVE 90 FT FRT IDE PLACE LOT 51</v>
      </c>
      <c r="D12046" s="1">
        <v>2410.25</v>
      </c>
    </row>
    <row r="12047" spans="1:4" x14ac:dyDescent="0.3">
      <c r="A12047" s="1" t="str">
        <f>"01022846200"</f>
        <v>01022846200</v>
      </c>
      <c r="B12047" s="1" t="str">
        <f>"STANOJEVIC BOZIDAR"</f>
        <v>STANOJEVIC BOZIDAR</v>
      </c>
      <c r="C12047" s="1" t="str">
        <f>"MCNEILL FARMS EAST CONDOMINIUM LOT 7C"</f>
        <v>MCNEILL FARMS EAST CONDOMINIUM LOT 7C</v>
      </c>
      <c r="D12047" s="1">
        <v>1190.3900000000001</v>
      </c>
    </row>
    <row r="12048" spans="1:4" x14ac:dyDescent="0.3">
      <c r="A12048" s="1" t="str">
        <f>"02500781400"</f>
        <v>02500781400</v>
      </c>
      <c r="B12048" s="1" t="str">
        <f>"STANOJEVIC BOZIDAR R, STANOJEVIC MARIKA"</f>
        <v>STANOJEVIC BOZIDAR R, STANOJEVIC MARIKA</v>
      </c>
      <c r="C12048" s="1" t="str">
        <f>"882 HARMONY DRIVE HUNTERS RIDGE SEC 10 LOT 598"</f>
        <v>882 HARMONY DRIVE HUNTERS RIDGE SEC 10 LOT 598</v>
      </c>
      <c r="D12048" s="1">
        <v>3898.18</v>
      </c>
    </row>
    <row r="12049" spans="1:4" x14ac:dyDescent="0.3">
      <c r="A12049" s="1" t="str">
        <f>"04001601800"</f>
        <v>04001601800</v>
      </c>
      <c r="B12049" s="1" t="str">
        <f>"STANTON DANNY LEE SR, STANTON JANIS SUE"</f>
        <v>STANTON DANNY LEE SR, STANTON JANIS SUE</v>
      </c>
      <c r="C12049" s="1" t="str">
        <f>"MEADOW GROVE ESTATES NORTH SECTION 7 PHASE A LOT 126"</f>
        <v>MEADOW GROVE ESTATES NORTH SECTION 7 PHASE A LOT 126</v>
      </c>
      <c r="D12049" s="1">
        <v>5923.24</v>
      </c>
    </row>
    <row r="12050" spans="1:4" x14ac:dyDescent="0.3">
      <c r="A12050" s="1" t="str">
        <f>"01007682600"</f>
        <v>01007682600</v>
      </c>
      <c r="B12050" s="1" t="str">
        <f>"STAR LIGHT GLOBAL LLC"</f>
        <v>STAR LIGHT GLOBAL LLC</v>
      </c>
      <c r="C12050" s="1" t="str">
        <f>"GAULT ST BULENS EXT TO FAIRWOOD PK LOT 24"</f>
        <v>GAULT ST BULENS EXT TO FAIRWOOD PK LOT 24</v>
      </c>
      <c r="D12050" s="1">
        <v>161.07</v>
      </c>
    </row>
    <row r="12051" spans="1:4" x14ac:dyDescent="0.3">
      <c r="A12051" s="1" t="str">
        <f>"22200211700"</f>
        <v>22200211700</v>
      </c>
      <c r="B12051" s="1" t="str">
        <f>"STARINSKY MARK, STARINSKY CASSANDRA"</f>
        <v>STARINSKY MARK, STARINSKY CASSANDRA</v>
      </c>
      <c r="C12051" s="1" t="str">
        <f>"WILLOW GROVE NEW ALBANY COUNTRY CLUB SEC 16A LOT 45"</f>
        <v>WILLOW GROVE NEW ALBANY COUNTRY CLUB SEC 16A LOT 45</v>
      </c>
      <c r="D12051" s="1">
        <v>809.06</v>
      </c>
    </row>
    <row r="12052" spans="1:4" x14ac:dyDescent="0.3">
      <c r="A12052" s="1" t="str">
        <f>"01007822100"</f>
        <v>01007822100</v>
      </c>
      <c r="B12052" s="1" t="str">
        <f>"STARKEY LAURA"</f>
        <v>STARKEY LAURA</v>
      </c>
      <c r="C12052" s="1" t="str">
        <f>"768 S EUREKA AVE WESTLAND EXT LOT 246"</f>
        <v>768 S EUREKA AVE WESTLAND EXT LOT 246</v>
      </c>
      <c r="D12052" s="1">
        <v>846.05</v>
      </c>
    </row>
    <row r="12053" spans="1:4" x14ac:dyDescent="0.3">
      <c r="A12053" s="1" t="str">
        <f>"08001041000"</f>
        <v>08001041000</v>
      </c>
      <c r="B12053" s="1" t="str">
        <f>"STARKEY LUKE TTEE, STARKEY NADINE TTEE"</f>
        <v>STARKEY LUKE TTEE, STARKEY NADINE TTEE</v>
      </c>
      <c r="C12053" s="1" t="str">
        <f>"CENTRAL COLLEGE RD R 17 T 2 1-4TWP 1 ACRES 1.475"</f>
        <v>CENTRAL COLLEGE RD R 17 T 2 1-4TWP 1 ACRES 1.475</v>
      </c>
      <c r="D12053" s="1">
        <v>447.12</v>
      </c>
    </row>
    <row r="12054" spans="1:4" x14ac:dyDescent="0.3">
      <c r="A12054" s="1" t="str">
        <f>"17000049300"</f>
        <v>17000049300</v>
      </c>
      <c r="B12054" s="1" t="str">
        <f>"STARKEY LUKE W, STARKEY NADINE R"</f>
        <v>STARKEY LUKE W, STARKEY NADINE R</v>
      </c>
      <c r="C12054" s="1" t="str">
        <f>"3380 KITZMILLER RD 1.578 ACRS R16 T1 S1 31-33-34"</f>
        <v>3380 KITZMILLER RD 1.578 ACRS R16 T1 S1 31-33-34</v>
      </c>
      <c r="D12054" s="1">
        <v>527.54999999999995</v>
      </c>
    </row>
    <row r="12055" spans="1:4" x14ac:dyDescent="0.3">
      <c r="A12055" s="1" t="str">
        <f>"01015726000"</f>
        <v>01015726000</v>
      </c>
      <c r="B12055" s="1" t="str">
        <f>"STARKS ALYSIA"</f>
        <v>STARKS ALYSIA</v>
      </c>
      <c r="C12055" s="1" t="str">
        <f>"BREMEN ST OAK PARK ADDITION 13 LOT 18"</f>
        <v>BREMEN ST OAK PARK ADDITION 13 LOT 18</v>
      </c>
      <c r="D12055" s="1">
        <v>1560.88</v>
      </c>
    </row>
    <row r="12056" spans="1:4" x14ac:dyDescent="0.3">
      <c r="A12056" s="1" t="str">
        <f>"23000338300"</f>
        <v>23000338300</v>
      </c>
      <c r="B12056" s="1" t="str">
        <f>"STARR BROCK A, STARR GRACE K"</f>
        <v>STARR BROCK A, STARR GRACE K</v>
      </c>
      <c r="C12056" s="1" t="str">
        <f>"BIG RUN SOUTH RD VMS 1448 3.152 ACRES"</f>
        <v>BIG RUN SOUTH RD VMS 1448 3.152 ACRES</v>
      </c>
      <c r="D12056" s="1">
        <v>623.57000000000005</v>
      </c>
    </row>
    <row r="12057" spans="1:4" x14ac:dyDescent="0.3">
      <c r="A12057" s="1" t="str">
        <f>"01003021700"</f>
        <v>01003021700</v>
      </c>
      <c r="B12057" s="1" t="str">
        <f>"STARR HUNTER INVESTMENTS LLC"</f>
        <v>STARR HUNTER INVESTMENTS LLC</v>
      </c>
      <c r="C12057" s="1" t="str">
        <f>"1282 HUNTER DENNISON PLACE LOT 111"</f>
        <v>1282 HUNTER DENNISON PLACE LOT 111</v>
      </c>
      <c r="D12057" s="1">
        <v>943.88</v>
      </c>
    </row>
    <row r="12058" spans="1:4" x14ac:dyDescent="0.3">
      <c r="A12058" s="1" t="str">
        <f>"27300441700"</f>
        <v>27300441700</v>
      </c>
      <c r="B12058" s="1" t="str">
        <f>"STARR KIMBERLY K"</f>
        <v>STARR KIMBERLY K</v>
      </c>
      <c r="C12058" s="1" t="str">
        <f>"5879 NEWBRIDGE DR DUBLINSHIRE LOT 123"</f>
        <v>5879 NEWBRIDGE DR DUBLINSHIRE LOT 123</v>
      </c>
      <c r="D12058" s="1">
        <v>255.29</v>
      </c>
    </row>
    <row r="12059" spans="1:4" x14ac:dyDescent="0.3">
      <c r="A12059" s="1" t="str">
        <f>"53017289900"</f>
        <v>53017289900</v>
      </c>
      <c r="B12059" s="1" t="str">
        <f>"STAUB JOHN"</f>
        <v>STAUB JOHN</v>
      </c>
      <c r="C12059" s="1" t="str">
        <f>"CENTENNIAL DR INDEPENDENCE VLGSEC3 LOT 206"</f>
        <v>CENTENNIAL DR INDEPENDENCE VLGSEC3 LOT 206</v>
      </c>
      <c r="D12059" s="1">
        <v>3314.6</v>
      </c>
    </row>
    <row r="12060" spans="1:4" x14ac:dyDescent="0.3">
      <c r="A12060" s="1" t="str">
        <f>"27000017100"</f>
        <v>27000017100</v>
      </c>
      <c r="B12060" s="1" t="str">
        <f>"STAVROFF DESIREE NICOLE"</f>
        <v>STAVROFF DESIREE NICOLE</v>
      </c>
      <c r="C12060" s="1" t="str">
        <f>"STATE RD SCIOTO SHORES LOT 6-7"</f>
        <v>STATE RD SCIOTO SHORES LOT 6-7</v>
      </c>
      <c r="D12060" s="1">
        <v>985.53</v>
      </c>
    </row>
    <row r="12061" spans="1:4" x14ac:dyDescent="0.3">
      <c r="A12061" s="1" t="str">
        <f>"20000062800"</f>
        <v>20000062800</v>
      </c>
      <c r="B12061" s="1" t="str">
        <f>"STCLAIR BILLIE J C"</f>
        <v>STCLAIR BILLIE J C</v>
      </c>
      <c r="C12061" s="1" t="str">
        <f>"DUBLIN RD ACRES ENTRY 547 0.698 ACRE"</f>
        <v>DUBLIN RD ACRES ENTRY 547 0.698 ACRE</v>
      </c>
      <c r="D12061" s="1">
        <v>3134.36</v>
      </c>
    </row>
    <row r="12062" spans="1:4" x14ac:dyDescent="0.3">
      <c r="A12062" s="1" t="str">
        <f>"01029351500"</f>
        <v>01029351500</v>
      </c>
      <c r="B12062" s="1" t="str">
        <f>"STEBBINS THOMAS G, STEBBINS PATRICIA A"</f>
        <v>STEBBINS THOMAS G, STEBBINS PATRICIA A</v>
      </c>
      <c r="C12062" s="1" t="str">
        <f>"WOODS AT SUGAR RUN        CONDOMINIUM 28TH AMD      UNIT 48-5427             "</f>
        <v xml:space="preserve">WOODS AT SUGAR RUN        CONDOMINIUM 28TH AMD      UNIT 48-5427             </v>
      </c>
      <c r="D12062" s="1">
        <v>352.32</v>
      </c>
    </row>
    <row r="12063" spans="1:4" x14ac:dyDescent="0.3">
      <c r="A12063" s="1" t="str">
        <f>"43027970000"</f>
        <v>43027970000</v>
      </c>
      <c r="B12063" s="1" t="str">
        <f>"STEBELTON MONA LYNN"</f>
        <v>STEBELTON MONA LYNN</v>
      </c>
      <c r="C12063" s="1" t="str">
        <f>"GENDER RD R21 T11 S25 6.553 ACRES"</f>
        <v>GENDER RD R21 T11 S25 6.553 ACRES</v>
      </c>
      <c r="D12063" s="1">
        <v>501.97</v>
      </c>
    </row>
    <row r="12064" spans="1:4" x14ac:dyDescent="0.3">
      <c r="A12064" s="1" t="str">
        <f>"18400277000"</f>
        <v>18400277000</v>
      </c>
      <c r="B12064" s="1" t="str">
        <f>"STEDMAN WANDA"</f>
        <v>STEDMAN WANDA</v>
      </c>
      <c r="C12064" s="1" t="str">
        <f>"CHARLESTON LAKE CONDOMINIUM 1ST AMD BLDG 28 UNIT 6691"</f>
        <v>CHARLESTON LAKE CONDOMINIUM 1ST AMD BLDG 28 UNIT 6691</v>
      </c>
      <c r="D12064" s="1">
        <v>570.63</v>
      </c>
    </row>
    <row r="12065" spans="1:4" x14ac:dyDescent="0.3">
      <c r="A12065" s="1" t="str">
        <f>"04000526200"</f>
        <v>04000526200</v>
      </c>
      <c r="B12065" s="1" t="str">
        <f>"STEECE TERESA A, GOODE MIKEL D"</f>
        <v>STEECE TERESA A, GOODE MIKEL D</v>
      </c>
      <c r="C12065" s="1" t="str">
        <f>"6176 HICKORY LAWN CT MAPLE LAWN COURT LOT 26 INDIAN TRAILS"</f>
        <v>6176 HICKORY LAWN CT MAPLE LAWN COURT LOT 26 INDIAN TRAILS</v>
      </c>
      <c r="D12065" s="1">
        <v>207.25</v>
      </c>
    </row>
    <row r="12066" spans="1:4" x14ac:dyDescent="0.3">
      <c r="A12066" s="1" t="str">
        <f>"54525859600"</f>
        <v>54525859600</v>
      </c>
      <c r="B12066" s="1" t="str">
        <f>"STEEGE JERRY K"</f>
        <v>STEEGE JERRY K</v>
      </c>
      <c r="C12066" s="1" t="str">
        <f>"BIG CYPRESS DRIVE THE PRESERVE SECTION 6 PART 1 LOT 291"</f>
        <v>BIG CYPRESS DRIVE THE PRESERVE SECTION 6 PART 1 LOT 291</v>
      </c>
      <c r="D12066" s="1">
        <v>8228.34</v>
      </c>
    </row>
    <row r="12067" spans="1:4" x14ac:dyDescent="0.3">
      <c r="A12067" s="1" t="str">
        <f>"57017319800"</f>
        <v>57017319800</v>
      </c>
      <c r="B12067" s="1" t="str">
        <f>"STEELE CYNTHIA L"</f>
        <v>STEELE CYNTHIA L</v>
      </c>
      <c r="C12067" s="1" t="str">
        <f>"416 PAMLICO ST HARDESTY HGTS CONDJI UNIT 10"</f>
        <v>416 PAMLICO ST HARDESTY HGTS CONDJI UNIT 10</v>
      </c>
      <c r="D12067" s="1">
        <v>1193.0899999999999</v>
      </c>
    </row>
    <row r="12068" spans="1:4" x14ac:dyDescent="0.3">
      <c r="A12068" s="1" t="str">
        <f>"01000571100"</f>
        <v>01000571100</v>
      </c>
      <c r="B12068" s="1" t="str">
        <f>"STEELE MARGARET B"</f>
        <v>STEELE MARGARET B</v>
      </c>
      <c r="C12068" s="1" t="str">
        <f>"1737 BIDE A WEE PK BULENS FAIRWOOD PK LOT 32"</f>
        <v>1737 BIDE A WEE PK BULENS FAIRWOOD PK LOT 32</v>
      </c>
      <c r="D12068" s="1">
        <v>3267.64</v>
      </c>
    </row>
    <row r="12069" spans="1:4" x14ac:dyDescent="0.3">
      <c r="A12069" s="1" t="str">
        <f>"01000587300"</f>
        <v>01000587300</v>
      </c>
      <c r="B12069" s="1" t="str">
        <f>"STEELE MARGARET B"</f>
        <v>STEELE MARGARET B</v>
      </c>
      <c r="C12069" s="1" t="str">
        <f>"BIDE-A-WE PARK BULENS FAIRWOOD PK W 102 LOT 31"</f>
        <v>BIDE-A-WE PARK BULENS FAIRWOOD PK W 102 LOT 31</v>
      </c>
      <c r="D12069" s="1">
        <v>288.31</v>
      </c>
    </row>
    <row r="12070" spans="1:4" x14ac:dyDescent="0.3">
      <c r="A12070" s="1" t="str">
        <f>"61025984300"</f>
        <v>61025984300</v>
      </c>
      <c r="B12070" s="1" t="str">
        <f>"STEELE NICHOLAS, STEELE MADISON"</f>
        <v>STEELE NICHOLAS, STEELE MADISON</v>
      </c>
      <c r="C12070" s="1" t="str">
        <f>"WORTHINGTON TRACE LANE WORTHINGTON TRACE EAST LOT 25"</f>
        <v>WORTHINGTON TRACE LANE WORTHINGTON TRACE EAST LOT 25</v>
      </c>
      <c r="D12070" s="1">
        <v>4161.2</v>
      </c>
    </row>
    <row r="12071" spans="1:4" x14ac:dyDescent="0.3">
      <c r="A12071" s="1" t="str">
        <f>"24000228300"</f>
        <v>24000228300</v>
      </c>
      <c r="B12071" s="1" t="str">
        <f>"STEELE TIMOTHY D, STEELE LUCINDA"</f>
        <v>STEELE TIMOTHY D, STEELE LUCINDA</v>
      </c>
      <c r="C12071" s="1" t="str">
        <f>"SMITH AVE LITTLE FARMS 55.039FT N MID PT LOT 4"</f>
        <v>SMITH AVE LITTLE FARMS 55.039FT N MID PT LOT 4</v>
      </c>
      <c r="D12071" s="1">
        <v>135.13</v>
      </c>
    </row>
    <row r="12072" spans="1:4" x14ac:dyDescent="0.3">
      <c r="A12072" s="1" t="str">
        <f>"22200072700"</f>
        <v>22200072700</v>
      </c>
      <c r="B12072" s="1" t="str">
        <f>"STEELMAN LISA CHARLOTTE TTEE"</f>
        <v>STEELMAN LISA CHARLOTTE TTEE</v>
      </c>
      <c r="C12072" s="1" t="str">
        <f>"CENTRAL COLLEGE RD .248 ACRE R16 T 2 1/4T1 LOT 13"</f>
        <v>CENTRAL COLLEGE RD .248 ACRE R16 T 2 1/4T1 LOT 13</v>
      </c>
      <c r="D12072" s="1">
        <v>7.33</v>
      </c>
    </row>
    <row r="12073" spans="1:4" x14ac:dyDescent="0.3">
      <c r="A12073" s="1" t="str">
        <f>"06000821800"</f>
        <v>06000821800</v>
      </c>
      <c r="B12073" s="1" t="str">
        <f>"STEFANIK STEPHANIE"</f>
        <v>STEFANIK STEPHANIE</v>
      </c>
      <c r="C12073" s="1" t="str">
        <f>"FARMINGTON MEADOWS CONDOMINIUM 2ND AMD BLDG 9 UNIT 7816"</f>
        <v>FARMINGTON MEADOWS CONDOMINIUM 2ND AMD BLDG 9 UNIT 7816</v>
      </c>
      <c r="D12073" s="1">
        <v>1856.88</v>
      </c>
    </row>
    <row r="12074" spans="1:4" x14ac:dyDescent="0.3">
      <c r="A12074" s="1" t="str">
        <f>"04000089100"</f>
        <v>04000089100</v>
      </c>
      <c r="B12074" s="1" t="str">
        <f>"STEGALL ELOIDA"</f>
        <v>STEGALL ELOIDA</v>
      </c>
      <c r="C12074" s="1" t="str">
        <f>"3275 LOTZ DRIVE HRRSBRG PK GLENN L LOTZ G C RES A"</f>
        <v>3275 LOTZ DRIVE HRRSBRG PK GLENN L LOTZ G C RES A</v>
      </c>
      <c r="D12074" s="1">
        <v>1878.11</v>
      </c>
    </row>
    <row r="12075" spans="1:4" x14ac:dyDescent="0.3">
      <c r="A12075" s="1" t="str">
        <f>"07000823100"</f>
        <v>07000823100</v>
      </c>
      <c r="B12075" s="1" t="str">
        <f>"STEGMILLER JOHN R, STEGMILLER CAROL A"</f>
        <v>STEGMILLER JOHN R, STEGMILLER CAROL A</v>
      </c>
      <c r="C12075" s="1" t="str">
        <f>"3950 LYON DR HARTSOOK GOLF COURSE 2"</f>
        <v>3950 LYON DR HARTSOOK GOLF COURSE 2</v>
      </c>
      <c r="D12075" s="1">
        <v>886.89</v>
      </c>
    </row>
    <row r="12076" spans="1:4" x14ac:dyDescent="0.3">
      <c r="A12076" s="1" t="str">
        <f>"27300137800"</f>
        <v>27300137800</v>
      </c>
      <c r="B12076" s="1" t="str">
        <f>"STEIGER DAVID E, STEIGER DIANE"</f>
        <v>STEIGER DAVID E, STEIGER DIANE</v>
      </c>
      <c r="C12076" s="1" t="str">
        <f>"00000 TIBBERMORE CT MUIRFIELD VILL PH 13 LOT 727"</f>
        <v>00000 TIBBERMORE CT MUIRFIELD VILL PH 13 LOT 727</v>
      </c>
      <c r="D12076" s="1">
        <v>979.91</v>
      </c>
    </row>
    <row r="12077" spans="1:4" x14ac:dyDescent="0.3">
      <c r="A12077" s="1" t="str">
        <f>"05001102300"</f>
        <v>05001102300</v>
      </c>
      <c r="B12077" s="1" t="str">
        <f>"STEIN JAMES C, STEIN PEGGY P"</f>
        <v>STEIN JAMES C, STEIN PEGGY P</v>
      </c>
      <c r="C12077" s="1" t="str">
        <f>"VILLAGE AT TREMONT CLUB   CONDOMINIUM 14TH AMD      UNIT 48-4630             "</f>
        <v xml:space="preserve">VILLAGE AT TREMONT CLUB   CONDOMINIUM 14TH AMD      UNIT 48-4630             </v>
      </c>
      <c r="D12077" s="1">
        <v>9550.7900000000009</v>
      </c>
    </row>
    <row r="12078" spans="1:4" x14ac:dyDescent="0.3">
      <c r="A12078" s="1" t="str">
        <f>"27300499600"</f>
        <v>27300499600</v>
      </c>
      <c r="B12078" s="1" t="str">
        <f>"STEINER ANDREW R TR, STEINER LORIBETH M TR"</f>
        <v>STEINER ANDREW R TR, STEINER LORIBETH M TR</v>
      </c>
      <c r="C12078" s="1" t="str">
        <f>"8134 CROSSGATE CT N MUIRFIELD VILLAGE PHASE 40 LOT 1996"</f>
        <v>8134 CROSSGATE CT N MUIRFIELD VILLAGE PHASE 40 LOT 1996</v>
      </c>
      <c r="D12078" s="1">
        <v>837.44</v>
      </c>
    </row>
    <row r="12079" spans="1:4" x14ac:dyDescent="0.3">
      <c r="A12079" s="1" t="str">
        <f>"01005054300"</f>
        <v>01005054300</v>
      </c>
      <c r="B12079" s="1" t="str">
        <f>"STELLING ANDREA M"</f>
        <v>STELLING ANDREA M</v>
      </c>
      <c r="C12079" s="1" t="str">
        <f>"95 TIBET RD CRESTVIEW LOT 237-238"</f>
        <v>95 TIBET RD CRESTVIEW LOT 237-238</v>
      </c>
      <c r="D12079" s="1">
        <v>3005.4</v>
      </c>
    </row>
    <row r="12080" spans="1:4" x14ac:dyDescent="0.3">
      <c r="A12080" s="1" t="str">
        <f>"01003291100"</f>
        <v>01003291100</v>
      </c>
      <c r="B12080" s="1" t="str">
        <f>"STEMMER ERIC M"</f>
        <v>STEMMER ERIC M</v>
      </c>
      <c r="C12080" s="1" t="str">
        <f>"241 W HUBBARD AVE LOT 77 "</f>
        <v xml:space="preserve">241 W HUBBARD AVE LOT 77 </v>
      </c>
      <c r="D12080" s="1">
        <v>4911.25</v>
      </c>
    </row>
    <row r="12081" spans="1:4" x14ac:dyDescent="0.3">
      <c r="A12081" s="1" t="str">
        <f>"53022354600"</f>
        <v>53022354600</v>
      </c>
      <c r="B12081" s="1" t="str">
        <f>"STEPHENS DANIEL M JR"</f>
        <v>STEPHENS DANIEL M JR</v>
      </c>
      <c r="C12081" s="1" t="str">
        <f>"WATERFORD HARBOUR CONDOMINIUM BLDG 22 UNIT 4421"</f>
        <v>WATERFORD HARBOUR CONDOMINIUM BLDG 22 UNIT 4421</v>
      </c>
      <c r="D12081" s="1">
        <v>1293.99</v>
      </c>
    </row>
    <row r="12082" spans="1:4" x14ac:dyDescent="0.3">
      <c r="A12082" s="1" t="str">
        <f>"01006944100"</f>
        <v>01006944100</v>
      </c>
      <c r="B12082" s="1" t="str">
        <f>"STEPHENS SARAH N"</f>
        <v>STEPHENS SARAH N</v>
      </c>
      <c r="C12082" s="1" t="str">
        <f>"1947 MINNESOTA AVE WOLFE &amp; CAREYS LOT 55 &amp; 10' VAC ST"</f>
        <v>1947 MINNESOTA AVE WOLFE &amp; CAREYS LOT 55 &amp; 10' VAC ST</v>
      </c>
      <c r="D12082" s="1">
        <v>1077.31</v>
      </c>
    </row>
    <row r="12083" spans="1:4" x14ac:dyDescent="0.3">
      <c r="A12083" s="1" t="str">
        <f>"01026588300"</f>
        <v>01026588300</v>
      </c>
      <c r="B12083" s="1" t="str">
        <f>"STEPHENS SHIRLEY, STEPHENS TOMMY"</f>
        <v>STEPHENS SHIRLEY, STEPHENS TOMMY</v>
      </c>
      <c r="C12083" s="1" t="str">
        <f>"THE CONDOMINIUM AT WINCHESTER COVE (3RD AMD) BLDG 34 UNIT 4322"</f>
        <v>THE CONDOMINIUM AT WINCHESTER COVE (3RD AMD) BLDG 34 UNIT 4322</v>
      </c>
      <c r="D12083" s="1">
        <v>1512.36</v>
      </c>
    </row>
    <row r="12084" spans="1:4" x14ac:dyDescent="0.3">
      <c r="A12084" s="1" t="str">
        <f>"61019305600"</f>
        <v>61019305600</v>
      </c>
      <c r="B12084" s="1" t="str">
        <f>"STEPHENS STEWART MICHAEL, MCKIBBEN KATHRYN R"</f>
        <v>STEPHENS STEWART MICHAEL, MCKIBBEN KATHRYN R</v>
      </c>
      <c r="C12084" s="1" t="str">
        <f>"WOODSPRING DR WOODBRIDGE GREEN 2 LOT 119"</f>
        <v>WOODSPRING DR WOODBRIDGE GREEN 2 LOT 119</v>
      </c>
      <c r="D12084" s="1">
        <v>7551.58</v>
      </c>
    </row>
    <row r="12085" spans="1:4" x14ac:dyDescent="0.3">
      <c r="A12085" s="1" t="str">
        <f>"01011502400"</f>
        <v>01011502400</v>
      </c>
      <c r="B12085" s="1" t="str">
        <f>"STEPP JAMES ELLIS"</f>
        <v>STEPP JAMES ELLIS</v>
      </c>
      <c r="C12085" s="1" t="str">
        <f>"LEWIS ACRES .158 R22 T4 S3 LOT 4"</f>
        <v>LEWIS ACRES .158 R22 T4 S3 LOT 4</v>
      </c>
      <c r="D12085" s="1">
        <v>1117.18</v>
      </c>
    </row>
    <row r="12086" spans="1:4" x14ac:dyDescent="0.3">
      <c r="A12086" s="1" t="str">
        <f>"01024139100"</f>
        <v>01024139100</v>
      </c>
      <c r="B12086" s="1" t="str">
        <f>"STEPP ROBERT C"</f>
        <v>STEPP ROBERT C</v>
      </c>
      <c r="C12086" s="1" t="str">
        <f>"BLENDON PARK CONDOMINIUM 9TH AMD UNIT 92A"</f>
        <v>BLENDON PARK CONDOMINIUM 9TH AMD UNIT 92A</v>
      </c>
      <c r="D12086" s="1">
        <v>133.46</v>
      </c>
    </row>
    <row r="12087" spans="1:4" x14ac:dyDescent="0.3">
      <c r="A12087" s="1" t="str">
        <f>"53024300100"</f>
        <v>53024300100</v>
      </c>
      <c r="B12087" s="1" t="str">
        <f>"STEPPING STONE HEALTH SERVICES LLC"</f>
        <v>STEPPING STONE HEALTH SERVICES LLC</v>
      </c>
      <c r="C12087" s="1" t="str">
        <f>"BRICE ROAD R21 T12 S25 1/4S44 0.717 ACRE"</f>
        <v>BRICE ROAD R21 T12 S25 1/4S44 0.717 ACRE</v>
      </c>
      <c r="D12087" s="1">
        <v>2537.19</v>
      </c>
    </row>
    <row r="12088" spans="1:4" x14ac:dyDescent="0.3">
      <c r="A12088" s="1" t="str">
        <f>"53023807800"</f>
        <v>53023807800</v>
      </c>
      <c r="B12088" s="1" t="str">
        <f>"STEPPING STONE HEALTH SERVICES LLC"</f>
        <v>STEPPING STONE HEALTH SERVICES LLC</v>
      </c>
      <c r="C12088" s="1" t="str">
        <f>"BRICE ROAD R21 T12 S25 1/4S44 0.356 ACRES"</f>
        <v>BRICE ROAD R21 T12 S25 1/4S44 0.356 ACRES</v>
      </c>
      <c r="D12088" s="1">
        <v>1259.04</v>
      </c>
    </row>
    <row r="12089" spans="1:4" x14ac:dyDescent="0.3">
      <c r="A12089" s="1" t="str">
        <f>"01008330500"</f>
        <v>01008330500</v>
      </c>
      <c r="B12089" s="1" t="str">
        <f>"STERLING PROPERTIES AND INVESTMENTS INC"</f>
        <v>STERLING PROPERTIES AND INVESTMENTS INC</v>
      </c>
      <c r="C12089" s="1" t="str">
        <f>"AZELDA ST SUNNYSIDE LOT 151"</f>
        <v>AZELDA ST SUNNYSIDE LOT 151</v>
      </c>
      <c r="D12089" s="1">
        <v>537.04999999999995</v>
      </c>
    </row>
    <row r="12090" spans="1:4" x14ac:dyDescent="0.3">
      <c r="A12090" s="1" t="str">
        <f>"24000598000"</f>
        <v>24000598000</v>
      </c>
      <c r="B12090" s="1" t="str">
        <f>"STEVENS CLARA M"</f>
        <v>STEVENS CLARA M</v>
      </c>
      <c r="C12090" s="1" t="str">
        <f>"GLENFORD VILL CONDMN UNIT 15-H "</f>
        <v xml:space="preserve">GLENFORD VILL CONDMN UNIT 15-H </v>
      </c>
      <c r="D12090" s="1">
        <v>46.94</v>
      </c>
    </row>
    <row r="12091" spans="1:4" x14ac:dyDescent="0.3">
      <c r="A12091" s="1" t="str">
        <f>"24000554400"</f>
        <v>24000554400</v>
      </c>
      <c r="B12091" s="1" t="str">
        <f>"STEVENS HELEN R, MOSS DELLA L"</f>
        <v>STEVENS HELEN R, MOSS DELLA L</v>
      </c>
      <c r="C12091" s="1" t="str">
        <f>"VILLAGE PARK BIRCH PARK DRIVE LOT 76"</f>
        <v>VILLAGE PARK BIRCH PARK DRIVE LOT 76</v>
      </c>
      <c r="D12091" s="1">
        <v>3313.92</v>
      </c>
    </row>
    <row r="12092" spans="1:4" x14ac:dyDescent="0.3">
      <c r="A12092" s="1" t="str">
        <f>"01001938600"</f>
        <v>01001938600</v>
      </c>
      <c r="B12092" s="1" t="str">
        <f>"STEVENS LATONIA Y"</f>
        <v>STEVENS LATONIA Y</v>
      </c>
      <c r="C12092" s="1" t="str">
        <f>"RR E LONG ST 60X242.5FT S E OF NS "</f>
        <v xml:space="preserve">RR E LONG ST 60X242.5FT S E OF NS </v>
      </c>
      <c r="D12092" s="1">
        <v>619.44000000000005</v>
      </c>
    </row>
    <row r="12093" spans="1:4" x14ac:dyDescent="0.3">
      <c r="A12093" s="1" t="str">
        <f>"10000294300"</f>
        <v>10000294300</v>
      </c>
      <c r="B12093" s="1" t="str">
        <f>"STEVENS LINDA B TR"</f>
        <v>STEVENS LINDA B TR</v>
      </c>
      <c r="C12093" s="1" t="str">
        <f>"481 N RIDGEDALE DR WILSON HILL 4 LOT 149"</f>
        <v>481 N RIDGEDALE DR WILSON HILL 4 LOT 149</v>
      </c>
      <c r="D12093" s="1">
        <v>9511.7999999999993</v>
      </c>
    </row>
    <row r="12094" spans="1:4" x14ac:dyDescent="0.3">
      <c r="A12094" s="1" t="str">
        <f>"01007960000"</f>
        <v>01007960000</v>
      </c>
      <c r="B12094" s="1" t="str">
        <f>"STEVENS MILES M"</f>
        <v>STEVENS MILES M</v>
      </c>
      <c r="C12094" s="1" t="str">
        <f>"24TH AVE INNIS ORCHARD LOT 2-3"</f>
        <v>24TH AVE INNIS ORCHARD LOT 2-3</v>
      </c>
      <c r="D12094" s="1">
        <v>979.97</v>
      </c>
    </row>
    <row r="12095" spans="1:4" x14ac:dyDescent="0.3">
      <c r="A12095" s="1" t="str">
        <f>"04001788800"</f>
        <v>04001788800</v>
      </c>
      <c r="B12095" s="1" t="str">
        <f>"STEVENS PHILLIP JAMES, KIRKPATRICK KELSEY ERICA"</f>
        <v>STEVENS PHILLIP JAMES, KIRKPATRICK KELSEY ERICA</v>
      </c>
      <c r="C12095" s="1" t="str">
        <f>"FARMSTEAD PHASE 5A LOT 229 "</f>
        <v xml:space="preserve">FARMSTEAD PHASE 5A LOT 229 </v>
      </c>
      <c r="D12095" s="1">
        <v>1691.78</v>
      </c>
    </row>
    <row r="12096" spans="1:4" x14ac:dyDescent="0.3">
      <c r="A12096" s="1" t="str">
        <f>"01019438300"</f>
        <v>01019438300</v>
      </c>
      <c r="B12096" s="1" t="str">
        <f>"STEVENS RICHARD A, HARRISON KEITH"</f>
        <v>STEVENS RICHARD A, HARRISON KEITH</v>
      </c>
      <c r="C12096" s="1" t="str">
        <f>"1540-203 SLADE AVE NORTHAMPTON VILLAGE CONDO PH1 BLDG 5 UNIT 115"</f>
        <v>1540-203 SLADE AVE NORTHAMPTON VILLAGE CONDO PH1 BLDG 5 UNIT 115</v>
      </c>
      <c r="D12096" s="1">
        <v>534.9</v>
      </c>
    </row>
    <row r="12097" spans="1:4" x14ac:dyDescent="0.3">
      <c r="A12097" s="1" t="str">
        <f>"24000396900"</f>
        <v>24000396900</v>
      </c>
      <c r="B12097" s="1" t="str">
        <f>"STEVENS ROBERT D"</f>
        <v>STEVENS ROBERT D</v>
      </c>
      <c r="C12097" s="1" t="str">
        <f>"TOPSFIELD RD LINCOLN VILLAGE 829 "</f>
        <v xml:space="preserve">TOPSFIELD RD LINCOLN VILLAGE 829 </v>
      </c>
      <c r="D12097" s="1">
        <v>646.96</v>
      </c>
    </row>
    <row r="12098" spans="1:4" x14ac:dyDescent="0.3">
      <c r="A12098" s="1" t="str">
        <f>"01014147900"</f>
        <v>01014147900</v>
      </c>
      <c r="B12098" s="1" t="str">
        <f>"STEVENS TARINA"</f>
        <v>STEVENS TARINA</v>
      </c>
      <c r="C12098" s="1" t="str">
        <f>"PENFIELD RD HAVILAND 5 LOT 243"</f>
        <v>PENFIELD RD HAVILAND 5 LOT 243</v>
      </c>
      <c r="D12098" s="1">
        <v>1807.39</v>
      </c>
    </row>
    <row r="12099" spans="1:4" x14ac:dyDescent="0.3">
      <c r="A12099" s="1" t="str">
        <f>"01028383200"</f>
        <v>01028383200</v>
      </c>
      <c r="B12099" s="1" t="str">
        <f>"STEVENS WILLIAM J, STEVENS KATE E"</f>
        <v>STEVENS WILLIAM J, STEVENS KATE E</v>
      </c>
      <c r="C12099" s="1" t="str">
        <f>"845 N HIGH ST # 847       THE DAKOTA CONDOMINIUM    UNIT 847                 "</f>
        <v xml:space="preserve">845 N HIGH ST # 847       THE DAKOTA CONDOMINIUM    UNIT 847                 </v>
      </c>
      <c r="D12099" s="1">
        <v>86.96</v>
      </c>
    </row>
    <row r="12100" spans="1:4" x14ac:dyDescent="0.3">
      <c r="A12100" s="1" t="str">
        <f>"01002398700"</f>
        <v>01002398700</v>
      </c>
      <c r="B12100" s="1" t="str">
        <f>"STEVERSON STEPHEN URICH"</f>
        <v>STEVERSON STEPHEN URICH</v>
      </c>
      <c r="C12100" s="1" t="str">
        <f>"HAGUE AVE N1/2 L461&amp; ALL L460 CAMP CHASE HTS LOT 460-61"</f>
        <v>HAGUE AVE N1/2 L461&amp; ALL L460 CAMP CHASE HTS LOT 460-61</v>
      </c>
      <c r="D12100" s="1">
        <v>1228.67</v>
      </c>
    </row>
    <row r="12101" spans="1:4" x14ac:dyDescent="0.3">
      <c r="A12101" s="1" t="str">
        <f>"01002415100"</f>
        <v>01002415100</v>
      </c>
      <c r="B12101" s="1" t="str">
        <f>"STEWART EDWARD T III, STEWART SAVANNAH A"</f>
        <v>STEWART EDWARD T III, STEWART SAVANNAH A</v>
      </c>
      <c r="C12101" s="1" t="str">
        <f>"250 S BURGESSAVE LANDSCAPE LOT 303"</f>
        <v>250 S BURGESSAVE LANDSCAPE LOT 303</v>
      </c>
      <c r="D12101" s="1">
        <v>3435.94</v>
      </c>
    </row>
    <row r="12102" spans="1:4" x14ac:dyDescent="0.3">
      <c r="A12102" s="1" t="str">
        <f>"01013782800"</f>
        <v>01013782800</v>
      </c>
      <c r="B12102" s="1" t="str">
        <f>"STEWART HARLEY M, STEWART IVA J"</f>
        <v>STEWART HARLEY M, STEWART IVA J</v>
      </c>
      <c r="C12102" s="1" t="str">
        <f>"AMBLESIDE DR DEVONSHIRE 4 LOT 410"</f>
        <v>AMBLESIDE DR DEVONSHIRE 4 LOT 410</v>
      </c>
      <c r="D12102" s="1">
        <v>4883.6000000000004</v>
      </c>
    </row>
    <row r="12103" spans="1:4" x14ac:dyDescent="0.3">
      <c r="A12103" s="1" t="str">
        <f>"01008859800"</f>
        <v>01008859800</v>
      </c>
      <c r="B12103" s="1" t="str">
        <f>"STEWART JAMES"</f>
        <v>STEWART JAMES</v>
      </c>
      <c r="C12103" s="1" t="str">
        <f>"WAVERLY ST MAIN ST TERRACE LOT 298"</f>
        <v>WAVERLY ST MAIN ST TERRACE LOT 298</v>
      </c>
      <c r="D12103" s="1">
        <v>1159.51</v>
      </c>
    </row>
    <row r="12104" spans="1:4" x14ac:dyDescent="0.3">
      <c r="A12104" s="1" t="str">
        <f>"24000560000"</f>
        <v>24000560000</v>
      </c>
      <c r="B12104" s="1" t="str">
        <f>"STEWART JAMIE L"</f>
        <v>STEWART JAMIE L</v>
      </c>
      <c r="C12104" s="1" t="str">
        <f>"VILLAGE PARK BIRCH PARK WAY LOT 132"</f>
        <v>VILLAGE PARK BIRCH PARK WAY LOT 132</v>
      </c>
      <c r="D12104" s="1">
        <v>2168.71</v>
      </c>
    </row>
    <row r="12105" spans="1:4" x14ac:dyDescent="0.3">
      <c r="A12105" s="1" t="str">
        <f>"01011039700"</f>
        <v>01011039700</v>
      </c>
      <c r="B12105" s="1" t="str">
        <f>"STEWART JENNIFER A TR, STEWART JAMES R TR"</f>
        <v>STEWART JENNIFER A TR, STEWART JAMES R TR</v>
      </c>
      <c r="C12105" s="1" t="str">
        <f>"CHARLESTON AVE 20FT WS SHARON HTS LOT 32"</f>
        <v>CHARLESTON AVE 20FT WS SHARON HTS LOT 32</v>
      </c>
      <c r="D12105" s="1">
        <v>630.23</v>
      </c>
    </row>
    <row r="12106" spans="1:4" x14ac:dyDescent="0.3">
      <c r="A12106" s="1" t="str">
        <f>"01011039600"</f>
        <v>01011039600</v>
      </c>
      <c r="B12106" s="1" t="str">
        <f>"STEWART JENNIFER A TR, STEWART JAMES R TR"</f>
        <v>STEWART JENNIFER A TR, STEWART JAMES R TR</v>
      </c>
      <c r="C12106" s="1" t="str">
        <f>"CHARLESTON AVE SHARON HTS LOT 31"</f>
        <v>CHARLESTON AVE SHARON HTS LOT 31</v>
      </c>
      <c r="D12106" s="1">
        <v>8257.0499999999993</v>
      </c>
    </row>
    <row r="12107" spans="1:4" x14ac:dyDescent="0.3">
      <c r="A12107" s="1" t="str">
        <f>"01002783200"</f>
        <v>01002783200</v>
      </c>
      <c r="B12107" s="1" t="str">
        <f>"STEWART JOSEPH C, STEWART JOSEPH G"</f>
        <v>STEWART JOSEPH C, STEWART JOSEPH G</v>
      </c>
      <c r="C12107" s="1" t="str">
        <f>"SHERIDAN ST HUGHES PT LOT 7"</f>
        <v>SHERIDAN ST HUGHES PT LOT 7</v>
      </c>
      <c r="D12107" s="1">
        <v>687.88</v>
      </c>
    </row>
    <row r="12108" spans="1:4" x14ac:dyDescent="0.3">
      <c r="A12108" s="1" t="str">
        <f>"18000503700"</f>
        <v>18000503700</v>
      </c>
      <c r="B12108" s="1" t="str">
        <f>"STEWART KENNETH H"</f>
        <v>STEWART KENNETH H</v>
      </c>
      <c r="C12108" s="1" t="str">
        <f>"GROVEPORT PIKE R21 T11 S27 2.00 ACRES"</f>
        <v>GROVEPORT PIKE R21 T11 S27 2.00 ACRES</v>
      </c>
      <c r="D12108" s="1">
        <v>2865.26</v>
      </c>
    </row>
    <row r="12109" spans="1:4" x14ac:dyDescent="0.3">
      <c r="A12109" s="1" t="str">
        <f>"23000291300"</f>
        <v>23000291300</v>
      </c>
      <c r="B12109" s="1" t="str">
        <f>"STEWART KENNETH H, STEWART DENISE K"</f>
        <v>STEWART KENNETH H, STEWART DENISE K</v>
      </c>
      <c r="C12109" s="1" t="str">
        <f>"DENTON ROAD ENTRY 931 38.3803 ACRES"</f>
        <v>DENTON ROAD ENTRY 931 38.3803 ACRES</v>
      </c>
      <c r="D12109" s="1">
        <v>7825.99</v>
      </c>
    </row>
    <row r="12110" spans="1:4" x14ac:dyDescent="0.3">
      <c r="A12110" s="1" t="str">
        <f>"01028135200"</f>
        <v>01028135200</v>
      </c>
      <c r="B12110" s="1" t="str">
        <f>"STEWART LEE VERN"</f>
        <v>STEWART LEE VERN</v>
      </c>
      <c r="C12110" s="1" t="str">
        <f>"6297 GREENHAVEN AVENUE GREAT OAK SUBDIVISION LOT 6"</f>
        <v>6297 GREENHAVEN AVENUE GREAT OAK SUBDIVISION LOT 6</v>
      </c>
      <c r="D12110" s="1">
        <v>314.97000000000003</v>
      </c>
    </row>
    <row r="12111" spans="1:4" x14ac:dyDescent="0.3">
      <c r="A12111" s="1" t="str">
        <f>"01008071500"</f>
        <v>01008071500</v>
      </c>
      <c r="B12111" s="1" t="str">
        <f>"STEWART ROGER W TTEE, STEWART LISA E TTEE"</f>
        <v>STEWART ROGER W TTEE, STEWART LISA E TTEE</v>
      </c>
      <c r="C12111" s="1" t="str">
        <f>"1043 KELTON AVE DRIVING PARK LOT 216"</f>
        <v>1043 KELTON AVE DRIVING PARK LOT 216</v>
      </c>
      <c r="D12111" s="1">
        <v>152.78</v>
      </c>
    </row>
    <row r="12112" spans="1:4" x14ac:dyDescent="0.3">
      <c r="A12112" s="1" t="str">
        <f>"05000365100"</f>
        <v>05000365100</v>
      </c>
      <c r="B12112" s="1" t="str">
        <f>"STEWART SELENA NICOLE"</f>
        <v>STEWART SELENA NICOLE</v>
      </c>
      <c r="C12112" s="1" t="str">
        <f>"2625 WILLOW GLEN RD BROOKFIELD VILLAGE SECTION 1 LOT 4"</f>
        <v>2625 WILLOW GLEN RD BROOKFIELD VILLAGE SECTION 1 LOT 4</v>
      </c>
      <c r="D12112" s="1">
        <v>459.18</v>
      </c>
    </row>
    <row r="12113" spans="1:4" x14ac:dyDescent="0.3">
      <c r="A12113" s="1" t="str">
        <f>"01003141800"</f>
        <v>01003141800</v>
      </c>
      <c r="B12113" s="1" t="str">
        <f>"STEWART SHAWN D"</f>
        <v>STEWART SHAWN D</v>
      </c>
      <c r="C12113" s="1" t="str">
        <f>"502 S HAGUE AVE WICKLOW EXT LOT 829"</f>
        <v>502 S HAGUE AVE WICKLOW EXT LOT 829</v>
      </c>
      <c r="D12113" s="1">
        <v>1781.91</v>
      </c>
    </row>
    <row r="12114" spans="1:4" x14ac:dyDescent="0.3">
      <c r="A12114" s="1" t="str">
        <f>"01015857000"</f>
        <v>01015857000</v>
      </c>
      <c r="B12114" s="1" t="str">
        <f>"STEWART-STALLINGS ANNE P"</f>
        <v>STEWART-STALLINGS ANNE P</v>
      </c>
      <c r="C12114" s="1" t="str">
        <f>"WOODCUTTER AVE WALNUT CREEK SEC 1 LOT 101"</f>
        <v>WOODCUTTER AVE WALNUT CREEK SEC 1 LOT 101</v>
      </c>
      <c r="D12114" s="1">
        <v>2202.56</v>
      </c>
    </row>
    <row r="12115" spans="1:4" x14ac:dyDescent="0.3">
      <c r="A12115" s="1" t="str">
        <f>"03000273400"</f>
        <v>03000273400</v>
      </c>
      <c r="B12115" s="1" t="str">
        <f>"STICH CHARLES THOMAS"</f>
        <v>STICH CHARLES THOMAS</v>
      </c>
      <c r="C12115" s="1" t="str">
        <f>"1000 URLIN AVE SUMMIT CHASE CONDO UNIT 1801"</f>
        <v>1000 URLIN AVE SUMMIT CHASE CONDO UNIT 1801</v>
      </c>
      <c r="D12115" s="1">
        <v>4001.55</v>
      </c>
    </row>
    <row r="12116" spans="1:4" x14ac:dyDescent="0.3">
      <c r="A12116" s="1" t="str">
        <f>"15200044400"</f>
        <v>15200044400</v>
      </c>
      <c r="B12116" s="1" t="str">
        <f>"STICKEL WILLIAM H"</f>
        <v>STICKEL WILLIAM H</v>
      </c>
      <c r="C12116" s="1" t="str">
        <f>"1683 CHILLICOTHE ST PT SCIOTO 6 "</f>
        <v xml:space="preserve">1683 CHILLICOTHE ST PT SCIOTO 6 </v>
      </c>
      <c r="D12116" s="1">
        <v>2476.9699999999998</v>
      </c>
    </row>
    <row r="12117" spans="1:4" x14ac:dyDescent="0.3">
      <c r="A12117" s="1" t="str">
        <f>"15200009700"</f>
        <v>15200009700</v>
      </c>
      <c r="B12117" s="1" t="str">
        <f>"STICKEL WILLIAM H"</f>
        <v>STICKEL WILLIAM H</v>
      </c>
      <c r="C12117" s="1" t="str">
        <f>"CHILLICOTHE ST PT LOT 6 SCIOTO ADD"</f>
        <v>CHILLICOTHE ST PT LOT 6 SCIOTO ADD</v>
      </c>
      <c r="D12117" s="1">
        <v>627.37</v>
      </c>
    </row>
    <row r="12118" spans="1:4" x14ac:dyDescent="0.3">
      <c r="A12118" s="1" t="str">
        <f>"17000220300"</f>
        <v>17000220300</v>
      </c>
      <c r="B12118" s="1" t="str">
        <f>"STIENECKER MARILYN K TR, STIENECKER SCOTT TR"</f>
        <v>STIENECKER MARILYN K TR, STIENECKER SCOTT TR</v>
      </c>
      <c r="C12118" s="1" t="str">
        <f>"HAVENSWOOD PLACE HAVENSWOOD LOT 3"</f>
        <v>HAVENSWOOD PLACE HAVENSWOOD LOT 3</v>
      </c>
      <c r="D12118" s="1">
        <v>16837.93</v>
      </c>
    </row>
    <row r="12119" spans="1:4" x14ac:dyDescent="0.3">
      <c r="A12119" s="1" t="str">
        <f>"01009773600"</f>
        <v>01009773600</v>
      </c>
      <c r="B12119" s="1" t="str">
        <f>"STILLS DOROTHY JEAN, ESKRIDGE FRED FREEMAN JR"</f>
        <v>STILLS DOROTHY JEAN, ESKRIDGE FRED FREEMAN JR</v>
      </c>
      <c r="C12119" s="1" t="str">
        <f>"930 E 21ST AVE HAMILTON PARK NO 4 LOT 51"</f>
        <v>930 E 21ST AVE HAMILTON PARK NO 4 LOT 51</v>
      </c>
      <c r="D12119" s="1">
        <v>1617.49</v>
      </c>
    </row>
    <row r="12120" spans="1:4" x14ac:dyDescent="0.3">
      <c r="A12120" s="1" t="str">
        <f>"01009773700"</f>
        <v>01009773700</v>
      </c>
      <c r="B12120" s="1" t="str">
        <f>"STILLS DOROTHY JEAN, ESKRIDGE FRED FREEMAN JR"</f>
        <v>STILLS DOROTHY JEAN, ESKRIDGE FRED FREEMAN JR</v>
      </c>
      <c r="C12120" s="1" t="str">
        <f>"21ST AVE HAMILTON PK NO 4 LOT 52"</f>
        <v>21ST AVE HAMILTON PK NO 4 LOT 52</v>
      </c>
      <c r="D12120" s="1">
        <v>2136.1999999999998</v>
      </c>
    </row>
    <row r="12121" spans="1:4" x14ac:dyDescent="0.3">
      <c r="A12121" s="1" t="str">
        <f>"04000601500"</f>
        <v>04000601500</v>
      </c>
      <c r="B12121" s="1" t="str">
        <f>"STIMSON WILLIAM J TR, STIMSON JERI S TR"</f>
        <v>STIMSON WILLIAM J TR, STIMSON JERI S TR</v>
      </c>
      <c r="C12121" s="1" t="str">
        <f>"00 BUCKEYE PATH S INDIAN TRAILS EAST LOT 15"</f>
        <v>00 BUCKEYE PATH S INDIAN TRAILS EAST LOT 15</v>
      </c>
      <c r="D12121" s="1">
        <v>5.5</v>
      </c>
    </row>
    <row r="12122" spans="1:4" x14ac:dyDescent="0.3">
      <c r="A12122" s="1" t="str">
        <f>"01000430800"</f>
        <v>01000430800</v>
      </c>
      <c r="B12122" s="1" t="str">
        <f>"STINSON LORRAINE"</f>
        <v>STINSON LORRAINE</v>
      </c>
      <c r="C12122" s="1" t="str">
        <f>"1189 STUDER AVE HALLIDAYS STUDER PL LOT 25"</f>
        <v>1189 STUDER AVE HALLIDAYS STUDER PL LOT 25</v>
      </c>
      <c r="D12122" s="1">
        <v>2329.4499999999998</v>
      </c>
    </row>
    <row r="12123" spans="1:4" x14ac:dyDescent="0.3">
      <c r="A12123" s="1" t="str">
        <f>"01011524600"</f>
        <v>01011524600</v>
      </c>
      <c r="B12123" s="1" t="str">
        <f>"STIRES KARI J"</f>
        <v>STIRES KARI J</v>
      </c>
      <c r="C12123" s="1" t="str">
        <f>"1090 WILLIAMS RD R22T4S10 .7661 ACRE"</f>
        <v>1090 WILLIAMS RD R22T4S10 .7661 ACRE</v>
      </c>
      <c r="D12123" s="1">
        <v>3508.49</v>
      </c>
    </row>
    <row r="12124" spans="1:4" x14ac:dyDescent="0.3">
      <c r="A12124" s="1" t="str">
        <f>"01011246900"</f>
        <v>01011246900</v>
      </c>
      <c r="B12124" s="1" t="str">
        <f>"STITES JESSICA M"</f>
        <v>STITES JESSICA M</v>
      </c>
      <c r="C12124" s="1" t="str">
        <f>"COLTON RD ACRE0.414&amp;15SEC4URP R.22T.4S.10"</f>
        <v>COLTON RD ACRE0.414&amp;15SEC4URP R.22T.4S.10</v>
      </c>
      <c r="D12124" s="1">
        <v>3023.88</v>
      </c>
    </row>
    <row r="12125" spans="1:4" x14ac:dyDescent="0.3">
      <c r="A12125" s="1" t="str">
        <f>"01008030100"</f>
        <v>01008030100</v>
      </c>
      <c r="B12125" s="1" t="str">
        <f>"STITT BETTY J"</f>
        <v>STITT BETTY J</v>
      </c>
      <c r="C12125" s="1" t="str">
        <f>"SEYMOUR AVE LENOX LOT 103"</f>
        <v>SEYMOUR AVE LENOX LOT 103</v>
      </c>
      <c r="D12125" s="1">
        <v>93.76</v>
      </c>
    </row>
    <row r="12126" spans="1:4" x14ac:dyDescent="0.3">
      <c r="A12126" s="1" t="str">
        <f>"01007600300"</f>
        <v>01007600300</v>
      </c>
      <c r="B12126" s="1" t="str">
        <f>"STIVERS GERALD E, STIVERS POLLY B"</f>
        <v>STIVERS GERALD E, STIVERS POLLY B</v>
      </c>
      <c r="C12126" s="1" t="str">
        <f>"AZELDA AVE LOT ALMADA LOT 456"</f>
        <v>AZELDA AVE LOT ALMADA LOT 456</v>
      </c>
      <c r="D12126" s="1">
        <v>770.85</v>
      </c>
    </row>
    <row r="12127" spans="1:4" x14ac:dyDescent="0.3">
      <c r="A12127" s="1" t="str">
        <f>"27300010000"</f>
        <v>27300010000</v>
      </c>
      <c r="B12127" s="1" t="str">
        <f>"STJ319 HOLDINGS LLC"</f>
        <v>STJ319 HOLDINGS LLC</v>
      </c>
      <c r="C12127" s="1" t="str">
        <f>"HIGH ST 130  "</f>
        <v xml:space="preserve">HIGH ST 130  </v>
      </c>
      <c r="D12127" s="1">
        <v>632.16</v>
      </c>
    </row>
    <row r="12128" spans="1:4" x14ac:dyDescent="0.3">
      <c r="A12128" s="1" t="str">
        <f>"18400249500"</f>
        <v>18400249500</v>
      </c>
      <c r="B12128" s="1" t="str">
        <f>"STOCK DAVID J, STOCK KATHY S"</f>
        <v>STOCK DAVID J, STOCK KATHY S</v>
      </c>
      <c r="C12128" s="1" t="str">
        <f>"BROMFIELD DRIVE VILLAGES AT WESTCHESTER SECTION 8 LOT 479"</f>
        <v>BROMFIELD DRIVE VILLAGES AT WESTCHESTER SECTION 8 LOT 479</v>
      </c>
      <c r="D12128" s="1">
        <v>3349.79</v>
      </c>
    </row>
    <row r="12129" spans="1:4" x14ac:dyDescent="0.3">
      <c r="A12129" s="1" t="str">
        <f>"56018975100"</f>
        <v>56018975100</v>
      </c>
      <c r="B12129" s="1" t="str">
        <f>"STOCKER JONATHAN A, STOCKER CHRISTINA M"</f>
        <v>STOCKER JONATHAN A, STOCKER CHRISTINA M</v>
      </c>
      <c r="C12129" s="1" t="str">
        <f>"RAVENGLASS CT VILL HAYDEN RUN 1 LOT 19"</f>
        <v>RAVENGLASS CT VILL HAYDEN RUN 1 LOT 19</v>
      </c>
      <c r="D12129" s="1">
        <v>347.5</v>
      </c>
    </row>
    <row r="12130" spans="1:4" x14ac:dyDescent="0.3">
      <c r="A12130" s="1" t="str">
        <f>"01019523300"</f>
        <v>01019523300</v>
      </c>
      <c r="B12130" s="1" t="str">
        <f>"STOCKSTILL LOWELL E III"</f>
        <v>STOCKSTILL LOWELL E III</v>
      </c>
      <c r="C12130" s="1" t="str">
        <f>"E BROAD ST PARK TOWERS CONDO UNIT 1004"</f>
        <v>E BROAD ST PARK TOWERS CONDO UNIT 1004</v>
      </c>
      <c r="D12130" s="1">
        <v>149.97</v>
      </c>
    </row>
    <row r="12131" spans="1:4" x14ac:dyDescent="0.3">
      <c r="A12131" s="1" t="str">
        <f>"56023682700"</f>
        <v>56023682700</v>
      </c>
      <c r="B12131" s="1" t="str">
        <f>"STOCKTON SONJA L"</f>
        <v>STOCKTON SONJA L</v>
      </c>
      <c r="C12131" s="1" t="str">
        <f>"TENAGRA WAY TRABUE WOODS SEC 3 PART 1 LOT 115"</f>
        <v>TENAGRA WAY TRABUE WOODS SEC 3 PART 1 LOT 115</v>
      </c>
      <c r="D12131" s="1">
        <v>2907.71</v>
      </c>
    </row>
    <row r="12132" spans="1:4" x14ac:dyDescent="0.3">
      <c r="A12132" s="1" t="str">
        <f>"02000252400"</f>
        <v>02000252400</v>
      </c>
      <c r="B12132" s="1" t="str">
        <f>"STOKES EMILY KATHRYN, GRISHAM JOHN MATTHEW"</f>
        <v>STOKES EMILY KATHRYN, GRISHAM JOHN MATTHEW</v>
      </c>
      <c r="C12132" s="1" t="str">
        <f>"823 REMINGTON RD RIDERS LOT 339"</f>
        <v>823 REMINGTON RD RIDERS LOT 339</v>
      </c>
      <c r="D12132" s="1">
        <v>355.27</v>
      </c>
    </row>
    <row r="12133" spans="1:4" x14ac:dyDescent="0.3">
      <c r="A12133" s="1" t="str">
        <f>"01006561400"</f>
        <v>01006561400</v>
      </c>
      <c r="B12133" s="1" t="str">
        <f>"STOKES ROBERT L JR"</f>
        <v>STOKES ROBERT L JR</v>
      </c>
      <c r="C12133" s="1" t="str">
        <f>"92 HALDY AVE COLUMBIA PK ANNEX LOT 71"</f>
        <v>92 HALDY AVE COLUMBIA PK ANNEX LOT 71</v>
      </c>
      <c r="D12133" s="1">
        <v>161.24</v>
      </c>
    </row>
    <row r="12134" spans="1:4" x14ac:dyDescent="0.3">
      <c r="A12134" s="1" t="str">
        <f>"01023227400"</f>
        <v>01023227400</v>
      </c>
      <c r="B12134" s="1" t="str">
        <f>"STOKES SHELIA A"</f>
        <v>STOKES SHELIA A</v>
      </c>
      <c r="C12134" s="1" t="str">
        <f>"2932 BRIDGEWALK ST HICKORY RIDGE CONDO UNIT 13-2932"</f>
        <v>2932 BRIDGEWALK ST HICKORY RIDGE CONDO UNIT 13-2932</v>
      </c>
      <c r="D12134" s="1">
        <v>605.28</v>
      </c>
    </row>
    <row r="12135" spans="1:4" x14ac:dyDescent="0.3">
      <c r="A12135" s="1" t="str">
        <f>"57017417800"</f>
        <v>57017417800</v>
      </c>
      <c r="B12135" s="1" t="str">
        <f>"STOLLARD EDWARD L, STOLLARD GINA A"</f>
        <v>STOLLARD EDWARD L, STOLLARD GINA A</v>
      </c>
      <c r="C12135" s="1" t="str">
        <f>"SILVERTREE DR LAUREL GREENE S4 PH1 LOT 380"</f>
        <v>SILVERTREE DR LAUREL GREENE S4 PH1 LOT 380</v>
      </c>
      <c r="D12135" s="1">
        <v>257.23</v>
      </c>
    </row>
    <row r="12136" spans="1:4" x14ac:dyDescent="0.3">
      <c r="A12136" s="1" t="str">
        <f>"17000132600"</f>
        <v>17000132600</v>
      </c>
      <c r="B12136" s="1" t="str">
        <f>"STONE BENJAMIN R TTEE, KEENER MATTHEW T TTEE"</f>
        <v>STONE BENJAMIN R TTEE, KEENER MATTHEW T TTEE</v>
      </c>
      <c r="C12136" s="1" t="str">
        <f>"3111 GREY FOX DRIVE RED FOX MEADOWS 2 LOT 20"</f>
        <v>3111 GREY FOX DRIVE RED FOX MEADOWS 2 LOT 20</v>
      </c>
      <c r="D12136" s="1">
        <v>531.29999999999995</v>
      </c>
    </row>
    <row r="12137" spans="1:4" x14ac:dyDescent="0.3">
      <c r="A12137" s="1" t="str">
        <f>"01005994300"</f>
        <v>01005994300</v>
      </c>
      <c r="B12137" s="1" t="str">
        <f>"STONE GATE PROPERTIES LLC"</f>
        <v>STONE GATE PROPERTIES LLC</v>
      </c>
      <c r="C12137" s="1" t="str">
        <f>"1535 ARLINGTON AVE WALDON LOT 83"</f>
        <v>1535 ARLINGTON AVE WALDON LOT 83</v>
      </c>
      <c r="D12137" s="1">
        <v>2862.21</v>
      </c>
    </row>
    <row r="12138" spans="1:4" x14ac:dyDescent="0.3">
      <c r="A12138" s="1" t="str">
        <f>"01010893600"</f>
        <v>01010893600</v>
      </c>
      <c r="B12138" s="1" t="str">
        <f>"STONE GATE PROPERTIES LLC"</f>
        <v>STONE GATE PROPERTIES LLC</v>
      </c>
      <c r="C12138" s="1" t="str">
        <f>"CENTURY DR ARLINGTON PK TR 1 LOT 131"</f>
        <v>CENTURY DR ARLINGTON PK TR 1 LOT 131</v>
      </c>
      <c r="D12138" s="1">
        <v>2100.44</v>
      </c>
    </row>
    <row r="12139" spans="1:4" x14ac:dyDescent="0.3">
      <c r="A12139" s="1" t="str">
        <f>"01012386300"</f>
        <v>01012386300</v>
      </c>
      <c r="B12139" s="1" t="str">
        <f>"STONE GATE PROPERTIES LLC"</f>
        <v>STONE GATE PROPERTIES LLC</v>
      </c>
      <c r="C12139" s="1" t="str">
        <f>"HILLGATE RD HILLGATE 3 LOT 93"</f>
        <v>HILLGATE RD HILLGATE 3 LOT 93</v>
      </c>
      <c r="D12139" s="1">
        <v>30</v>
      </c>
    </row>
    <row r="12140" spans="1:4" x14ac:dyDescent="0.3">
      <c r="A12140" s="1" t="str">
        <f>"53018404800"</f>
        <v>53018404800</v>
      </c>
      <c r="B12140" s="1" t="str">
        <f>"STONE JAMIE C"</f>
        <v>STONE JAMIE C</v>
      </c>
      <c r="C12140" s="1" t="str">
        <f>"SPRINGTIME CT MADISON MILLS SEC 6 LOT 393"</f>
        <v>SPRINGTIME CT MADISON MILLS SEC 6 LOT 393</v>
      </c>
      <c r="D12140" s="1">
        <v>2987.52</v>
      </c>
    </row>
    <row r="12141" spans="1:4" x14ac:dyDescent="0.3">
      <c r="A12141" s="1" t="str">
        <f>"11300001400"</f>
        <v>11300001400</v>
      </c>
      <c r="B12141" s="1" t="str">
        <f>"STONE KAI"</f>
        <v>STONE KAI</v>
      </c>
      <c r="C12141" s="1" t="str">
        <f>"MAPLEWOOD DR MINERVA PARK 29 "</f>
        <v xml:space="preserve">MAPLEWOOD DR MINERVA PARK 29 </v>
      </c>
      <c r="D12141" s="1">
        <v>2824.03</v>
      </c>
    </row>
    <row r="12142" spans="1:4" x14ac:dyDescent="0.3">
      <c r="A12142" s="1" t="str">
        <f>"07000882600"</f>
        <v>07000882600</v>
      </c>
      <c r="B12142" s="1" t="str">
        <f>"STONE LORIE R"</f>
        <v>STONE LORIE R</v>
      </c>
      <c r="C12142" s="1" t="str">
        <f>"1551 TRENTWOOD RD WAKEFIELD FOREST 12 BLK 305"</f>
        <v>1551 TRENTWOOD RD WAKEFIELD FOREST 12 BLK 305</v>
      </c>
      <c r="D12142" s="1">
        <v>564.51</v>
      </c>
    </row>
    <row r="12143" spans="1:4" x14ac:dyDescent="0.3">
      <c r="A12143" s="1" t="str">
        <f>"04000591700"</f>
        <v>04000591700</v>
      </c>
      <c r="B12143" s="1" t="str">
        <f>"STONE RONNIE E"</f>
        <v>STONE RONNIE E</v>
      </c>
      <c r="C12143" s="1" t="str">
        <f>"6397 SAUK COURT INDIAN TRAILS SEC #4 LOT 275"</f>
        <v>6397 SAUK COURT INDIAN TRAILS SEC #4 LOT 275</v>
      </c>
      <c r="D12143" s="1">
        <v>312.41000000000003</v>
      </c>
    </row>
    <row r="12144" spans="1:4" x14ac:dyDescent="0.3">
      <c r="A12144" s="1" t="str">
        <f>"01003922300"</f>
        <v>01003922300</v>
      </c>
      <c r="B12144" s="1" t="str">
        <f>"STONE SAM"</f>
        <v>STONE SAM</v>
      </c>
      <c r="C12144" s="1" t="str">
        <f>"409-11 MORRISON AVE MORRISON PARK LOT 82"</f>
        <v>409-11 MORRISON AVE MORRISON PARK LOT 82</v>
      </c>
      <c r="D12144" s="1">
        <v>84.35</v>
      </c>
    </row>
    <row r="12145" spans="1:4" x14ac:dyDescent="0.3">
      <c r="A12145" s="1" t="str">
        <f>"02500850400"</f>
        <v>02500850400</v>
      </c>
      <c r="B12145" s="1" t="str">
        <f>"STORCH KORY J, STORCH MELISSA M"</f>
        <v>STORCH KORY J, STORCH MELISSA M</v>
      </c>
      <c r="C12145" s="1" t="str">
        <f>"VENETIAN WAY HENSEL WOODS NORTH LOT 18"</f>
        <v>VENETIAN WAY HENSEL WOODS NORTH LOT 18</v>
      </c>
      <c r="D12145" s="1">
        <v>5397.94</v>
      </c>
    </row>
    <row r="12146" spans="1:4" x14ac:dyDescent="0.3">
      <c r="A12146" s="1" t="str">
        <f>"52010078900"</f>
        <v>52010078900</v>
      </c>
      <c r="B12146" s="1" t="str">
        <f>"STORE MASTER FUNDING XXVII LLC"</f>
        <v>STORE MASTER FUNDING XXVII LLC</v>
      </c>
      <c r="C12146" s="1" t="str">
        <f>"COLS &amp; GRANVILLE RD R16 T1 1/4T3 3.1427 ACRES"</f>
        <v>COLS &amp; GRANVILLE RD R16 T1 1/4T3 3.1427 ACRES</v>
      </c>
      <c r="D12146" s="1">
        <v>129951.4</v>
      </c>
    </row>
    <row r="12147" spans="1:4" x14ac:dyDescent="0.3">
      <c r="A12147" s="1" t="str">
        <f>"01008838000"</f>
        <v>01008838000</v>
      </c>
      <c r="B12147" s="1" t="str">
        <f>"STORE MASTER FUNDING XXVII LLC"</f>
        <v>STORE MASTER FUNDING XXVII LLC</v>
      </c>
      <c r="C12147" s="1" t="str">
        <f>"E BROAD ST MAYFAIR LOT 3-4"</f>
        <v>E BROAD ST MAYFAIR LOT 3-4</v>
      </c>
      <c r="D12147" s="1">
        <v>21981.69</v>
      </c>
    </row>
    <row r="12148" spans="1:4" x14ac:dyDescent="0.3">
      <c r="A12148" s="1" t="str">
        <f>"01003269900"</f>
        <v>01003269900</v>
      </c>
      <c r="B12148" s="1" t="str">
        <f>"STORE MASTER FUNDING XXVII LLC"</f>
        <v>STORE MASTER FUNDING XXVII LLC</v>
      </c>
      <c r="C12148" s="1" t="str">
        <f>"863-865 W TOWN ST 76 FT NE MARTINS WESTERN L 46"</f>
        <v>863-865 W TOWN ST 76 FT NE MARTINS WESTERN L 46</v>
      </c>
      <c r="D12148" s="1">
        <v>436.48</v>
      </c>
    </row>
    <row r="12149" spans="1:4" x14ac:dyDescent="0.3">
      <c r="A12149" s="1" t="str">
        <f>"01003278800"</f>
        <v>01003278800</v>
      </c>
      <c r="B12149" s="1" t="str">
        <f>"STORE MASTER FUNDING XXVII LLC"</f>
        <v>STORE MASTER FUNDING XXVII LLC</v>
      </c>
      <c r="C12149" s="1" t="str">
        <f>"862 WALNUT ST MARTINS WESTERN LOT 46"</f>
        <v>862 WALNUT ST MARTINS WESTERN LOT 46</v>
      </c>
      <c r="D12149" s="1">
        <v>303.12</v>
      </c>
    </row>
    <row r="12150" spans="1:4" x14ac:dyDescent="0.3">
      <c r="A12150" s="1" t="str">
        <f>"01004352300"</f>
        <v>01004352300</v>
      </c>
      <c r="B12150" s="1" t="str">
        <f>"STORE MASTER FUNDING XXVII LLC"</f>
        <v>STORE MASTER FUNDING XXVII LLC</v>
      </c>
      <c r="C12150" s="1" t="str">
        <f>"867 W TOWN ST MARTINS WESTERN LOT 47"</f>
        <v>867 W TOWN ST MARTINS WESTERN LOT 47</v>
      </c>
      <c r="D12150" s="1">
        <v>44748.86</v>
      </c>
    </row>
    <row r="12151" spans="1:4" x14ac:dyDescent="0.3">
      <c r="A12151" s="1" t="str">
        <f>"01003250700"</f>
        <v>01003250700</v>
      </c>
      <c r="B12151" s="1" t="str">
        <f>"STORE MASTER FUNDING XXVII LLC"</f>
        <v>STORE MASTER FUNDING XXVII LLC</v>
      </c>
      <c r="C12151" s="1" t="str">
        <f>"860R W WALNUT ST MARTINS WESTERN LOT 46"</f>
        <v>860R W WALNUT ST MARTINS WESTERN LOT 46</v>
      </c>
      <c r="D12151" s="1">
        <v>312.63</v>
      </c>
    </row>
    <row r="12152" spans="1:4" x14ac:dyDescent="0.3">
      <c r="A12152" s="1" t="str">
        <f>"01001665700"</f>
        <v>01001665700</v>
      </c>
      <c r="B12152" s="1" t="str">
        <f>"STORE MASTER FUNDING XXVII LLC"</f>
        <v>STORE MASTER FUNDING XXVII LLC</v>
      </c>
      <c r="C12152" s="1" t="str">
        <f>"855 W TOWN ST MARTINS WESTERN LOT 45"</f>
        <v>855 W TOWN ST MARTINS WESTERN LOT 45</v>
      </c>
      <c r="D12152" s="1">
        <v>501.06</v>
      </c>
    </row>
    <row r="12153" spans="1:4" x14ac:dyDescent="0.3">
      <c r="A12153" s="1" t="str">
        <f>"24000645600"</f>
        <v>24000645600</v>
      </c>
      <c r="B12153" s="1" t="str">
        <f>"STORE MASTER FUNDING XXVII LLC"</f>
        <v>STORE MASTER FUNDING XXVII LLC</v>
      </c>
      <c r="C12153" s="1" t="str">
        <f>"W BROAD ST LINCOLN VILLAGE 1.797 ACRES RES L"</f>
        <v>W BROAD ST LINCOLN VILLAGE 1.797 ACRES RES L</v>
      </c>
      <c r="D12153" s="1">
        <v>55486.45</v>
      </c>
    </row>
    <row r="12154" spans="1:4" x14ac:dyDescent="0.3">
      <c r="A12154" s="1" t="str">
        <f>"01009549500"</f>
        <v>01009549500</v>
      </c>
      <c r="B12154" s="1" t="str">
        <f>"STORTS JACK E"</f>
        <v>STORTS JACK E</v>
      </c>
      <c r="C12154" s="1" t="str">
        <f>"KARL RD KARL KNOLLS LOT 38"</f>
        <v>KARL RD KARL KNOLLS LOT 38</v>
      </c>
      <c r="D12154" s="1">
        <v>1006.25</v>
      </c>
    </row>
    <row r="12155" spans="1:4" x14ac:dyDescent="0.3">
      <c r="A12155" s="1" t="str">
        <f>"07000489800"</f>
        <v>07000489800</v>
      </c>
      <c r="B12155" s="1" t="str">
        <f>"STOWE CASEY E"</f>
        <v>STOWE CASEY E</v>
      </c>
      <c r="C12155" s="1" t="str">
        <f>"LANGHAM RD N MOUNTVIEW 15 BLK 275"</f>
        <v>LANGHAM RD N MOUNTVIEW 15 BLK 275</v>
      </c>
      <c r="D12155" s="1">
        <v>3987.12</v>
      </c>
    </row>
    <row r="12156" spans="1:4" x14ac:dyDescent="0.3">
      <c r="A12156" s="1" t="str">
        <f>"01014334100"</f>
        <v>01014334100</v>
      </c>
      <c r="B12156" s="1" t="str">
        <f>"STOWERS DARNELL"</f>
        <v>STOWERS DARNELL</v>
      </c>
      <c r="C12156" s="1" t="str">
        <f>"WYTON CT HAVILAND 9 LOT 329"</f>
        <v>WYTON CT HAVILAND 9 LOT 329</v>
      </c>
      <c r="D12156" s="1">
        <v>1707.24</v>
      </c>
    </row>
    <row r="12157" spans="1:4" x14ac:dyDescent="0.3">
      <c r="A12157" s="1" t="str">
        <f>"01013275300"</f>
        <v>01013275300</v>
      </c>
      <c r="B12157" s="1" t="str">
        <f>"STR INVESTMENTS LLC"</f>
        <v>STR INVESTMENTS LLC</v>
      </c>
      <c r="C12157" s="1" t="str">
        <f>"PAMELLA DR SILVERBROOK HTS LOT 3"</f>
        <v>PAMELLA DR SILVERBROOK HTS LOT 3</v>
      </c>
      <c r="D12157" s="1">
        <v>1423.97</v>
      </c>
    </row>
    <row r="12158" spans="1:4" x14ac:dyDescent="0.3">
      <c r="A12158" s="1" t="str">
        <f>"18400012800"</f>
        <v>18400012800</v>
      </c>
      <c r="B12158" s="1" t="str">
        <f>"STRAHAN ANNA"</f>
        <v>STRAHAN ANNA</v>
      </c>
      <c r="C12158" s="1" t="str">
        <f>"MOUND ST W 1/2- 23 1/2 X191FT MILLERS 2 23"</f>
        <v>MOUND ST W 1/2- 23 1/2 X191FT MILLERS 2 23</v>
      </c>
      <c r="D12158" s="1">
        <v>446.89</v>
      </c>
    </row>
    <row r="12159" spans="1:4" x14ac:dyDescent="0.3">
      <c r="A12159" s="1" t="str">
        <f>"57015304300"</f>
        <v>57015304300</v>
      </c>
      <c r="B12159" s="1" t="str">
        <f>"STRAIGHT MICHAEL D, STRAIGHT PATRICIA L"</f>
        <v>STRAIGHT MICHAEL D, STRAIGHT PATRICIA L</v>
      </c>
      <c r="C12159" s="1" t="str">
        <f>"CREEKSIDE DR RIVER BEND 3 LOT 298"</f>
        <v>CREEKSIDE DR RIVER BEND 3 LOT 298</v>
      </c>
      <c r="D12159" s="1">
        <v>5.93</v>
      </c>
    </row>
    <row r="12160" spans="1:4" x14ac:dyDescent="0.3">
      <c r="A12160" s="1" t="str">
        <f>"17000123100"</f>
        <v>17000123100</v>
      </c>
      <c r="B12160" s="1" t="str">
        <f>"STRAIT DANIEL R, STRAIT KIMBERLY D"</f>
        <v>STRAIT DANIEL R, STRAIT KIMBERLY D</v>
      </c>
      <c r="C12160" s="1" t="str">
        <f>"6859 TAYLOR RD S4 T1 R16 1.737 ACRES"</f>
        <v>6859 TAYLOR RD S4 T1 R16 1.737 ACRES</v>
      </c>
      <c r="D12160" s="1">
        <v>5902.18</v>
      </c>
    </row>
    <row r="12161" spans="1:4" x14ac:dyDescent="0.3">
      <c r="A12161" s="1" t="str">
        <f>"27301185300"</f>
        <v>27301185300</v>
      </c>
      <c r="B12161" s="1" t="str">
        <f>"STRATA TRUST COMPANY CUSTODIAN FBO NIKHIL HUNSHIKATTI IRA #300006233"</f>
        <v>STRATA TRUST COMPANY CUSTODIAN FBO NIKHIL HUNSHIKATTI IRA #300006233</v>
      </c>
      <c r="C12161" s="1" t="str">
        <f>"MANOR AT CRAUGHWELL       VILLAGE CONDOMINIUM       BLDG 4 UNIT 6037         "</f>
        <v xml:space="preserve">MANOR AT CRAUGHWELL       VILLAGE CONDOMINIUM       BLDG 4 UNIT 6037         </v>
      </c>
      <c r="D12161" s="1">
        <v>9.35</v>
      </c>
    </row>
    <row r="12162" spans="1:4" x14ac:dyDescent="0.3">
      <c r="A12162" s="1" t="str">
        <f>"01009185600"</f>
        <v>01009185600</v>
      </c>
      <c r="B12162" s="1" t="str">
        <f>"STRATEGICALLY ACQUIRING PROPERTY LLC"</f>
        <v>STRATEGICALLY ACQUIRING PROPERTY LLC</v>
      </c>
      <c r="C12162" s="1" t="str">
        <f>"CORDELL AVE NORLEA PARK LOT 47-48"</f>
        <v>CORDELL AVE NORLEA PARK LOT 47-48</v>
      </c>
      <c r="D12162" s="1">
        <v>1938.73</v>
      </c>
    </row>
    <row r="12163" spans="1:4" x14ac:dyDescent="0.3">
      <c r="A12163" s="1" t="str">
        <f>"01007552800"</f>
        <v>01007552800</v>
      </c>
      <c r="B12163" s="1" t="str">
        <f>"STRATEGICALLY ACQUIRING PROPERTY LLC"</f>
        <v>STRATEGICALLY ACQUIRING PROPERTY LLC</v>
      </c>
      <c r="C12163" s="1" t="str">
        <f>"ONTARIO ST HOMESTEAD HTS LOT 191"</f>
        <v>ONTARIO ST HOMESTEAD HTS LOT 191</v>
      </c>
      <c r="D12163" s="1">
        <v>2016.44</v>
      </c>
    </row>
    <row r="12164" spans="1:4" x14ac:dyDescent="0.3">
      <c r="A12164" s="1" t="str">
        <f>"07001156200"</f>
        <v>07001156200</v>
      </c>
      <c r="B12164" s="1" t="str">
        <f>"STRATTON BRADLEY A, STRATTON KELLY L"</f>
        <v>STRATTON BRADLEY A, STRATTON KELLY L</v>
      </c>
      <c r="C12164" s="1" t="str">
        <f>"4585 SHIRES COURT DUNBAR TERRACE LOT 88"</f>
        <v>4585 SHIRES COURT DUNBAR TERRACE LOT 88</v>
      </c>
      <c r="D12164" s="1">
        <v>11130.4</v>
      </c>
    </row>
    <row r="12165" spans="1:4" x14ac:dyDescent="0.3">
      <c r="A12165" s="1" t="str">
        <f>"55019127000"</f>
        <v>55019127000</v>
      </c>
      <c r="B12165" s="1" t="str">
        <f>"STRAZDINS RICKY"</f>
        <v>STRAZDINS RICKY</v>
      </c>
      <c r="C12165" s="1" t="str">
        <f>"MISTY WAY MCNAUGHTEN VILLAGE CONDO PH 2 UNIT 1833"</f>
        <v>MISTY WAY MCNAUGHTEN VILLAGE CONDO PH 2 UNIT 1833</v>
      </c>
      <c r="D12165" s="1">
        <v>814.01</v>
      </c>
    </row>
    <row r="12166" spans="1:4" x14ac:dyDescent="0.3">
      <c r="A12166" s="1" t="str">
        <f>"07000320700"</f>
        <v>07000320700</v>
      </c>
      <c r="B12166" s="1" t="str">
        <f>"STREET 8300 LLC"</f>
        <v>STREET 8300 LLC</v>
      </c>
      <c r="C12166" s="1" t="str">
        <f>"1947-53 NW BLVD KINGSWOOD LOT 8-9 BLK 165"</f>
        <v>1947-53 NW BLVD KINGSWOOD LOT 8-9 BLK 165</v>
      </c>
      <c r="D12166" s="1">
        <v>665.52</v>
      </c>
    </row>
    <row r="12167" spans="1:4" x14ac:dyDescent="0.3">
      <c r="A12167" s="1" t="str">
        <f>"07000320800"</f>
        <v>07000320800</v>
      </c>
      <c r="B12167" s="1" t="str">
        <f>"STREET 8300 LLC"</f>
        <v>STREET 8300 LLC</v>
      </c>
      <c r="C12167" s="1" t="str">
        <f>"1937-43 N W BLVD KINGSWOOD LOT 9-10 BLK 165"</f>
        <v>1937-43 N W BLVD KINGSWOOD LOT 9-10 BLK 165</v>
      </c>
      <c r="D12167" s="1">
        <v>647.46</v>
      </c>
    </row>
    <row r="12168" spans="1:4" x14ac:dyDescent="0.3">
      <c r="A12168" s="1" t="str">
        <f>"07000905800"</f>
        <v>07000905800</v>
      </c>
      <c r="B12168" s="1" t="str">
        <f>"STREET 8300 LLC"</f>
        <v>STREET 8300 LLC</v>
      </c>
      <c r="C12168" s="1" t="str">
        <f>"2858 WELLESLEY DR WALLACE F ACKLEY LOT 33"</f>
        <v>2858 WELLESLEY DR WALLACE F ACKLEY LOT 33</v>
      </c>
      <c r="D12168" s="1">
        <v>440.71</v>
      </c>
    </row>
    <row r="12169" spans="1:4" x14ac:dyDescent="0.3">
      <c r="A12169" s="1" t="str">
        <f>"07000996700"</f>
        <v>07000996700</v>
      </c>
      <c r="B12169" s="1" t="str">
        <f>"STREET SCOTT E TTEE"</f>
        <v>STREET SCOTT E TTEE</v>
      </c>
      <c r="C12169" s="1" t="str">
        <f>"2487 LYTHAM ROAD SURRY HILL N 43 "</f>
        <v xml:space="preserve">2487 LYTHAM ROAD SURRY HILL N 43 </v>
      </c>
      <c r="D12169" s="1">
        <v>526.05999999999995</v>
      </c>
    </row>
    <row r="12170" spans="1:4" x14ac:dyDescent="0.3">
      <c r="A12170" s="1" t="str">
        <f>"03000165600"</f>
        <v>03000165600</v>
      </c>
      <c r="B12170" s="1" t="str">
        <f>"STREET SCOTT E TTEE"</f>
        <v>STREET SCOTT E TTEE</v>
      </c>
      <c r="C12170" s="1" t="str">
        <f>"PALMER RD 23.75 FT S PT NORTHWEST BLVD 4 L57"</f>
        <v>PALMER RD 23.75 FT S PT NORTHWEST BLVD 4 L57</v>
      </c>
      <c r="D12170" s="1">
        <v>81.09</v>
      </c>
    </row>
    <row r="12171" spans="1:4" x14ac:dyDescent="0.3">
      <c r="A12171" s="1" t="str">
        <f>"03000076700"</f>
        <v>03000076700</v>
      </c>
      <c r="B12171" s="1" t="str">
        <f>"STREET SCOTT E TTEE"</f>
        <v>STREET SCOTT E TTEE</v>
      </c>
      <c r="C12171" s="1" t="str">
        <f>"896-898 PALMER ROAD 14.25 FT NS 57 &amp; 9.5 SS 58 NW BLVD 4"</f>
        <v>896-898 PALMER ROAD 14.25 FT NS 57 &amp; 9.5 SS 58 NW BLVD 4</v>
      </c>
      <c r="D12171" s="1">
        <v>307.92</v>
      </c>
    </row>
    <row r="12172" spans="1:4" x14ac:dyDescent="0.3">
      <c r="A12172" s="1" t="str">
        <f>"01001687500"</f>
        <v>01001687500</v>
      </c>
      <c r="B12172" s="1" t="str">
        <f>_xlfn._LONGTEXT("STREET-BIZ ENTERPRISES LLC, FYOCK JULIE, SCOTT NORMA, SCOTT BETINA, MCGRATH TRACY, SCOTT MARK, SCOTT CHRISTIAN, SCOTT CJ, SCOTT MATTHEW, SCOTT MICHAEL, SCOTT JOEY, SCOTT DENISE, ESTEP GINGER, DAVIS KELLY, MOODY CLARICE SCOTT, WRIGHT TERRY SCOTT, SCOTT LAR","RY, PICKAR ONEIDA SCOTT, SCOTT CINDY, SCOTT KIMBERLY, SCOTT ALLEN LINDA, SCOTT RALPH, FULGHAM DEBORAH, SCOTT CHARLES, THORNTON SHARON, PAYNE GREGORY, CONLEY SUSAN")</f>
        <v>STREET-BIZ ENTERPRISES LLC, FYOCK JULIE, SCOTT NORMA, SCOTT BETINA, MCGRATH TRACY, SCOTT MARK, SCOTT CHRISTIAN, SCOTT CJ, SCOTT MATTHEW, SCOTT MICHAEL, SCOTT JOEY, SCOTT DENISE, ESTEP GINGER, DAVIS KELLY, MOODY CLARICE SCOTT, WRIGHT TERRY SCOTT, SCOTT LARRY, PICKAR ONEIDA SCOTT, SCOTT CINDY, SCOTT KIMBERLY, SCOTT ALLEN LINDA, SCOTT RALPH, FULGHAM DEBORAH, SCOTT CHARLES, THORNTON SHARON, PAYNE GREGORY, CONLEY SUSAN</v>
      </c>
      <c r="C12172" s="1" t="str">
        <f>"GRANVILLE ST 91.10FT NE WOODLAND PK LOT SUB 38"</f>
        <v>GRANVILLE ST 91.10FT NE WOODLAND PK LOT SUB 38</v>
      </c>
      <c r="D12172" s="1">
        <v>1152.1600000000001</v>
      </c>
    </row>
    <row r="12173" spans="1:4" x14ac:dyDescent="0.3">
      <c r="A12173" s="1" t="str">
        <f>"01004405300"</f>
        <v>01004405300</v>
      </c>
      <c r="B12173" s="1" t="str">
        <f>"STREETER R DOUGLAS, STREETER SHARON M"</f>
        <v>STREETER R DOUGLAS, STREETER SHARON M</v>
      </c>
      <c r="C12173" s="1" t="str">
        <f>"311 N BURGESS AVE HILL CREST LOT 246"</f>
        <v>311 N BURGESS AVE HILL CREST LOT 246</v>
      </c>
      <c r="D12173" s="1">
        <v>103.36</v>
      </c>
    </row>
    <row r="12174" spans="1:4" x14ac:dyDescent="0.3">
      <c r="A12174" s="1" t="str">
        <f>"61017752500"</f>
        <v>61017752500</v>
      </c>
      <c r="B12174" s="1" t="str">
        <f>"STREETS JENNIE D"</f>
        <v>STREETS JENNIE D</v>
      </c>
      <c r="C12174" s="1" t="str">
        <f>"HIGH RIDGE PLC WESTERN HILLS SEC 1 LOT 26"</f>
        <v>HIGH RIDGE PLC WESTERN HILLS SEC 1 LOT 26</v>
      </c>
      <c r="D12174" s="1">
        <v>3835.02</v>
      </c>
    </row>
    <row r="12175" spans="1:4" x14ac:dyDescent="0.3">
      <c r="A12175" s="1" t="str">
        <f>"22200120500"</f>
        <v>22200120500</v>
      </c>
      <c r="B12175" s="1" t="str">
        <f>"STRENCH DONALD D, JOHANSSON STRENCH ANNA MARIA"</f>
        <v>STRENCH DONALD D, JOHANSSON STRENCH ANNA MARIA</v>
      </c>
      <c r="C12175" s="1" t="str">
        <f>"7484 ALPATH RD NEW ALBANY COUNTRY CLUB SEC 6 LOT 41"</f>
        <v>7484 ALPATH RD NEW ALBANY COUNTRY CLUB SEC 6 LOT 41</v>
      </c>
      <c r="D12175" s="1">
        <v>13188.44</v>
      </c>
    </row>
    <row r="12176" spans="1:4" x14ac:dyDescent="0.3">
      <c r="A12176" s="1" t="str">
        <f>"10000308900"</f>
        <v>10000308900</v>
      </c>
      <c r="B12176" s="1" t="str">
        <f>"STREZZE MARION J, STREZZE DOROTHY M"</f>
        <v>STREZZE MARION J, STREZZE DOROTHY M</v>
      </c>
      <c r="C12176" s="1" t="str">
        <f>"5587 EMERSON AVE DAVIS ESTATE LOT 38"</f>
        <v>5587 EMERSON AVE DAVIS ESTATE LOT 38</v>
      </c>
      <c r="D12176" s="1">
        <v>2304.64</v>
      </c>
    </row>
    <row r="12177" spans="1:4" x14ac:dyDescent="0.3">
      <c r="A12177" s="1" t="str">
        <f>"01026900700"</f>
        <v>01026900700</v>
      </c>
      <c r="B12177" s="1" t="str">
        <f>"STRICK ENTERPRISES INC"</f>
        <v>STRICK ENTERPRISES INC</v>
      </c>
      <c r="C12177" s="1" t="str">
        <f>"HIGHVIEW BLVD R22 TT S16 1.499 ACRES"</f>
        <v>HIGHVIEW BLVD R22 TT S16 1.499 ACRES</v>
      </c>
      <c r="D12177" s="1">
        <v>7506.04</v>
      </c>
    </row>
    <row r="12178" spans="1:4" x14ac:dyDescent="0.3">
      <c r="A12178" s="1" t="str">
        <f>"01013174600"</f>
        <v>01013174600</v>
      </c>
      <c r="B12178" s="1" t="str">
        <f>"STRICKLAND CURTIS, STRICKLAND IZOLA"</f>
        <v>STRICKLAND CURTIS, STRICKLAND IZOLA</v>
      </c>
      <c r="C12178" s="1" t="str">
        <f>"JONATHAN DR RADCLIFF LOT 190"</f>
        <v>JONATHAN DR RADCLIFF LOT 190</v>
      </c>
      <c r="D12178" s="1">
        <v>2049.92</v>
      </c>
    </row>
    <row r="12179" spans="1:4" x14ac:dyDescent="0.3">
      <c r="A12179" s="1" t="str">
        <f>"01009250800"</f>
        <v>01009250800</v>
      </c>
      <c r="B12179" s="1" t="str">
        <f>"STRICKLAND SAMMY L"</f>
        <v>STRICKLAND SAMMY L</v>
      </c>
      <c r="C12179" s="1" t="str">
        <f>"ELMORE AVE ELMORE LOT 434"</f>
        <v>ELMORE AVE ELMORE LOT 434</v>
      </c>
      <c r="D12179" s="1">
        <v>1445.51</v>
      </c>
    </row>
    <row r="12180" spans="1:4" x14ac:dyDescent="0.3">
      <c r="A12180" s="1" t="str">
        <f>"01013051000"</f>
        <v>01013051000</v>
      </c>
      <c r="B12180" s="1" t="str">
        <f>"STRINGER JOHN K"</f>
        <v>STRINGER JOHN K</v>
      </c>
      <c r="C12180" s="1" t="str">
        <f>"MAURINE DR HOLLY HILL 3 LOT 337"</f>
        <v>MAURINE DR HOLLY HILL 3 LOT 337</v>
      </c>
      <c r="D12180" s="1">
        <v>2349.73</v>
      </c>
    </row>
    <row r="12181" spans="1:4" x14ac:dyDescent="0.3">
      <c r="A12181" s="1" t="str">
        <f>"04000403200"</f>
        <v>04000403200</v>
      </c>
      <c r="B12181" s="1" t="str">
        <f>"STRINGTOWN PROPERTIES LLC"</f>
        <v>STRINGTOWN PROPERTIES LLC</v>
      </c>
      <c r="C12181" s="1" t="str">
        <f>"2396 STRINGTOWN PIKE ENTRY 8231 0.690 ACRE"</f>
        <v>2396 STRINGTOWN PIKE ENTRY 8231 0.690 ACRE</v>
      </c>
      <c r="D12181" s="1">
        <v>990.28</v>
      </c>
    </row>
    <row r="12182" spans="1:4" x14ac:dyDescent="0.3">
      <c r="A12182" s="1" t="str">
        <f>"01014128500"</f>
        <v>01014128500</v>
      </c>
      <c r="B12182" s="1" t="str">
        <f>"STROHACKER WAYNE A, STROHACKER SUSAN M"</f>
        <v>STROHACKER WAYNE A, STROHACKER SUSAN M</v>
      </c>
      <c r="C12182" s="1" t="str">
        <f>"BOSWORTH SQ S DEVONSHIRE 5 SEC 8 LOT 559"</f>
        <v>BOSWORTH SQ S DEVONSHIRE 5 SEC 8 LOT 559</v>
      </c>
      <c r="D12182" s="1">
        <v>186.87</v>
      </c>
    </row>
    <row r="12183" spans="1:4" x14ac:dyDescent="0.3">
      <c r="A12183" s="1" t="str">
        <f>"01009362900"</f>
        <v>01009362900</v>
      </c>
      <c r="B12183" s="1" t="str">
        <f>"STROMER ERNEST III"</f>
        <v>STROMER ERNEST III</v>
      </c>
      <c r="C12183" s="1" t="str">
        <f>"LINVIEW AVE 39FT NS 28 &amp; 10FT SS 29 MARLBORO"</f>
        <v>LINVIEW AVE 39FT NS 28 &amp; 10FT SS 29 MARLBORO</v>
      </c>
      <c r="D12183" s="1">
        <v>90.77</v>
      </c>
    </row>
    <row r="12184" spans="1:4" x14ac:dyDescent="0.3">
      <c r="A12184" s="1" t="str">
        <f>"01010776000"</f>
        <v>01010776000</v>
      </c>
      <c r="B12184" s="1" t="str">
        <f>"STRONG FOR INEZ LLC"</f>
        <v>STRONG FOR INEZ LLC</v>
      </c>
      <c r="C12184" s="1" t="str">
        <f>"DEHNER DR BERWICK MANOR 2 LOT 243"</f>
        <v>DEHNER DR BERWICK MANOR 2 LOT 243</v>
      </c>
      <c r="D12184" s="1">
        <v>1630.35</v>
      </c>
    </row>
    <row r="12185" spans="1:4" x14ac:dyDescent="0.3">
      <c r="A12185" s="1" t="str">
        <f>"06000272600"</f>
        <v>06000272600</v>
      </c>
      <c r="B12185" s="1" t="str">
        <f>"STRONG GYNODDA T"</f>
        <v>STRONG GYNODDA T</v>
      </c>
      <c r="C12185" s="1" t="str">
        <f>"6399 ASTOR AVE H C HUBER PL 38 SEC 2 1149"</f>
        <v>6399 ASTOR AVE H C HUBER PL 38 SEC 2 1149</v>
      </c>
      <c r="D12185" s="1">
        <v>3015.91</v>
      </c>
    </row>
    <row r="12186" spans="1:4" x14ac:dyDescent="0.3">
      <c r="A12186" s="1" t="str">
        <f>"01007427500"</f>
        <v>01007427500</v>
      </c>
      <c r="B12186" s="1" t="str">
        <f>"STRONG LINDA K"</f>
        <v>STRONG LINDA K</v>
      </c>
      <c r="C12186" s="1" t="str">
        <f>"2807OSCEOLA AVE ALMADA LOT 137"</f>
        <v>2807OSCEOLA AVE ALMADA LOT 137</v>
      </c>
      <c r="D12186" s="1">
        <v>569.44000000000005</v>
      </c>
    </row>
    <row r="12187" spans="1:4" x14ac:dyDescent="0.3">
      <c r="A12187" s="1" t="str">
        <f>"02501327000"</f>
        <v>02501327000</v>
      </c>
      <c r="B12187" s="1" t="str">
        <f>"STRONG WILLIAM J TR"</f>
        <v>STRONG WILLIAM J TR</v>
      </c>
      <c r="C12187" s="1" t="str">
        <f>"ROSE WAY WOODS AT ROSE RUN LOT 20"</f>
        <v>ROSE WAY WOODS AT ROSE RUN LOT 20</v>
      </c>
      <c r="D12187" s="1">
        <v>929.06</v>
      </c>
    </row>
    <row r="12188" spans="1:4" x14ac:dyDescent="0.3">
      <c r="A12188" s="1" t="str">
        <f>"02501158100"</f>
        <v>02501158100</v>
      </c>
      <c r="B12188" s="1" t="str">
        <f>"STROTH CARL R, STROTH LINDA J"</f>
        <v>STROTH CARL R, STROTH LINDA J</v>
      </c>
      <c r="C12188" s="1" t="str">
        <f>"SPRUCE HILL DRIVE FARM CREEK SECTION 3 LOT 112"</f>
        <v>SPRUCE HILL DRIVE FARM CREEK SECTION 3 LOT 112</v>
      </c>
      <c r="D12188" s="1">
        <v>4441.4399999999996</v>
      </c>
    </row>
    <row r="12189" spans="1:4" x14ac:dyDescent="0.3">
      <c r="A12189" s="1" t="str">
        <f>"01011169900"</f>
        <v>01011169900</v>
      </c>
      <c r="B12189" s="1" t="str">
        <f>"STROUS VICKI L"</f>
        <v>STROUS VICKI L</v>
      </c>
      <c r="C12189" s="1" t="str">
        <f>"ZIEGLER AVE NEW AMSTERDAM VILLAGE LOT 90"</f>
        <v>ZIEGLER AVE NEW AMSTERDAM VILLAGE LOT 90</v>
      </c>
      <c r="D12189" s="1">
        <v>117.47</v>
      </c>
    </row>
    <row r="12190" spans="1:4" x14ac:dyDescent="0.3">
      <c r="A12190" s="1" t="str">
        <f>"01003975200"</f>
        <v>01003975200</v>
      </c>
      <c r="B12190" s="1" t="str">
        <f>"STUART PATRICK C"</f>
        <v>STUART PATRICK C</v>
      </c>
      <c r="C12190" s="1" t="str">
        <f>"2625 DAYTON AVE G WILLIAMS LOT 480"</f>
        <v>2625 DAYTON AVE G WILLIAMS LOT 480</v>
      </c>
      <c r="D12190" s="1">
        <v>217.3</v>
      </c>
    </row>
    <row r="12191" spans="1:4" x14ac:dyDescent="0.3">
      <c r="A12191" s="1" t="str">
        <f>"01007232100"</f>
        <v>01007232100</v>
      </c>
      <c r="B12191" s="1" t="str">
        <f>"STUBBS ROBERT T"</f>
        <v>STUBBS ROBERT T</v>
      </c>
      <c r="C12191" s="1" t="str">
        <f>"97 CHATHAM RD NORTHRIDGE AMD LOT 378"</f>
        <v>97 CHATHAM RD NORTHRIDGE AMD LOT 378</v>
      </c>
      <c r="D12191" s="1">
        <v>4873.96</v>
      </c>
    </row>
    <row r="12192" spans="1:4" x14ac:dyDescent="0.3">
      <c r="A12192" s="1" t="str">
        <f>"07001447200"</f>
        <v>07001447200</v>
      </c>
      <c r="B12192" s="1" t="str">
        <f>"STUCKEY KENT D TR"</f>
        <v>STUCKEY KENT D TR</v>
      </c>
      <c r="C12192" s="1" t="str">
        <f>"4935 STONEHAVEN DRIVE VILLAS AT SLATE RUN CONDO NORTH 2ND AMD UNIT 4935"</f>
        <v>4935 STONEHAVEN DRIVE VILLAS AT SLATE RUN CONDO NORTH 2ND AMD UNIT 4935</v>
      </c>
      <c r="D12192" s="1">
        <v>5099.4399999999996</v>
      </c>
    </row>
    <row r="12193" spans="1:4" x14ac:dyDescent="0.3">
      <c r="A12193" s="1" t="str">
        <f>"01026922700"</f>
        <v>01026922700</v>
      </c>
      <c r="B12193" s="1" t="str">
        <f>"STUDEBAKER MARSHA"</f>
        <v>STUDEBAKER MARSHA</v>
      </c>
      <c r="C12193" s="1" t="str">
        <f>"NEW ALBANY PARK           CONDOMINIUM 7TH AMD       BLDG 11 UNIT 11-6997     "</f>
        <v xml:space="preserve">NEW ALBANY PARK           CONDOMINIUM 7TH AMD       BLDG 11 UNIT 11-6997     </v>
      </c>
      <c r="D12193" s="1">
        <v>2926.86</v>
      </c>
    </row>
    <row r="12194" spans="1:4" x14ac:dyDescent="0.3">
      <c r="A12194" s="1" t="str">
        <f>"56017549000"</f>
        <v>56017549000</v>
      </c>
      <c r="B12194" s="1" t="str">
        <f>"STUDEBAKER MARSHA J"</f>
        <v>STUDEBAKER MARSHA J</v>
      </c>
      <c r="C12194" s="1" t="str">
        <f>"DINSMORE CASTLE DR THE GLEN NO 6 LOT 30"</f>
        <v>DINSMORE CASTLE DR THE GLEN NO 6 LOT 30</v>
      </c>
      <c r="D12194" s="1">
        <v>9747.2099999999991</v>
      </c>
    </row>
    <row r="12195" spans="1:4" x14ac:dyDescent="0.3">
      <c r="A12195" s="1" t="str">
        <f>"01000491600"</f>
        <v>01000491600</v>
      </c>
      <c r="B12195" s="1" t="str">
        <f>"STUDER TRUST"</f>
        <v>STUDER TRUST</v>
      </c>
      <c r="C12195" s="1" t="str">
        <f>"1069 STUDER AVE 30 FT N S STUDER AMD LOT 281"</f>
        <v>1069 STUDER AVE 30 FT N S STUDER AMD LOT 281</v>
      </c>
      <c r="D12195" s="1">
        <v>1473.24</v>
      </c>
    </row>
    <row r="12196" spans="1:4" x14ac:dyDescent="0.3">
      <c r="A12196" s="1" t="str">
        <f>"01008797700"</f>
        <v>01008797700</v>
      </c>
      <c r="B12196" s="1" t="str">
        <f>"STULL BETTYE J AFDT"</f>
        <v>STULL BETTYE J AFDT</v>
      </c>
      <c r="C12196" s="1" t="str">
        <f>"BROOKWOOD RD BERWICK LOT 1171&amp;RES-A"</f>
        <v>BROOKWOOD RD BERWICK LOT 1171&amp;RES-A</v>
      </c>
      <c r="D12196" s="1">
        <v>4014.87</v>
      </c>
    </row>
    <row r="12197" spans="1:4" x14ac:dyDescent="0.3">
      <c r="A12197" s="1" t="str">
        <f>"04001202100"</f>
        <v>04001202100</v>
      </c>
      <c r="B12197" s="1" t="str">
        <f>"STURM LOIS C TTEE"</f>
        <v>STURM LOIS C TTEE</v>
      </c>
      <c r="C12197" s="1" t="str">
        <f>"LANDINGS AT QUAIL CREEK CONDOMINIUM 7TH AMD BLDG 17 UNIT 17-6005"</f>
        <v>LANDINGS AT QUAIL CREEK CONDOMINIUM 7TH AMD BLDG 17 UNIT 17-6005</v>
      </c>
      <c r="D12197" s="1">
        <v>2272.15</v>
      </c>
    </row>
    <row r="12198" spans="1:4" x14ac:dyDescent="0.3">
      <c r="A12198" s="1" t="str">
        <f>"27300497000"</f>
        <v>27300497000</v>
      </c>
      <c r="B12198" s="1" t="str">
        <f>"STUTZ BRENT E, STUTZ MELISSA L"</f>
        <v>STUTZ BRENT E, STUTZ MELISSA L</v>
      </c>
      <c r="C12198" s="1" t="str">
        <f>"8176 CROSSGATE CT N MUIRFIELD VILLAGE PHASE 40 LOT 1970"</f>
        <v>8176 CROSSGATE CT N MUIRFIELD VILLAGE PHASE 40 LOT 1970</v>
      </c>
      <c r="D12198" s="1">
        <v>7080.23</v>
      </c>
    </row>
    <row r="12199" spans="1:4" x14ac:dyDescent="0.3">
      <c r="A12199" s="1" t="str">
        <f>"07000197700"</f>
        <v>07000197700</v>
      </c>
      <c r="B12199" s="1" t="str">
        <f>"STUTZ THEODORE A, STUTZ ELIZABETH A"</f>
        <v>STUTZ THEODORE A, STUTZ ELIZABETH A</v>
      </c>
      <c r="C12199" s="1" t="str">
        <f>"2652 BERWYN RD NORTH ARLINGTON LOT 32"</f>
        <v>2652 BERWYN RD NORTH ARLINGTON LOT 32</v>
      </c>
      <c r="D12199" s="1">
        <v>80</v>
      </c>
    </row>
    <row r="12200" spans="1:4" x14ac:dyDescent="0.3">
      <c r="A12200" s="1" t="str">
        <f>"61021274300"</f>
        <v>61021274300</v>
      </c>
      <c r="B12200" s="1" t="str">
        <f>"SU YUNSHAN"</f>
        <v>SU YUNSHAN</v>
      </c>
      <c r="C12200" s="1" t="str">
        <f>"WORTHINGTON GLEN CONDOMINIUM 2ND AMD BLDG 14 UNIT 14F"</f>
        <v>WORTHINGTON GLEN CONDOMINIUM 2ND AMD BLDG 14 UNIT 14F</v>
      </c>
      <c r="D12200" s="1">
        <v>2091.5500000000002</v>
      </c>
    </row>
    <row r="12201" spans="1:4" x14ac:dyDescent="0.3">
      <c r="A12201" s="1" t="str">
        <f>"01022586400"</f>
        <v>01022586400</v>
      </c>
      <c r="B12201" s="1" t="str">
        <f>"SUAREZ DAVID JR, DE ALBORNOZ ARMANDO"</f>
        <v>SUAREZ DAVID JR, DE ALBORNOZ ARMANDO</v>
      </c>
      <c r="C12201" s="1" t="str">
        <f>"SHARON WOODS SENIOR VILLAGE CONDO II UNIT 215"</f>
        <v>SHARON WOODS SENIOR VILLAGE CONDO II UNIT 215</v>
      </c>
      <c r="D12201" s="1">
        <v>1604.02</v>
      </c>
    </row>
    <row r="12202" spans="1:4" x14ac:dyDescent="0.3">
      <c r="A12202" s="1" t="str">
        <f>"23000139600"</f>
        <v>23000139600</v>
      </c>
      <c r="B12202" s="1" t="str">
        <f>"SUBLIME ROOFING LLC"</f>
        <v>SUBLIME ROOFING LLC</v>
      </c>
      <c r="C12202" s="1" t="str">
        <f>"COLS &amp; HARRISBURG TURNPIKE OQ 1500 ENTRY 6178 1"</f>
        <v>COLS &amp; HARRISBURG TURNPIKE OQ 1500 ENTRY 6178 1</v>
      </c>
      <c r="D12202" s="1">
        <v>2012.45</v>
      </c>
    </row>
    <row r="12203" spans="1:4" x14ac:dyDescent="0.3">
      <c r="A12203" s="1" t="str">
        <f>"23000140900"</f>
        <v>23000140900</v>
      </c>
      <c r="B12203" s="1" t="str">
        <f>"SUBLIME ROOFING LLC"</f>
        <v>SUBLIME ROOFING LLC</v>
      </c>
      <c r="C12203" s="1" t="str">
        <f>"COLS &amp; HARRISBURG PK LOT 2-3 "</f>
        <v xml:space="preserve">COLS &amp; HARRISBURG PK LOT 2-3 </v>
      </c>
      <c r="D12203" s="1">
        <v>408.57</v>
      </c>
    </row>
    <row r="12204" spans="1:4" x14ac:dyDescent="0.3">
      <c r="A12204" s="1" t="str">
        <f>"04001506300"</f>
        <v>04001506300</v>
      </c>
      <c r="B12204" s="1" t="str">
        <f>"SUBURBAN GROVE CITY LLC"</f>
        <v>SUBURBAN GROVE CITY LLC</v>
      </c>
      <c r="C12204" s="1" t="str">
        <f>"BORROR ROAD               ENTRY 6840                9.672 ACRES              "</f>
        <v xml:space="preserve">BORROR ROAD               ENTRY 6840                9.672 ACRES              </v>
      </c>
      <c r="D12204" s="1">
        <v>10182.290000000001</v>
      </c>
    </row>
    <row r="12205" spans="1:4" x14ac:dyDescent="0.3">
      <c r="A12205" s="1" t="str">
        <f>"01003546800"</f>
        <v>01003546800</v>
      </c>
      <c r="B12205" s="1" t="str">
        <f>"SUCCESS PROPERTIES INC"</f>
        <v>SUCCESS PROPERTIES INC</v>
      </c>
      <c r="C12205" s="1" t="str">
        <f>"2433-2435 N 4TH ST DOYLES SUMMIT LOT 182-3"</f>
        <v>2433-2435 N 4TH ST DOYLES SUMMIT LOT 182-3</v>
      </c>
      <c r="D12205" s="1">
        <v>3723.5</v>
      </c>
    </row>
    <row r="12206" spans="1:4" x14ac:dyDescent="0.3">
      <c r="A12206" s="1" t="str">
        <f>"01008523700"</f>
        <v>01008523700</v>
      </c>
      <c r="B12206" s="1" t="str">
        <f>"SUCH ANNE"</f>
        <v>SUCH ANNE</v>
      </c>
      <c r="C12206" s="1" t="str">
        <f>"E JEFFREY PLC ZOOLAND LOT 698"</f>
        <v>E JEFFREY PLC ZOOLAND LOT 698</v>
      </c>
      <c r="D12206" s="1">
        <v>4799.66</v>
      </c>
    </row>
    <row r="12207" spans="1:4" x14ac:dyDescent="0.3">
      <c r="A12207" s="1" t="str">
        <f>"01005372600"</f>
        <v>01005372600</v>
      </c>
      <c r="B12207" s="1" t="str">
        <f>"SUFIAN AHMED"</f>
        <v>SUFIAN AHMED</v>
      </c>
      <c r="C12207" s="1" t="str">
        <f>"204 S WARREN AVE &amp; 2671 PALMETTO WICKLOW LOT 293-4"</f>
        <v>204 S WARREN AVE &amp; 2671 PALMETTO WICKLOW LOT 293-4</v>
      </c>
      <c r="D12207" s="1">
        <v>2093.81</v>
      </c>
    </row>
    <row r="12208" spans="1:4" x14ac:dyDescent="0.3">
      <c r="A12208" s="1" t="str">
        <f>"01019973200"</f>
        <v>01019973200</v>
      </c>
      <c r="B12208" s="1" t="str">
        <f>"SUGAR JOHN J JR, SUGAR ANDREA M"</f>
        <v>SUGAR JOHN J JR, SUGAR ANDREA M</v>
      </c>
      <c r="C12208" s="1" t="str">
        <f>"5480 NELSONIA PL NELSONIA PLACE LOT 2"</f>
        <v>5480 NELSONIA PL NELSONIA PLACE LOT 2</v>
      </c>
      <c r="D12208" s="1">
        <v>392.65</v>
      </c>
    </row>
    <row r="12209" spans="1:4" x14ac:dyDescent="0.3">
      <c r="A12209" s="1" t="str">
        <f>"27300613000"</f>
        <v>27300613000</v>
      </c>
      <c r="B12209" s="1" t="str">
        <f>"SUK WILLIAM W"</f>
        <v>SUK WILLIAM W</v>
      </c>
      <c r="C12209" s="1" t="str">
        <f>"0000 KATE BROWN DR BRANDON SEC 5 PT 2 LOT 313"</f>
        <v>0000 KATE BROWN DR BRANDON SEC 5 PT 2 LOT 313</v>
      </c>
      <c r="D12209" s="1">
        <v>12139.12</v>
      </c>
    </row>
    <row r="12210" spans="1:4" x14ac:dyDescent="0.3">
      <c r="A12210" s="1" t="str">
        <f>"27300630400"</f>
        <v>27300630400</v>
      </c>
      <c r="B12210" s="1" t="str">
        <f>"SUK WILLIAM W"</f>
        <v>SUK WILLIAM W</v>
      </c>
      <c r="C12210" s="1" t="str">
        <f>"0000 FOREST KNOLL DR BRISTOL COMMONS SEC1 LOT 25"</f>
        <v>0000 FOREST KNOLL DR BRISTOL COMMONS SEC1 LOT 25</v>
      </c>
      <c r="D12210" s="1">
        <v>15043.88</v>
      </c>
    </row>
    <row r="12211" spans="1:4" x14ac:dyDescent="0.3">
      <c r="A12211" s="1" t="str">
        <f>"27300238300"</f>
        <v>27300238300</v>
      </c>
      <c r="B12211" s="1" t="str">
        <f>"SUK WILLIAM W"</f>
        <v>SUK WILLIAM W</v>
      </c>
      <c r="C12211" s="1" t="str">
        <f>"7254 SHADY NELMS DR HEMINGWAY VIL W 1 LOT 1"</f>
        <v>7254 SHADY NELMS DR HEMINGWAY VIL W 1 LOT 1</v>
      </c>
      <c r="D12211" s="1">
        <v>11375.22</v>
      </c>
    </row>
    <row r="12212" spans="1:4" x14ac:dyDescent="0.3">
      <c r="A12212" s="1" t="str">
        <f>"27300582800"</f>
        <v>27300582800</v>
      </c>
      <c r="B12212" s="1" t="str">
        <f>"SULEIMAN STASIA, SULEIMAN FADI"</f>
        <v>SULEIMAN STASIA, SULEIMAN FADI</v>
      </c>
      <c r="C12212" s="1" t="str">
        <f>"WISMER CIRCLE WYNDHAM VILLAGE SEC1 LOT 16"</f>
        <v>WISMER CIRCLE WYNDHAM VILLAGE SEC1 LOT 16</v>
      </c>
      <c r="D12212" s="1">
        <v>5149.93</v>
      </c>
    </row>
    <row r="12213" spans="1:4" x14ac:dyDescent="0.3">
      <c r="A12213" s="1" t="str">
        <f>"01028905800"</f>
        <v>01028905800</v>
      </c>
      <c r="B12213" s="1" t="str">
        <f>"SULLINGER JARED M X"</f>
        <v>SULLINGER JARED M X</v>
      </c>
      <c r="C12213" s="1" t="str">
        <f>"UPPER ALBANY WEST SECTION 5 LOT 587"</f>
        <v>UPPER ALBANY WEST SECTION 5 LOT 587</v>
      </c>
      <c r="D12213" s="1">
        <v>8001.16</v>
      </c>
    </row>
    <row r="12214" spans="1:4" x14ac:dyDescent="0.3">
      <c r="A12214" s="1" t="str">
        <f>"01010089400"</f>
        <v>01010089400</v>
      </c>
      <c r="B12214" s="1" t="str">
        <f>"SULLIVAN JUDITH L"</f>
        <v>SULLIVAN JUDITH L</v>
      </c>
      <c r="C12214" s="1" t="str">
        <f>"DRESDEN ST OAK PK ADDN 11 LOT 27"</f>
        <v>DRESDEN ST OAK PK ADDN 11 LOT 27</v>
      </c>
      <c r="D12214" s="1">
        <v>1329.63</v>
      </c>
    </row>
    <row r="12215" spans="1:4" x14ac:dyDescent="0.3">
      <c r="A12215" s="1" t="str">
        <f>"27300291200"</f>
        <v>27300291200</v>
      </c>
      <c r="B12215" s="1" t="str">
        <f>"SULLIVAN MOLLY A"</f>
        <v>SULLIVAN MOLLY A</v>
      </c>
      <c r="C12215" s="1" t="str">
        <f>"GLENBARR AT MUIRFIELD CONDO BLDG 3 UNIT 6074"</f>
        <v>GLENBARR AT MUIRFIELD CONDO BLDG 3 UNIT 6074</v>
      </c>
      <c r="D12215" s="1">
        <v>391.98</v>
      </c>
    </row>
    <row r="12216" spans="1:4" x14ac:dyDescent="0.3">
      <c r="A12216" s="1" t="str">
        <f>"02500185500"</f>
        <v>02500185500</v>
      </c>
      <c r="B12216" s="1" t="str">
        <f>"SULLIVAN SUSAN E TR, LINDSAY JOHN D TR"</f>
        <v>SULLIVAN SUSAN E TR, LINDSAY JOHN D TR</v>
      </c>
      <c r="C12216" s="1" t="str">
        <f>"251 SHARA PARK PL ZUBROD HTS 5 "</f>
        <v xml:space="preserve">251 SHARA PARK PL ZUBROD HTS 5 </v>
      </c>
      <c r="D12216" s="1">
        <v>3179.07</v>
      </c>
    </row>
    <row r="12217" spans="1:4" x14ac:dyDescent="0.3">
      <c r="A12217" s="1" t="str">
        <f>"01001217700"</f>
        <v>01001217700</v>
      </c>
      <c r="B12217" s="1" t="str">
        <f>"SULLIVANT MOTORS LLC"</f>
        <v>SULLIVANT MOTORS LLC</v>
      </c>
      <c r="C12217" s="1" t="str">
        <f>"1877 SULLIVANT AVE HILLTONIA ANNEX BLK 4 LOTS 3-4-5"</f>
        <v>1877 SULLIVANT AVE HILLTONIA ANNEX BLK 4 LOTS 3-4-5</v>
      </c>
      <c r="D12217" s="1">
        <v>1113.78</v>
      </c>
    </row>
    <row r="12218" spans="1:4" x14ac:dyDescent="0.3">
      <c r="A12218" s="1" t="str">
        <f>"01015369800"</f>
        <v>01015369800</v>
      </c>
      <c r="B12218" s="1" t="str">
        <f>"SUMEREL CRAIG D TR, SUMEREL TODD R TR"</f>
        <v>SUMEREL CRAIG D TR, SUMEREL TODD R TR</v>
      </c>
      <c r="C12218" s="1" t="str">
        <f>"2790 FISHER RD .22AC SUB 4 "</f>
        <v xml:space="preserve">2790 FISHER RD .22AC SUB 4 </v>
      </c>
      <c r="D12218" s="1">
        <v>33.93</v>
      </c>
    </row>
    <row r="12219" spans="1:4" x14ac:dyDescent="0.3">
      <c r="A12219" s="1" t="str">
        <f>"01015374900"</f>
        <v>01015374900</v>
      </c>
      <c r="B12219" s="1" t="str">
        <f>"SUMEREL CRAIG D TR, SUMEREL TODD R TR"</f>
        <v>SUMEREL CRAIG D TR, SUMEREL TODD R TR</v>
      </c>
      <c r="C12219" s="1" t="str">
        <f>"FISHER RD SAFIN INDUS PARK 1 LOT RES A"</f>
        <v>FISHER RD SAFIN INDUS PARK 1 LOT RES A</v>
      </c>
      <c r="D12219" s="1">
        <v>109.75</v>
      </c>
    </row>
    <row r="12220" spans="1:4" x14ac:dyDescent="0.3">
      <c r="A12220" s="1" t="str">
        <f>"01015375000"</f>
        <v>01015375000</v>
      </c>
      <c r="B12220" s="1" t="str">
        <f>"SUMEREL CRAIG D TR, SUMEREL TODD R TR"</f>
        <v>SUMEREL CRAIG D TR, SUMEREL TODD R TR</v>
      </c>
      <c r="C12220" s="1" t="str">
        <f>"SAFIN RD SAFIN INDUS PARK 1 LOT RES B"</f>
        <v>SAFIN RD SAFIN INDUS PARK 1 LOT RES B</v>
      </c>
      <c r="D12220" s="1">
        <v>919.26</v>
      </c>
    </row>
    <row r="12221" spans="1:4" x14ac:dyDescent="0.3">
      <c r="A12221" s="1" t="str">
        <f>"01000774000"</f>
        <v>01000774000</v>
      </c>
      <c r="B12221" s="1" t="str">
        <f>"SUMMERS JOE JR, COLLEY THOMAS"</f>
        <v>SUMMERS JOE JR, COLLEY THOMAS</v>
      </c>
      <c r="C12221" s="1" t="str">
        <f>"1798-1800 BUCHER ST LINTON &amp; MCLARREN'S PARCELS PT OF LOT 25"</f>
        <v>1798-1800 BUCHER ST LINTON &amp; MCLARREN'S PARCELS PT OF LOT 25</v>
      </c>
      <c r="D12221" s="1">
        <v>1534.71</v>
      </c>
    </row>
    <row r="12222" spans="1:4" x14ac:dyDescent="0.3">
      <c r="A12222" s="1" t="str">
        <f>"19100050100"</f>
        <v>19100050100</v>
      </c>
      <c r="B12222" s="1" t="str">
        <f>"SUMMERS TAWNI L, OWENS QUENNELL L SR"</f>
        <v>SUMMERS TAWNI L, OWENS QUENNELL L SR</v>
      </c>
      <c r="C12222" s="1" t="str">
        <f>"E GENESSEE AVENUE LEONARD PARK LOT 26 BLK E"</f>
        <v>E GENESSEE AVENUE LEONARD PARK LOT 26 BLK E</v>
      </c>
      <c r="D12222" s="1">
        <v>3553.2</v>
      </c>
    </row>
    <row r="12223" spans="1:4" x14ac:dyDescent="0.3">
      <c r="A12223" s="1" t="str">
        <f>"04000586600"</f>
        <v>04000586600</v>
      </c>
      <c r="B12223" s="1" t="str">
        <f>"SUMMERS TERESA"</f>
        <v>SUMMERS TERESA</v>
      </c>
      <c r="C12223" s="1" t="str">
        <f>"6322 SENECA WAY INDIAN TRAILS SEC #4 LOT 186"</f>
        <v>6322 SENECA WAY INDIAN TRAILS SEC #4 LOT 186</v>
      </c>
      <c r="D12223" s="1">
        <v>2253.7600000000002</v>
      </c>
    </row>
    <row r="12224" spans="1:4" x14ac:dyDescent="0.3">
      <c r="A12224" s="1" t="str">
        <f>"01011534900"</f>
        <v>01011534900</v>
      </c>
      <c r="B12224" s="1" t="str">
        <f>"SUMMERTIME INVESTMENT PROERTIES LLC"</f>
        <v>SUMMERTIME INVESTMENT PROERTIES LLC</v>
      </c>
      <c r="C12224" s="1" t="str">
        <f>"ROBINWOOD RD MASON-COOPER BUCKEYE LOT 43"</f>
        <v>ROBINWOOD RD MASON-COOPER BUCKEYE LOT 43</v>
      </c>
      <c r="D12224" s="1">
        <v>1332.49</v>
      </c>
    </row>
    <row r="12225" spans="1:4" x14ac:dyDescent="0.3">
      <c r="A12225" s="1" t="str">
        <f>"13000208400"</f>
        <v>13000208400</v>
      </c>
      <c r="B12225" s="1" t="str">
        <f>"SUMMERTIME INVESTMENT PROPERTIES LLC"</f>
        <v>SUMMERTIME INVESTMENT PROPERTIES LLC</v>
      </c>
      <c r="C12225" s="1" t="str">
        <f>"HICKMAN RD NORTH LINDEN #1 LOT 451"</f>
        <v>HICKMAN RD NORTH LINDEN #1 LOT 451</v>
      </c>
      <c r="D12225" s="1">
        <v>1395.6</v>
      </c>
    </row>
    <row r="12226" spans="1:4" x14ac:dyDescent="0.3">
      <c r="A12226" s="1" t="str">
        <f>"01009727200"</f>
        <v>01009727200</v>
      </c>
      <c r="B12226" s="1" t="str">
        <f>"SUMMERTIME INVESTMENT PROPERTIES LLC"</f>
        <v>SUMMERTIME INVESTMENT PROPERTIES LLC</v>
      </c>
      <c r="C12226" s="1" t="str">
        <f>"WHITETHORNE AVE COMMONWEALTH PLAZA LOT 17"</f>
        <v>WHITETHORNE AVE COMMONWEALTH PLAZA LOT 17</v>
      </c>
      <c r="D12226" s="1">
        <v>1308.45</v>
      </c>
    </row>
    <row r="12227" spans="1:4" x14ac:dyDescent="0.3">
      <c r="A12227" s="1" t="str">
        <f>"01012179200"</f>
        <v>01012179200</v>
      </c>
      <c r="B12227" s="1" t="str">
        <f>"SUMMERTIME INVESTMENT PROPERTIES LLC"</f>
        <v>SUMMERTIME INVESTMENT PROPERTIES LLC</v>
      </c>
      <c r="C12227" s="1" t="str">
        <f>"WHITETHORNE AVE RAINBOW LOT 77"</f>
        <v>WHITETHORNE AVE RAINBOW LOT 77</v>
      </c>
      <c r="D12227" s="1">
        <v>920.15</v>
      </c>
    </row>
    <row r="12228" spans="1:4" x14ac:dyDescent="0.3">
      <c r="A12228" s="1" t="str">
        <f>"14000353200"</f>
        <v>14000353200</v>
      </c>
      <c r="B12228" s="1" t="str">
        <f>"SUMMERTIME INVESTMENT PROPERTIES LLC"</f>
        <v>SUMMERTIME INVESTMENT PROPERTIES LLC</v>
      </c>
      <c r="C12228" s="1" t="str">
        <f>"BRIGGS RD EUREKA PARK LOT 86 BLK 2"</f>
        <v>BRIGGS RD EUREKA PARK LOT 86 BLK 2</v>
      </c>
      <c r="D12228" s="1">
        <v>498.48</v>
      </c>
    </row>
    <row r="12229" spans="1:4" x14ac:dyDescent="0.3">
      <c r="A12229" s="1" t="str">
        <f>"14000353300"</f>
        <v>14000353300</v>
      </c>
      <c r="B12229" s="1" t="str">
        <f>"SUMMERTIME INVESTMENT PROPERTIES LLC"</f>
        <v>SUMMERTIME INVESTMENT PROPERTIES LLC</v>
      </c>
      <c r="C12229" s="1" t="str">
        <f>"2588 BRIGGS RD LOT 87 BLK 2 EUREKA PARK"</f>
        <v>2588 BRIGGS RD LOT 87 BLK 2 EUREKA PARK</v>
      </c>
      <c r="D12229" s="1">
        <v>1270.98</v>
      </c>
    </row>
    <row r="12230" spans="1:4" x14ac:dyDescent="0.3">
      <c r="A12230" s="1" t="str">
        <f>"01001977400"</f>
        <v>01001977400</v>
      </c>
      <c r="B12230" s="1" t="str">
        <f>"SUMMERTIME INVESTMENT PROPERTIES LLC"</f>
        <v>SUMMERTIME INVESTMENT PROPERTIES LLC</v>
      </c>
      <c r="C12230" s="1" t="str">
        <f>"806 THOMAS AVE OSBORN PLACE ADD LOT 353 (32' X 120')"</f>
        <v>806 THOMAS AVE OSBORN PLACE ADD LOT 353 (32' X 120')</v>
      </c>
      <c r="D12230" s="1">
        <v>1107.22</v>
      </c>
    </row>
    <row r="12231" spans="1:4" x14ac:dyDescent="0.3">
      <c r="A12231" s="1" t="str">
        <f>"01006628100"</f>
        <v>01006628100</v>
      </c>
      <c r="B12231" s="1" t="str">
        <f>"SUMMERTIME INVESTMENT PROPERTIES LLC"</f>
        <v>SUMMERTIME INVESTMENT PROPERTIES LLC</v>
      </c>
      <c r="C12231" s="1" t="str">
        <f>"NINTH AVE 2845 DUNHAMS 1ST LOT 17"</f>
        <v>NINTH AVE 2845 DUNHAMS 1ST LOT 17</v>
      </c>
      <c r="D12231" s="1">
        <v>961.3</v>
      </c>
    </row>
    <row r="12232" spans="1:4" x14ac:dyDescent="0.3">
      <c r="A12232" s="1" t="str">
        <f>"24000143100"</f>
        <v>24000143100</v>
      </c>
      <c r="B12232" s="1" t="str">
        <f>"SUMMERTIME INVESTMENT PROPERTIES LLC"</f>
        <v>SUMMERTIME INVESTMENT PROPERTIES LLC</v>
      </c>
      <c r="C12232" s="1" t="str">
        <f>"MIX AVE WEST COLUMBUS PARK 394"</f>
        <v>MIX AVE WEST COLUMBUS PARK 394</v>
      </c>
      <c r="D12232" s="1">
        <v>473.52</v>
      </c>
    </row>
    <row r="12233" spans="1:4" x14ac:dyDescent="0.3">
      <c r="A12233" s="1" t="str">
        <f>"14000139400"</f>
        <v>14000139400</v>
      </c>
      <c r="B12233" s="1" t="str">
        <f>"SUMMERTIME INVESTMENTS PROPERTIES LLC"</f>
        <v>SUMMERTIME INVESTMENTS PROPERTIES LLC</v>
      </c>
      <c r="C12233" s="1" t="str">
        <f>"1647 HUMPHREY AVE HUMPHREY AVE O Q 1000 NO ENTRY 422"</f>
        <v>1647 HUMPHREY AVE HUMPHREY AVE O Q 1000 NO ENTRY 422</v>
      </c>
      <c r="D12233" s="1">
        <v>1321.27</v>
      </c>
    </row>
    <row r="12234" spans="1:4" x14ac:dyDescent="0.3">
      <c r="A12234" s="1" t="str">
        <f>"01028426800"</f>
        <v>01028426800</v>
      </c>
      <c r="B12234" s="1" t="str">
        <f>"SUMMIT AT 17TH LLC"</f>
        <v>SUMMIT AT 17TH LLC</v>
      </c>
      <c r="C12234" s="1" t="str">
        <f>"THE SUMMIT CONDOMINIUM UNIT 251"</f>
        <v>THE SUMMIT CONDOMINIUM UNIT 251</v>
      </c>
      <c r="D12234" s="1">
        <v>2108.79</v>
      </c>
    </row>
    <row r="12235" spans="1:4" x14ac:dyDescent="0.3">
      <c r="A12235" s="1" t="str">
        <f>"01016154600"</f>
        <v>01016154600</v>
      </c>
      <c r="B12235" s="1" t="str">
        <f>"SUMPTER KATRINA"</f>
        <v>SUMPTER KATRINA</v>
      </c>
      <c r="C12235" s="1" t="str">
        <f>"KIMBERLY VILLAS COND PHASE 2 UNIT 9-A"</f>
        <v>KIMBERLY VILLAS COND PHASE 2 UNIT 9-A</v>
      </c>
      <c r="D12235" s="1">
        <v>58.22</v>
      </c>
    </row>
    <row r="12236" spans="1:4" x14ac:dyDescent="0.3">
      <c r="A12236" s="1" t="str">
        <f>"01016235300"</f>
        <v>01016235300</v>
      </c>
      <c r="B12236" s="1" t="str">
        <f>"SUMPTER STUART JOHN"</f>
        <v>SUMPTER STUART JOHN</v>
      </c>
      <c r="C12236" s="1" t="str">
        <f>"KIMBERLY VILLAS CON       PHASE IV                  UNIT G BUILDING 27            "</f>
        <v xml:space="preserve">KIMBERLY VILLAS CON       PHASE IV                  UNIT G BUILDING 27            </v>
      </c>
      <c r="D12236" s="1">
        <v>61.59</v>
      </c>
    </row>
    <row r="12237" spans="1:4" x14ac:dyDescent="0.3">
      <c r="A12237" s="1" t="str">
        <f>"01002201300"</f>
        <v>01002201300</v>
      </c>
      <c r="B12237" s="1" t="str">
        <f>"SUN ERA LLC"</f>
        <v>SUN ERA LLC</v>
      </c>
      <c r="C12237" s="1" t="str">
        <f>"2903 SULLIVANT AVE WILSHIRE HTS ALL LT5 PT LOT 6"</f>
        <v>2903 SULLIVANT AVE WILSHIRE HTS ALL LT5 PT LOT 6</v>
      </c>
      <c r="D12237" s="1">
        <v>352.98</v>
      </c>
    </row>
    <row r="12238" spans="1:4" x14ac:dyDescent="0.3">
      <c r="A12238" s="1" t="str">
        <f>"01006900200"</f>
        <v>01006900200</v>
      </c>
      <c r="B12238" s="1" t="str">
        <f>"SUN ERA LLC"</f>
        <v>SUN ERA LLC</v>
      </c>
      <c r="C12238" s="1" t="str">
        <f>"WILSHIRE HTS LOT 6-7  "</f>
        <v xml:space="preserve">WILSHIRE HTS LOT 6-7  </v>
      </c>
      <c r="D12238" s="1">
        <v>353.13</v>
      </c>
    </row>
    <row r="12239" spans="1:4" x14ac:dyDescent="0.3">
      <c r="A12239" s="1" t="str">
        <f>"23000111900"</f>
        <v>23000111900</v>
      </c>
      <c r="B12239" s="1" t="str">
        <f>"SUN VALLEY MANAGEMENT LLC"</f>
        <v>SUN VALLEY MANAGEMENT LLC</v>
      </c>
      <c r="C12239" s="1" t="str">
        <f>"6997 HARRISBURG PIKE ENTRY 947 1.147 ACRES"</f>
        <v>6997 HARRISBURG PIKE ENTRY 947 1.147 ACRES</v>
      </c>
      <c r="D12239" s="1">
        <v>11172.32</v>
      </c>
    </row>
    <row r="12240" spans="1:4" x14ac:dyDescent="0.3">
      <c r="A12240" s="1" t="str">
        <f>"01009474500"</f>
        <v>01009474500</v>
      </c>
      <c r="B12240" s="1" t="str">
        <f>"SUNDERLIN PROPERTIES LLC"</f>
        <v>SUNDERLIN PROPERTIES LLC</v>
      </c>
      <c r="C12240" s="1" t="str">
        <f>"BEULAH RD BEULAH PARK LOT 8"</f>
        <v>BEULAH RD BEULAH PARK LOT 8</v>
      </c>
      <c r="D12240" s="1">
        <v>1396.4</v>
      </c>
    </row>
    <row r="12241" spans="1:4" x14ac:dyDescent="0.3">
      <c r="A12241" s="1" t="str">
        <f>"19000510500"</f>
        <v>19000510500</v>
      </c>
      <c r="B12241" s="1" t="str">
        <f>"SUNMARK HOLDING LLC"</f>
        <v>SUNMARK HOLDING LLC</v>
      </c>
      <c r="C12241" s="1" t="str">
        <f>"2648 FERRIS RD R17 T1 1/4T2 .962 ACRES"</f>
        <v>2648 FERRIS RD R17 T1 1/4T2 .962 ACRES</v>
      </c>
      <c r="D12241" s="1">
        <v>1053.9000000000001</v>
      </c>
    </row>
    <row r="12242" spans="1:4" x14ac:dyDescent="0.3">
      <c r="A12242" s="1" t="str">
        <f>"01011076600"</f>
        <v>01011076600</v>
      </c>
      <c r="B12242" s="1" t="str">
        <f>"SUNNYSIDE GREEN LLC"</f>
        <v>SUNNYSIDE GREEN LLC</v>
      </c>
      <c r="C12242" s="1" t="str">
        <f>"70FT NE DECKER-JOHNSON LOT 3 "</f>
        <v xml:space="preserve">70FT NE DECKER-JOHNSON LOT 3 </v>
      </c>
      <c r="D12242" s="1">
        <v>4911.84</v>
      </c>
    </row>
    <row r="12243" spans="1:4" x14ac:dyDescent="0.3">
      <c r="A12243" s="1" t="str">
        <f>"01010455200"</f>
        <v>01010455200</v>
      </c>
      <c r="B12243" s="1" t="str">
        <f>"SUNRISE INSURANCE GROUP INC"</f>
        <v>SUNRISE INSURANCE GROUP INC</v>
      </c>
      <c r="C12243" s="1" t="str">
        <f>"CLEVELAND AVE REAR 0.426 ACRE R 18 T 2 1/4T 4"</f>
        <v>CLEVELAND AVE REAR 0.426 ACRE R 18 T 2 1/4T 4</v>
      </c>
      <c r="D12243" s="1">
        <v>2588.1999999999998</v>
      </c>
    </row>
    <row r="12244" spans="1:4" x14ac:dyDescent="0.3">
      <c r="A12244" s="1" t="str">
        <f>"01018822500"</f>
        <v>01018822500</v>
      </c>
      <c r="B12244" s="1" t="str">
        <f>"SUNRISE INSURANCE GROUP INC, MOHAMMAD MARWAN"</f>
        <v>SUNRISE INSURANCE GROUP INC, MOHAMMAD MARWAN</v>
      </c>
      <c r="C12244" s="1" t="str">
        <f>"YOUNGS-GROVE RD YOUNG AT HEART RESERVE A"</f>
        <v>YOUNGS-GROVE RD YOUNG AT HEART RESERVE A</v>
      </c>
      <c r="D12244" s="1">
        <v>4368.1099999999997</v>
      </c>
    </row>
    <row r="12245" spans="1:4" x14ac:dyDescent="0.3">
      <c r="A12245" s="1" t="str">
        <f>"01002889200"</f>
        <v>01002889200</v>
      </c>
      <c r="B12245" s="1" t="str">
        <f>"SUNRISE REAL ESTATE GROUP LLC"</f>
        <v>SUNRISE REAL ESTATE GROUP LLC</v>
      </c>
      <c r="C12245" s="1" t="str">
        <f>"820 CARPENTER ST CLAIRMONT LOT 125"</f>
        <v>820 CARPENTER ST CLAIRMONT LOT 125</v>
      </c>
      <c r="D12245" s="1">
        <v>1305.3599999999999</v>
      </c>
    </row>
    <row r="12246" spans="1:4" x14ac:dyDescent="0.3">
      <c r="A12246" s="1" t="str">
        <f>"06000856300"</f>
        <v>06000856300</v>
      </c>
      <c r="B12246" s="1" t="str">
        <f>"SUNRISE REALESTATE GROUP LLC"</f>
        <v>SUNRISE REALESTATE GROUP LLC</v>
      </c>
      <c r="C12246" s="1" t="str">
        <f>"SLATE RIDGE OFFICE PARK CONDOMINIUM 2ND AMD UNIT 7642 BLDG 4"</f>
        <v>SLATE RIDGE OFFICE PARK CONDOMINIUM 2ND AMD UNIT 7642 BLDG 4</v>
      </c>
      <c r="D12246" s="1">
        <v>5906.02</v>
      </c>
    </row>
    <row r="12247" spans="1:4" x14ac:dyDescent="0.3">
      <c r="A12247" s="1" t="str">
        <f>"01010273100"</f>
        <v>01010273100</v>
      </c>
      <c r="B12247" s="1" t="str">
        <f>"SUOM POT"</f>
        <v>SUOM POT</v>
      </c>
      <c r="C12247" s="1" t="str">
        <f>"SALISBURY RD MIRIAM 4 LOT 4 BLK 13"</f>
        <v>SALISBURY RD MIRIAM 4 LOT 4 BLK 13</v>
      </c>
      <c r="D12247" s="1">
        <v>2379.9499999999998</v>
      </c>
    </row>
    <row r="12248" spans="1:4" x14ac:dyDescent="0.3">
      <c r="A12248" s="1" t="str">
        <f>"14000036900"</f>
        <v>14000036900</v>
      </c>
      <c r="B12248" s="1" t="str">
        <f>"SUPIK LISA"</f>
        <v>SUPIK LISA</v>
      </c>
      <c r="C12248" s="1" t="str">
        <f>"1151 GENEVA PL ACRES OQ 1000 NO OF ENTRY 717 3 .362 ACS"</f>
        <v>1151 GENEVA PL ACRES OQ 1000 NO OF ENTRY 717 3 .362 ACS</v>
      </c>
      <c r="D12248" s="1">
        <v>2699.61</v>
      </c>
    </row>
    <row r="12249" spans="1:4" x14ac:dyDescent="0.3">
      <c r="A12249" s="1" t="str">
        <f>"01001634700"</f>
        <v>01001634700</v>
      </c>
      <c r="B12249" s="1" t="str">
        <f>"SUPRA INVESTMENTS LLC"</f>
        <v>SUPRA INVESTMENTS LLC</v>
      </c>
      <c r="C12249" s="1" t="str">
        <f>"85 BARTHAMN 82.12FT NE LB TUSSING LOT 16"</f>
        <v>85 BARTHAMN 82.12FT NE LB TUSSING LOT 16</v>
      </c>
      <c r="D12249" s="1">
        <v>552.17999999999995</v>
      </c>
    </row>
    <row r="12250" spans="1:4" x14ac:dyDescent="0.3">
      <c r="A12250" s="1" t="str">
        <f>"01005424300"</f>
        <v>01005424300</v>
      </c>
      <c r="B12250" s="1" t="str">
        <f>"SUPRA INVESTMENTS LLC"</f>
        <v>SUPRA INVESTMENTS LLC</v>
      </c>
      <c r="C12250" s="1" t="str">
        <f>"BELLOWS AVE OSBORNE PLACE ADD LOT 187"</f>
        <v>BELLOWS AVE OSBORNE PLACE ADD LOT 187</v>
      </c>
      <c r="D12250" s="1">
        <v>185.85</v>
      </c>
    </row>
    <row r="12251" spans="1:4" x14ac:dyDescent="0.3">
      <c r="A12251" s="1" t="str">
        <f>"01004572400"</f>
        <v>01004572400</v>
      </c>
      <c r="B12251" s="1" t="str">
        <f>"SUPRA INVESTMENTS LLC"</f>
        <v>SUPRA INVESTMENTS LLC</v>
      </c>
      <c r="C12251" s="1" t="str">
        <f>"104 ROGERS AVE COTTAGE PLACE LOT 86-7"</f>
        <v>104 ROGERS AVE COTTAGE PLACE LOT 86-7</v>
      </c>
      <c r="D12251" s="1">
        <v>308.47000000000003</v>
      </c>
    </row>
    <row r="12252" spans="1:4" x14ac:dyDescent="0.3">
      <c r="A12252" s="1" t="str">
        <f>"01004695000"</f>
        <v>01004695000</v>
      </c>
      <c r="B12252" s="1" t="str">
        <f>"SUPRA INVESTMENTS LLC"</f>
        <v>SUPRA INVESTMENTS LLC</v>
      </c>
      <c r="C12252" s="1" t="str">
        <f>"1103 W STATE ST W1/2 W PARK LOT 479"</f>
        <v>1103 W STATE ST W1/2 W PARK LOT 479</v>
      </c>
      <c r="D12252" s="1">
        <v>170.96</v>
      </c>
    </row>
    <row r="12253" spans="1:4" x14ac:dyDescent="0.3">
      <c r="A12253" s="1" t="str">
        <f>"05000012800"</f>
        <v>05000012800</v>
      </c>
      <c r="B12253" s="1" t="str">
        <f>"SUPRA INVESTMENTS LLC"</f>
        <v>SUPRA INVESTMENTS LLC</v>
      </c>
      <c r="C12253" s="1" t="str">
        <f>"5391 FRANKLIN ST VILLAGE OF HILLIARD LOT 15 &amp; N1/2 16"</f>
        <v>5391 FRANKLIN ST VILLAGE OF HILLIARD LOT 15 &amp; N1/2 16</v>
      </c>
      <c r="D12253" s="1">
        <v>7191.66</v>
      </c>
    </row>
    <row r="12254" spans="1:4" x14ac:dyDescent="0.3">
      <c r="A12254" s="1" t="str">
        <f>"11000453600"</f>
        <v>11000453600</v>
      </c>
      <c r="B12254" s="1" t="str">
        <f>"SURETTE ALBERT"</f>
        <v>SURETTE ALBERT</v>
      </c>
      <c r="C12254" s="1" t="str">
        <f>"3514 DEMPSEY RD HAMSTEAD 1 57 "</f>
        <v xml:space="preserve">3514 DEMPSEY RD HAMSTEAD 1 57 </v>
      </c>
      <c r="D12254" s="1">
        <v>2528.63</v>
      </c>
    </row>
    <row r="12255" spans="1:4" x14ac:dyDescent="0.3">
      <c r="A12255" s="1" t="str">
        <f>"01011444100"</f>
        <v>01011444100</v>
      </c>
      <c r="B12255" s="1" t="str">
        <f>"SURFER SHERRY"</f>
        <v>SURFER SHERRY</v>
      </c>
      <c r="C12255" s="1" t="str">
        <f>"LINWOOD AVE MARION PARK LOT 49"</f>
        <v>LINWOOD AVE MARION PARK LOT 49</v>
      </c>
      <c r="D12255" s="1">
        <v>2258.7399999999998</v>
      </c>
    </row>
    <row r="12256" spans="1:4" x14ac:dyDescent="0.3">
      <c r="A12256" s="1" t="str">
        <f>"01027551700"</f>
        <v>01027551700</v>
      </c>
      <c r="B12256" s="1" t="str">
        <f>"SURIYATHEP BOBBY"</f>
        <v>SURIYATHEP BOBBY</v>
      </c>
      <c r="C12256" s="1" t="str">
        <f>"5967 HAYDENS CROSSING BL  HAYDENS CROSSING          SECTION 2 PART 2 LOT 180 "</f>
        <v xml:space="preserve">5967 HAYDENS CROSSING BL  HAYDENS CROSSING          SECTION 2 PART 2 LOT 180 </v>
      </c>
      <c r="D12256" s="1">
        <v>4591.79</v>
      </c>
    </row>
    <row r="12257" spans="1:4" x14ac:dyDescent="0.3">
      <c r="A12257" s="1" t="str">
        <f>"07001403800"</f>
        <v>07001403800</v>
      </c>
      <c r="B12257" s="1" t="str">
        <f>"SURREYOUSLY BEAUTIFUL LLC"</f>
        <v>SURREYOUSLY BEAUTIFUL LLC</v>
      </c>
      <c r="C12257" s="1" t="str">
        <f>"NOSNA DR RESUB LOT 16 THE NELLANS LOT 3"</f>
        <v>NOSNA DR RESUB LOT 16 THE NELLANS LOT 3</v>
      </c>
      <c r="D12257" s="1">
        <v>668.44</v>
      </c>
    </row>
    <row r="12258" spans="1:4" x14ac:dyDescent="0.3">
      <c r="A12258" s="1" t="str">
        <f>"08000246000"</f>
        <v>08000246000</v>
      </c>
      <c r="B12258" s="1" t="str">
        <f>"SUSEY RALPH, SUSEY MATTHEW D, SUSEY IRIS"</f>
        <v>SUSEY RALPH, SUSEY MATTHEW D, SUSEY IRIS</v>
      </c>
      <c r="C12258" s="1" t="str">
        <f>"FAIRVIEW AVE BURKS J B C NO 1 5"</f>
        <v>FAIRVIEW AVE BURKS J B C NO 1 5</v>
      </c>
      <c r="D12258" s="1">
        <v>7198.21</v>
      </c>
    </row>
    <row r="12259" spans="1:4" x14ac:dyDescent="0.3">
      <c r="A12259" s="1" t="str">
        <f>"57026894600"</f>
        <v>57026894600</v>
      </c>
      <c r="B12259" s="1" t="str">
        <f>"SUSSEX PLACE HOMEOWNERS ASSOC INC"</f>
        <v>SUSSEX PLACE HOMEOWNERS ASSOC INC</v>
      </c>
      <c r="C12259" s="1" t="s">
        <v>21</v>
      </c>
      <c r="D12259" s="1">
        <v>99.7</v>
      </c>
    </row>
    <row r="12260" spans="1:4" x14ac:dyDescent="0.3">
      <c r="A12260" s="1" t="str">
        <f>"57027207000"</f>
        <v>57027207000</v>
      </c>
      <c r="B12260" s="1" t="str">
        <f>"SUSSEX PLACE HOMEOWNERS ASSOC INC"</f>
        <v>SUSSEX PLACE HOMEOWNERS ASSOC INC</v>
      </c>
      <c r="C12260" s="1" t="s">
        <v>22</v>
      </c>
      <c r="D12260" s="1">
        <v>99.7</v>
      </c>
    </row>
    <row r="12261" spans="1:4" x14ac:dyDescent="0.3">
      <c r="A12261" s="1" t="str">
        <f>"57027207100"</f>
        <v>57027207100</v>
      </c>
      <c r="B12261" s="1" t="str">
        <f>"SUSSEX PLACE HOMEOWNERS ASSOC INC"</f>
        <v>SUSSEX PLACE HOMEOWNERS ASSOC INC</v>
      </c>
      <c r="C12261" s="1" t="s">
        <v>23</v>
      </c>
      <c r="D12261" s="1">
        <v>99.7</v>
      </c>
    </row>
    <row r="12262" spans="1:4" x14ac:dyDescent="0.3">
      <c r="A12262" s="1" t="str">
        <f>"09000014700"</f>
        <v>09000014700</v>
      </c>
      <c r="B12262" s="1" t="str">
        <f>"SUTHERLAND MARK S"</f>
        <v>SUTHERLAND MARK S</v>
      </c>
      <c r="C12262" s="1" t="str">
        <f>"HAMILTON RD NORTON FIELD PLAT 1 30 "</f>
        <v xml:space="preserve">HAMILTON RD NORTON FIELD PLAT 1 30 </v>
      </c>
      <c r="D12262" s="1">
        <v>4968.21</v>
      </c>
    </row>
    <row r="12263" spans="1:4" x14ac:dyDescent="0.3">
      <c r="A12263" s="1" t="str">
        <f>"15000165500"</f>
        <v>15000165500</v>
      </c>
      <c r="B12263" s="1" t="str">
        <f>"SUTHERLAND TIMOTHY J"</f>
        <v>SUTHERLAND TIMOTHY J</v>
      </c>
      <c r="C12263" s="1" t="str">
        <f>"5021 MEADOWBROOK DR HAMILTON MEADOWS 33 "</f>
        <v xml:space="preserve">5021 MEADOWBROOK DR HAMILTON MEADOWS 33 </v>
      </c>
      <c r="D12263" s="1">
        <v>146.44</v>
      </c>
    </row>
    <row r="12264" spans="1:4" x14ac:dyDescent="0.3">
      <c r="A12264" s="1" t="str">
        <f>"01018416900"</f>
        <v>01018416900</v>
      </c>
      <c r="B12264" s="1" t="str">
        <f>"SUTTON ALAN L"</f>
        <v>SUTTON ALAN L</v>
      </c>
      <c r="C12264" s="1" t="str">
        <f>"BEECHCROFT RD BEECHCROFT CONDO BLDG 4 UNIT 5702-A"</f>
        <v>BEECHCROFT RD BEECHCROFT CONDO BLDG 4 UNIT 5702-A</v>
      </c>
      <c r="D12264" s="1">
        <v>727.2</v>
      </c>
    </row>
    <row r="12265" spans="1:4" x14ac:dyDescent="0.3">
      <c r="A12265" s="1" t="str">
        <f>"23000241500"</f>
        <v>23000241500</v>
      </c>
      <c r="B12265" s="1" t="str">
        <f>"SUTTON BARBARA, SUTTON SHANE"</f>
        <v>SUTTON BARBARA, SUTTON SHANE</v>
      </c>
      <c r="C12265" s="1" t="str">
        <f>"6916 CEDAR DR COVERED BRIDGE LTS 81-2 &amp; WS LTS 83-4"</f>
        <v>6916 CEDAR DR COVERED BRIDGE LTS 81-2 &amp; WS LTS 83-4</v>
      </c>
      <c r="D12265" s="1">
        <v>161.91</v>
      </c>
    </row>
    <row r="12266" spans="1:4" x14ac:dyDescent="0.3">
      <c r="A12266" s="1" t="str">
        <f>"14000583000"</f>
        <v>14000583000</v>
      </c>
      <c r="B12266" s="1" t="str">
        <f>"SUTTON GINGER D, CURRY BILLY E II"</f>
        <v>SUTTON GINGER D, CURRY BILLY E II</v>
      </c>
      <c r="C12266" s="1" t="str">
        <f>"1707 MARSDALE AVE WESTBROOK SUBDV LOT 230"</f>
        <v>1707 MARSDALE AVE WESTBROOK SUBDV LOT 230</v>
      </c>
      <c r="D12266" s="1">
        <v>6651.49</v>
      </c>
    </row>
    <row r="12267" spans="1:4" x14ac:dyDescent="0.3">
      <c r="A12267" s="1" t="str">
        <f>"01006745500"</f>
        <v>01006745500</v>
      </c>
      <c r="B12267" s="1" t="str">
        <f>"SUTTON WELMA"</f>
        <v>SUTTON WELMA</v>
      </c>
      <c r="C12267" s="1" t="str">
        <f>"EAST COLUMBUS LOT 464 "</f>
        <v xml:space="preserve">EAST COLUMBUS LOT 464 </v>
      </c>
      <c r="D12267" s="1">
        <v>241.25</v>
      </c>
    </row>
    <row r="12268" spans="1:4" x14ac:dyDescent="0.3">
      <c r="A12268" s="1" t="str">
        <f>"01009277800"</f>
        <v>01009277800</v>
      </c>
      <c r="B12268" s="1" t="str">
        <f>"SUTTON WELMA"</f>
        <v>SUTTON WELMA</v>
      </c>
      <c r="C12268" s="1" t="str">
        <f>"E FIFTH AVE EAST COLUMBUS LOT 465"</f>
        <v>E FIFTH AVE EAST COLUMBUS LOT 465</v>
      </c>
      <c r="D12268" s="1">
        <v>1112.6300000000001</v>
      </c>
    </row>
    <row r="12269" spans="1:4" x14ac:dyDescent="0.3">
      <c r="A12269" s="1" t="str">
        <f>"01013393200"</f>
        <v>01013393200</v>
      </c>
      <c r="B12269" s="1" t="str">
        <f>"SUTTON WELMA L"</f>
        <v>SUTTON WELMA L</v>
      </c>
      <c r="C12269" s="1" t="str">
        <f>"BURNLEY CT DEVONSHIRE 1 LOT 153"</f>
        <v>BURNLEY CT DEVONSHIRE 1 LOT 153</v>
      </c>
      <c r="D12269" s="1">
        <v>651.12</v>
      </c>
    </row>
    <row r="12270" spans="1:4" x14ac:dyDescent="0.3">
      <c r="A12270" s="1" t="str">
        <f>"51023225400"</f>
        <v>51023225400</v>
      </c>
      <c r="B12270" s="1" t="str">
        <f>"SWABY WINSTON B"</f>
        <v>SWABY WINSTON B</v>
      </c>
      <c r="C12270" s="1" t="str">
        <f>"VIEWPOINTE DRIVE CROSS POINTE SEC 3 LOT 124"</f>
        <v>VIEWPOINTE DRIVE CROSS POINTE SEC 3 LOT 124</v>
      </c>
      <c r="D12270" s="1">
        <v>1571.63</v>
      </c>
    </row>
    <row r="12271" spans="1:4" x14ac:dyDescent="0.3">
      <c r="A12271" s="1" t="str">
        <f>"17000212500"</f>
        <v>17000212500</v>
      </c>
      <c r="B12271" s="1" t="str">
        <f>"SWAD BARBARA S TTEE"</f>
        <v>SWAD BARBARA S TTEE</v>
      </c>
      <c r="C12271" s="1" t="str">
        <f>"POPPY HILLS DR JEFFERSON MDWS SEC 1 PH 3 LOTS 59 &amp; 60"</f>
        <v>POPPY HILLS DR JEFFERSON MDWS SEC 1 PH 3 LOTS 59 &amp; 60</v>
      </c>
      <c r="D12271" s="1">
        <v>1003.64</v>
      </c>
    </row>
    <row r="12272" spans="1:4" x14ac:dyDescent="0.3">
      <c r="A12272" s="1" t="str">
        <f>"60030032500"</f>
        <v>60030032500</v>
      </c>
      <c r="B12272" s="1" t="str">
        <f>"SWAD BARBARA S TTEE"</f>
        <v>SWAD BARBARA S TTEE</v>
      </c>
      <c r="C12272" s="1" t="str">
        <f>"HIGHPOINTE AT LITTLE TURTLE CONDOMINIUM BLDG 2 UNIT 2404 "</f>
        <v xml:space="preserve">HIGHPOINTE AT LITTLE TURTLE CONDOMINIUM BLDG 2 UNIT 2404 </v>
      </c>
      <c r="D12272" s="1">
        <v>626.24</v>
      </c>
    </row>
    <row r="12273" spans="1:4" x14ac:dyDescent="0.3">
      <c r="A12273" s="1" t="str">
        <f>"01013454300"</f>
        <v>01013454300</v>
      </c>
      <c r="B12273" s="1" t="str">
        <f>"SWAGGERTY JUANITA"</f>
        <v>SWAGGERTY JUANITA</v>
      </c>
      <c r="C12273" s="1" t="str">
        <f>"WEDGEWOOD D HOLLY HILL 5 LOT 499 &amp; RESERVE B"</f>
        <v>WEDGEWOOD D HOLLY HILL 5 LOT 499 &amp; RESERVE B</v>
      </c>
      <c r="D12273" s="1">
        <v>1497.29</v>
      </c>
    </row>
    <row r="12274" spans="1:4" x14ac:dyDescent="0.3">
      <c r="A12274" s="1" t="str">
        <f>"01014456900"</f>
        <v>01014456900</v>
      </c>
      <c r="B12274" s="1" t="str">
        <f>"SWAIN WILLIAM A"</f>
        <v>SWAIN WILLIAM A</v>
      </c>
      <c r="C12274" s="1" t="str">
        <f>"TRENT RD NORTHLAND PK SEC 1 LOT 62"</f>
        <v>TRENT RD NORTHLAND PK SEC 1 LOT 62</v>
      </c>
      <c r="D12274" s="1">
        <v>174.14</v>
      </c>
    </row>
    <row r="12275" spans="1:4" x14ac:dyDescent="0.3">
      <c r="A12275" s="1" t="str">
        <f>"01008154000"</f>
        <v>01008154000</v>
      </c>
      <c r="B12275" s="1" t="str">
        <f>"SWANEY FRANK E"</f>
        <v>SWANEY FRANK E</v>
      </c>
      <c r="C12275" s="1" t="str">
        <f>"WHITETHORNE AVE HIGH RIDGE EXT LOT 22 BLK 8"</f>
        <v>WHITETHORNE AVE HIGH RIDGE EXT LOT 22 BLK 8</v>
      </c>
      <c r="D12275" s="1">
        <v>788.63</v>
      </c>
    </row>
    <row r="12276" spans="1:4" x14ac:dyDescent="0.3">
      <c r="A12276" s="1" t="str">
        <f>"01003621800"</f>
        <v>01003621800</v>
      </c>
      <c r="B12276" s="1" t="str">
        <f>"SWANK SHIRLEY"</f>
        <v>SWANK SHIRLEY</v>
      </c>
      <c r="C12276" s="1" t="str">
        <f>"70 WISCONSIN AVE FRANKLIN 2ND LOT 77"</f>
        <v>70 WISCONSIN AVE FRANKLIN 2ND LOT 77</v>
      </c>
      <c r="D12276" s="1">
        <v>1928.95</v>
      </c>
    </row>
    <row r="12277" spans="1:4" x14ac:dyDescent="0.3">
      <c r="A12277" s="1" t="str">
        <f>"01005050800"</f>
        <v>01005050800</v>
      </c>
      <c r="B12277" s="1" t="str">
        <f>"SWANK TERRY"</f>
        <v>SWANK TERRY</v>
      </c>
      <c r="C12277" s="1" t="str">
        <f>"123-125 GUILFORD AVE GUILFORD PK LOT 117"</f>
        <v>123-125 GUILFORD AVE GUILFORD PK LOT 117</v>
      </c>
      <c r="D12277" s="1">
        <v>321.76</v>
      </c>
    </row>
    <row r="12278" spans="1:4" x14ac:dyDescent="0.3">
      <c r="A12278" s="1" t="str">
        <f>"01001185000"</f>
        <v>01001185000</v>
      </c>
      <c r="B12278" s="1" t="str">
        <f>"SWANK TERRY"</f>
        <v>SWANK TERRY</v>
      </c>
      <c r="C12278" s="1" t="str">
        <f>"99 SCHULTZ AVE BELMONT LOT 183"</f>
        <v>99 SCHULTZ AVE BELMONT LOT 183</v>
      </c>
      <c r="D12278" s="1">
        <v>2217.2600000000002</v>
      </c>
    </row>
    <row r="12279" spans="1:4" x14ac:dyDescent="0.3">
      <c r="A12279" s="1" t="str">
        <f>"01000202600"</f>
        <v>01000202600</v>
      </c>
      <c r="B12279" s="1" t="str">
        <f>"SWANK TERRY"</f>
        <v>SWANK TERRY</v>
      </c>
      <c r="C12279" s="1" t="str">
        <f>"129 GUILFORD AVE GUILFORD PARK LOT118"</f>
        <v>129 GUILFORD AVE GUILFORD PARK LOT118</v>
      </c>
      <c r="D12279" s="1">
        <v>1217.46</v>
      </c>
    </row>
    <row r="12280" spans="1:4" x14ac:dyDescent="0.3">
      <c r="A12280" s="1" t="str">
        <f>"01001736200"</f>
        <v>01001736200</v>
      </c>
      <c r="B12280" s="1" t="str">
        <f>"SWANN MARY M"</f>
        <v>SWANN MARY M</v>
      </c>
      <c r="C12280" s="1" t="str">
        <f>"1290 WILSON AVE EDGEWOOD ACRES 2 LOT 117"</f>
        <v>1290 WILSON AVE EDGEWOOD ACRES 2 LOT 117</v>
      </c>
      <c r="D12280" s="1">
        <v>552.84</v>
      </c>
    </row>
    <row r="12281" spans="1:4" x14ac:dyDescent="0.3">
      <c r="A12281" s="1" t="str">
        <f>"01006011300"</f>
        <v>01006011300</v>
      </c>
      <c r="B12281" s="1" t="str">
        <f>"SWANSON NELS C"</f>
        <v>SWANSON NELS C</v>
      </c>
      <c r="C12281" s="1" t="str">
        <f>"1506 BRIARWOOD WALDON LOT 247"</f>
        <v>1506 BRIARWOOD WALDON LOT 247</v>
      </c>
      <c r="D12281" s="1">
        <v>897.06</v>
      </c>
    </row>
    <row r="12282" spans="1:4" x14ac:dyDescent="0.3">
      <c r="A12282" s="1" t="str">
        <f>"06000452900"</f>
        <v>06000452900</v>
      </c>
      <c r="B12282" s="1" t="str">
        <f>"SWANZY-ESSIEN HANNAH"</f>
        <v>SWANZY-ESSIEN HANNAH</v>
      </c>
      <c r="C12282" s="1" t="str">
        <f>"WOODS EDGE DR BLACKLICK HTS 2 34 "</f>
        <v xml:space="preserve">WOODS EDGE DR BLACKLICK HTS 2 34 </v>
      </c>
      <c r="D12282" s="1">
        <v>3034.97</v>
      </c>
    </row>
    <row r="12283" spans="1:4" x14ac:dyDescent="0.3">
      <c r="A12283" s="1" t="str">
        <f>"57013752600"</f>
        <v>57013752600</v>
      </c>
      <c r="B12283" s="1" t="str">
        <f>"SWAPNAM ENTERPRISES LLC"</f>
        <v>SWAPNAM ENTERPRISES LLC</v>
      </c>
      <c r="C12283" s="1" t="str">
        <f>"4725 PARKWICK DR BIG RUN VILLAGE 1.8164 ACRES"</f>
        <v>4725 PARKWICK DR BIG RUN VILLAGE 1.8164 ACRES</v>
      </c>
      <c r="D12283" s="1">
        <v>13276.96</v>
      </c>
    </row>
    <row r="12284" spans="1:4" x14ac:dyDescent="0.3">
      <c r="A12284" s="1" t="str">
        <f>"61021704200"</f>
        <v>61021704200</v>
      </c>
      <c r="B12284" s="1" t="str">
        <f>"SWAPNAM ENTERPRISES LLC"</f>
        <v>SWAPNAM ENTERPRISES LLC</v>
      </c>
      <c r="C12284" s="1" t="str">
        <f>"8100 RAVINES EDGE COURT CONDOMINIUM UNIT 250"</f>
        <v>8100 RAVINES EDGE COURT CONDOMINIUM UNIT 250</v>
      </c>
      <c r="D12284" s="1">
        <v>3803.89</v>
      </c>
    </row>
    <row r="12285" spans="1:4" x14ac:dyDescent="0.3">
      <c r="A12285" s="1" t="str">
        <f>"61019116800"</f>
        <v>61019116800</v>
      </c>
      <c r="B12285" s="1" t="str">
        <f>"SWARTZ JOHN L"</f>
        <v>SWARTZ JOHN L</v>
      </c>
      <c r="C12285" s="1" t="str">
        <f>"CLIFFTHORNE WAY OLENTANGY HI BLUF 1 LOT 20"</f>
        <v>CLIFFTHORNE WAY OLENTANGY HI BLUF 1 LOT 20</v>
      </c>
      <c r="D12285" s="1">
        <v>102.12</v>
      </c>
    </row>
    <row r="12286" spans="1:4" x14ac:dyDescent="0.3">
      <c r="A12286" s="1" t="str">
        <f>"19000124200"</f>
        <v>19000124200</v>
      </c>
      <c r="B12286" s="1" t="str">
        <f>"SWAYNE DONALD J, SWAYNE CHARLOTTE L"</f>
        <v>SWAYNE DONALD J, SWAYNE CHARLOTTE L</v>
      </c>
      <c r="C12286" s="1" t="str">
        <f>"WOODLAND AVE 4&amp;39FT FRT 15.25FT RR NS 3 TUXEDO PARK 3-4"</f>
        <v>WOODLAND AVE 4&amp;39FT FRT 15.25FT RR NS 3 TUXEDO PARK 3-4</v>
      </c>
      <c r="D12286" s="1">
        <v>4121.3500000000004</v>
      </c>
    </row>
    <row r="12287" spans="1:4" x14ac:dyDescent="0.3">
      <c r="A12287" s="1" t="str">
        <f>"27300060200"</f>
        <v>27300060200</v>
      </c>
      <c r="B12287" s="1" t="str">
        <f>"SWEENEY AMIE DRYDEN TTEE"</f>
        <v>SWEENEY AMIE DRYDEN TTEE</v>
      </c>
      <c r="C12287" s="1" t="str">
        <f>"7450 BELLAIRE AVE LANCASHIRE LOT 8"</f>
        <v>7450 BELLAIRE AVE LANCASHIRE LOT 8</v>
      </c>
      <c r="D12287" s="1">
        <v>878.84</v>
      </c>
    </row>
    <row r="12288" spans="1:4" x14ac:dyDescent="0.3">
      <c r="A12288" s="1" t="str">
        <f>"14000086400"</f>
        <v>14000086400</v>
      </c>
      <c r="B12288" s="1" t="str">
        <f>"SWEENEY DAVID E"</f>
        <v>SWEENEY DAVID E</v>
      </c>
      <c r="C12288" s="1" t="str">
        <f>"1595 GARLING AVE GARLINGS LOT 22 "</f>
        <v xml:space="preserve">1595 GARLING AVE GARLINGS LOT 22 </v>
      </c>
      <c r="D12288" s="1">
        <v>3178.81</v>
      </c>
    </row>
    <row r="12289" spans="1:4" x14ac:dyDescent="0.3">
      <c r="A12289" s="1" t="str">
        <f>"01010815100"</f>
        <v>01010815100</v>
      </c>
      <c r="B12289" s="1" t="str">
        <f>"SWEENEY ESTHER M"</f>
        <v>SWEENEY ESTHER M</v>
      </c>
      <c r="C12289" s="1" t="str">
        <f>"BERKELEY RD FRANK J MOELLERS NEW ADDN LOT 8"</f>
        <v>BERKELEY RD FRANK J MOELLERS NEW ADDN LOT 8</v>
      </c>
      <c r="D12289" s="1">
        <v>3101.59</v>
      </c>
    </row>
    <row r="12290" spans="1:4" x14ac:dyDescent="0.3">
      <c r="A12290" s="1" t="str">
        <f>"05300099400"</f>
        <v>05300099400</v>
      </c>
      <c r="B12290" s="1" t="str">
        <f>"SWEENEY MARK J, SWEENEY APRIL J"</f>
        <v>SWEENEY MARK J, SWEENEY APRIL J</v>
      </c>
      <c r="C12290" s="1" t="str">
        <f>"HILL FARM SECTION 3 PHASE 2 LOT 110"</f>
        <v>HILL FARM SECTION 3 PHASE 2 LOT 110</v>
      </c>
      <c r="D12290" s="1">
        <v>568.5</v>
      </c>
    </row>
    <row r="12291" spans="1:4" x14ac:dyDescent="0.3">
      <c r="A12291" s="1" t="str">
        <f>"04000846400"</f>
        <v>04000846400</v>
      </c>
      <c r="B12291" s="1" t="str">
        <f>"SWEET TOM A TTEE"</f>
        <v>SWEET TOM A TTEE</v>
      </c>
      <c r="C12291" s="1" t="str">
        <f>"DEERFIELD DRIVE MEADOW GROVE SEC 10 LOT 327"</f>
        <v>DEERFIELD DRIVE MEADOW GROVE SEC 10 LOT 327</v>
      </c>
      <c r="D12291" s="1">
        <v>533.02</v>
      </c>
    </row>
    <row r="12292" spans="1:4" x14ac:dyDescent="0.3">
      <c r="A12292" s="1" t="str">
        <f>"04000485600"</f>
        <v>04000485600</v>
      </c>
      <c r="B12292" s="1" t="str">
        <f>"SWEET TOM A TTEE"</f>
        <v>SWEET TOM A TTEE</v>
      </c>
      <c r="C12292" s="1" t="str">
        <f>"3841 QUEEN ANNE PL CONDOMINIUM UNIT A29 AUBURN VILLAGE"</f>
        <v>3841 QUEEN ANNE PL CONDOMINIUM UNIT A29 AUBURN VILLAGE</v>
      </c>
      <c r="D12292" s="1">
        <v>2554.59</v>
      </c>
    </row>
    <row r="12293" spans="1:4" x14ac:dyDescent="0.3">
      <c r="A12293" s="1" t="str">
        <f>"01007711200"</f>
        <v>01007711200</v>
      </c>
      <c r="B12293" s="1" t="str">
        <f>"SWEETLEAF LLC"</f>
        <v>SWEETLEAF LLC</v>
      </c>
      <c r="C12293" s="1" t="str">
        <f>"513 BINNS BLVD BROADVIEW EXT LOT 11 BLK 29"</f>
        <v>513 BINNS BLVD BROADVIEW EXT LOT 11 BLK 29</v>
      </c>
      <c r="D12293" s="1">
        <v>192.23</v>
      </c>
    </row>
    <row r="12294" spans="1:4" x14ac:dyDescent="0.3">
      <c r="A12294" s="1" t="str">
        <f>"24100031600"</f>
        <v>24100031600</v>
      </c>
      <c r="B12294" s="1" t="str">
        <f>"SWEIGART PAMELA A, ARMISTEAD PAMELA A"</f>
        <v>SWEIGART PAMELA A, ARMISTEAD PAMELA A</v>
      </c>
      <c r="C12294" s="1" t="str">
        <f>"DUKEWELL PLACE LAKE DARBY ESTATES 2 LOT 382"</f>
        <v>DUKEWELL PLACE LAKE DARBY ESTATES 2 LOT 382</v>
      </c>
      <c r="D12294" s="1">
        <v>3218.53</v>
      </c>
    </row>
    <row r="12295" spans="1:4" x14ac:dyDescent="0.3">
      <c r="A12295" s="1" t="str">
        <f>"56026781700"</f>
        <v>56026781700</v>
      </c>
      <c r="B12295" s="1" t="str">
        <f>"SWENDAL NATHAN L, SWENDAL KELLY M"</f>
        <v>SWENDAL NATHAN L, SWENDAL KELLY M</v>
      </c>
      <c r="C12295" s="1" t="str">
        <f>"WALKERVIEW DRIVE LAKEWOOD SECTION 6 LOT 405"</f>
        <v>WALKERVIEW DRIVE LAKEWOOD SECTION 6 LOT 405</v>
      </c>
      <c r="D12295" s="1">
        <v>459.04</v>
      </c>
    </row>
    <row r="12296" spans="1:4" x14ac:dyDescent="0.3">
      <c r="A12296" s="1" t="str">
        <f>"13000223900"</f>
        <v>13000223900</v>
      </c>
      <c r="B12296" s="1" t="str">
        <f>"SWETNAM J SCOTT, EXCONDE MELISSA M"</f>
        <v>SWETNAM J SCOTT, EXCONDE MELISSA M</v>
      </c>
      <c r="C12296" s="1" t="str">
        <f>"9TH AVE UNIVERSITY VIEW #2 LOT 194"</f>
        <v>9TH AVE UNIVERSITY VIEW #2 LOT 194</v>
      </c>
      <c r="D12296" s="1">
        <v>2859.47</v>
      </c>
    </row>
    <row r="12297" spans="1:4" x14ac:dyDescent="0.3">
      <c r="A12297" s="1" t="str">
        <f>"01009471000"</f>
        <v>01009471000</v>
      </c>
      <c r="B12297" s="1" t="str">
        <f>"SWIDARSKI KATHERINE"</f>
        <v>SWIDARSKI KATHERINE</v>
      </c>
      <c r="C12297" s="1" t="str">
        <f>"N BROADWAY PONTIAC PARK LOT 160"</f>
        <v>N BROADWAY PONTIAC PARK LOT 160</v>
      </c>
      <c r="D12297" s="1">
        <v>1319.97</v>
      </c>
    </row>
    <row r="12298" spans="1:4" x14ac:dyDescent="0.3">
      <c r="A12298" s="1" t="str">
        <f>"16100078700"</f>
        <v>16100078700</v>
      </c>
      <c r="B12298" s="1" t="str">
        <f>"SWIFT REI LLC"</f>
        <v>SWIFT REI LLC</v>
      </c>
      <c r="C12298" s="1" t="str">
        <f>"THIRD AVE URBANCREST 3 BLK 13"</f>
        <v>THIRD AVE URBANCREST 3 BLK 13</v>
      </c>
      <c r="D12298" s="1">
        <v>21.94</v>
      </c>
    </row>
    <row r="12299" spans="1:4" x14ac:dyDescent="0.3">
      <c r="A12299" s="1" t="str">
        <f>"16100036400"</f>
        <v>16100036400</v>
      </c>
      <c r="B12299" s="1" t="str">
        <f>"SWIFT REI LLC"</f>
        <v>SWIFT REI LLC</v>
      </c>
      <c r="C12299" s="1" t="str">
        <f>"3568 3RD AVE URBANCREST 2 BLK 13"</f>
        <v>3568 3RD AVE URBANCREST 2 BLK 13</v>
      </c>
      <c r="D12299" s="1">
        <v>71.19</v>
      </c>
    </row>
    <row r="12300" spans="1:4" x14ac:dyDescent="0.3">
      <c r="A12300" s="1" t="str">
        <f>"49023467800"</f>
        <v>49023467800</v>
      </c>
      <c r="B12300" s="1" t="str">
        <f>"SWIGER JACOB AARON"</f>
        <v>SWIGER JACOB AARON</v>
      </c>
      <c r="C12300" s="1" t="str">
        <f>"JENNYANN WAY WINCHESTER HIGHLANDS SEC 3 PT 1 LOT 207"</f>
        <v>JENNYANN WAY WINCHESTER HIGHLANDS SEC 3 PT 1 LOT 207</v>
      </c>
      <c r="D12300" s="1">
        <v>2214.38</v>
      </c>
    </row>
    <row r="12301" spans="1:4" x14ac:dyDescent="0.3">
      <c r="A12301" s="1" t="str">
        <f>"01008076000"</f>
        <v>01008076000</v>
      </c>
      <c r="B12301" s="1" t="str">
        <f>"SWISS PROPERTY RENTALS ONE LLC"</f>
        <v>SWISS PROPERTY RENTALS ONE LLC</v>
      </c>
      <c r="C12301" s="1" t="str">
        <f>"1047 LILLEY AVE DRIVING PARK LOT 261"</f>
        <v>1047 LILLEY AVE DRIVING PARK LOT 261</v>
      </c>
      <c r="D12301" s="1">
        <v>134.12</v>
      </c>
    </row>
    <row r="12302" spans="1:4" x14ac:dyDescent="0.3">
      <c r="A12302" s="1" t="str">
        <f>"01003675700"</f>
        <v>01003675700</v>
      </c>
      <c r="B12302" s="1" t="str">
        <f>"SWISS PROPERTY RENTALS TWO LLC"</f>
        <v>SWISS PROPERTY RENTALS TWO LLC</v>
      </c>
      <c r="C12302" s="1" t="str">
        <f>"2001 MARYLAND AVE EAST GATE 2 LOT 30 BLK 15"</f>
        <v>2001 MARYLAND AVE EAST GATE 2 LOT 30 BLK 15</v>
      </c>
      <c r="D12302" s="1">
        <v>160.63999999999999</v>
      </c>
    </row>
    <row r="12303" spans="1:4" x14ac:dyDescent="0.3">
      <c r="A12303" s="1" t="str">
        <f>"01007796900"</f>
        <v>01007796900</v>
      </c>
      <c r="B12303" s="1" t="str">
        <f>"SWORD THOMAS"</f>
        <v>SWORD THOMAS</v>
      </c>
      <c r="C12303" s="1" t="str">
        <f>"726 HANFORD ST 11FT ES LT94&amp;18FT WS LT95 HOMEVILLE LOT 94-5"</f>
        <v>726 HANFORD ST 11FT ES LT94&amp;18FT WS LT95 HOMEVILLE LOT 94-5</v>
      </c>
      <c r="D12303" s="1">
        <v>133.72999999999999</v>
      </c>
    </row>
    <row r="12304" spans="1:4" x14ac:dyDescent="0.3">
      <c r="A12304" s="1" t="str">
        <f>"01005026800"</f>
        <v>01005026800</v>
      </c>
      <c r="B12304" s="1" t="str">
        <f>"SYED FAISAL, SYED JENIFER S"</f>
        <v>SYED FAISAL, SYED JENIFER S</v>
      </c>
      <c r="C12304" s="1" t="str">
        <f>"GREENWAY AVE HELSON HRS SUB 5 1.4034 ACRE"</f>
        <v>GREENWAY AVE HELSON HRS SUB 5 1.4034 ACRE</v>
      </c>
      <c r="D12304" s="1">
        <v>703.64</v>
      </c>
    </row>
    <row r="12305" spans="1:4" x14ac:dyDescent="0.3">
      <c r="A12305" s="1" t="str">
        <f>"01005031200"</f>
        <v>01005031200</v>
      </c>
      <c r="B12305" s="1" t="str">
        <f>"SYED FAISAL, SYED JENIFER S"</f>
        <v>SYED FAISAL, SYED JENIFER S</v>
      </c>
      <c r="C12305" s="1" t="str">
        <f>"282 WOODLAND 137FT WOODLAND AVE&amp;.27ACRE NELSONS HRS LOT 5"</f>
        <v>282 WOODLAND 137FT WOODLAND AVE&amp;.27ACRE NELSONS HRS LOT 5</v>
      </c>
      <c r="D12305" s="1">
        <v>4662.34</v>
      </c>
    </row>
    <row r="12306" spans="1:4" x14ac:dyDescent="0.3">
      <c r="A12306" s="1" t="str">
        <f>"01004607600"</f>
        <v>01004607600</v>
      </c>
      <c r="B12306" s="1" t="str">
        <f>"SYED FAISAL, SYED JENIFER S"</f>
        <v>SYED FAISAL, SYED JENIFER S</v>
      </c>
      <c r="C12306" s="1" t="str">
        <f>"WOODLAND AVE 38.3X 160FT OR .131 ACRE NELSON HRS SUB 5"</f>
        <v>WOODLAND AVE 38.3X 160FT OR .131 ACRE NELSON HRS SUB 5</v>
      </c>
      <c r="D12306" s="1">
        <v>344.36</v>
      </c>
    </row>
    <row r="12307" spans="1:4" x14ac:dyDescent="0.3">
      <c r="A12307" s="1" t="str">
        <f>"01008093100"</f>
        <v>01008093100</v>
      </c>
      <c r="B12307" s="1" t="str">
        <f>"SYFAX MYRA"</f>
        <v>SYFAX MYRA</v>
      </c>
      <c r="C12307" s="1" t="str">
        <f>"1477 WHITTIER STREET DRIVING PARK LOT 432"</f>
        <v>1477 WHITTIER STREET DRIVING PARK LOT 432</v>
      </c>
      <c r="D12307" s="1">
        <v>1123.0899999999999</v>
      </c>
    </row>
    <row r="12308" spans="1:4" x14ac:dyDescent="0.3">
      <c r="A12308" s="1" t="str">
        <f>"02501226000"</f>
        <v>02501226000</v>
      </c>
      <c r="B12308" s="1" t="str">
        <f>"SYNAPSE TECH SERVICES INC"</f>
        <v>SYNAPSE TECH SERVICES INC</v>
      </c>
      <c r="C12308" s="1" t="str">
        <f>"CROSSROADS COMMERCE       CENTER BUILDING 1         CONDOMINIUMS UNIT 800L   "</f>
        <v xml:space="preserve">CROSSROADS COMMERCE       CENTER BUILDING 1         CONDOMINIUMS UNIT 800L   </v>
      </c>
      <c r="D12308" s="1">
        <v>4204.1499999999996</v>
      </c>
    </row>
    <row r="12309" spans="1:4" x14ac:dyDescent="0.3">
      <c r="A12309" s="1" t="str">
        <f>"01024218800"</f>
        <v>01024218800</v>
      </c>
      <c r="B12309" s="1" t="str">
        <f>"SZUBA GENEVIEVE M"</f>
        <v>SZUBA GENEVIEVE M</v>
      </c>
      <c r="C12309" s="1" t="str">
        <f>"MCNAUGHTEN PLACE CONDOMINIUM 4TH AMD BLDG R UNIT 52"</f>
        <v>MCNAUGHTEN PLACE CONDOMINIUM 4TH AMD BLDG R UNIT 52</v>
      </c>
      <c r="D12309" s="1">
        <v>1607.21</v>
      </c>
    </row>
    <row r="12310" spans="1:4" x14ac:dyDescent="0.3">
      <c r="A12310" s="1" t="str">
        <f>"10000030000"</f>
        <v>10000030000</v>
      </c>
      <c r="B12310" s="1" t="str">
        <f>"T AND T INVESTMENTS  LLC"</f>
        <v>T AND T INVESTMENTS  LLC</v>
      </c>
      <c r="C12310" s="1" t="str">
        <f>"N HIGH ST PT LOT 37 CITY OF WORTHINGTON"</f>
        <v>N HIGH ST PT LOT 37 CITY OF WORTHINGTON</v>
      </c>
      <c r="D12310" s="1">
        <v>319.81</v>
      </c>
    </row>
    <row r="12311" spans="1:4" x14ac:dyDescent="0.3">
      <c r="A12311" s="1" t="str">
        <f>"07000546500"</f>
        <v>07000546500</v>
      </c>
      <c r="B12311" s="1" t="str">
        <f>"T&amp;F INVESTMENT CO LLC"</f>
        <v>T&amp;F INVESTMENT CO LLC</v>
      </c>
      <c r="C12311" s="1" t="str">
        <f>"BRISTOL RD RIVER RIDGE 41 BLK 5"</f>
        <v>BRISTOL RD RIVER RIDGE 41 BLK 5</v>
      </c>
      <c r="D12311" s="1">
        <v>3449.66</v>
      </c>
    </row>
    <row r="12312" spans="1:4" x14ac:dyDescent="0.3">
      <c r="A12312" s="1" t="str">
        <f>"02000473000"</f>
        <v>02000473000</v>
      </c>
      <c r="B12312" s="1" t="str">
        <f>"TA HOANG MINH, TA HAN MINH, TA HIEN MINH"</f>
        <v>TA HOANG MINH, TA HAN MINH, TA HIEN MINH</v>
      </c>
      <c r="C12312" s="1" t="str">
        <f>"2677-2681 E MAIN ST       EAST LAWN                 LOT 2 &amp; 23.04'NL WS LOT 3"</f>
        <v>2677-2681 E MAIN ST       EAST LAWN                 LOT 2 &amp; 23.04'NL WS LOT 3</v>
      </c>
      <c r="D12312" s="1">
        <v>15169.31</v>
      </c>
    </row>
    <row r="12313" spans="1:4" x14ac:dyDescent="0.3">
      <c r="A12313" s="1" t="str">
        <f>"01012035300"</f>
        <v>01012035300</v>
      </c>
      <c r="B12313" s="1" t="str">
        <f>"TABLETT SALLIE D"</f>
        <v>TABLETT SALLIE D</v>
      </c>
      <c r="C12313" s="1" t="str">
        <f>"LIVINGSTON AVE THUNDERBIRD ACRES LOT 51"</f>
        <v>LIVINGSTON AVE THUNDERBIRD ACRES LOT 51</v>
      </c>
      <c r="D12313" s="1">
        <v>1016.65</v>
      </c>
    </row>
    <row r="12314" spans="1:4" x14ac:dyDescent="0.3">
      <c r="A12314" s="1" t="str">
        <f>"01023971900"</f>
        <v>01023971900</v>
      </c>
      <c r="B12314" s="1" t="str">
        <f>"TACHE MECALEA H"</f>
        <v>TACHE MECALEA H</v>
      </c>
      <c r="C12314" s="1" t="str">
        <f>"DASHSHUND COURT CHATTERTON SECTION 1 LOT 38"</f>
        <v>DASHSHUND COURT CHATTERTON SECTION 1 LOT 38</v>
      </c>
      <c r="D12314" s="1">
        <v>1934.64</v>
      </c>
    </row>
    <row r="12315" spans="1:4" x14ac:dyDescent="0.3">
      <c r="A12315" s="1" t="str">
        <f>"01003795400"</f>
        <v>01003795400</v>
      </c>
      <c r="B12315" s="1" t="str">
        <f>"TACK PROPERTY HOLDINGS LLC"</f>
        <v>TACK PROPERTY HOLDINGS LLC</v>
      </c>
      <c r="C12315" s="1" t="str">
        <f>"1798 PARSONS AVE OLPPS LOT 8-9"</f>
        <v>1798 PARSONS AVE OLPPS LOT 8-9</v>
      </c>
      <c r="D12315" s="1">
        <v>351.87</v>
      </c>
    </row>
    <row r="12316" spans="1:4" x14ac:dyDescent="0.3">
      <c r="A12316" s="1" t="str">
        <f>"01008877600"</f>
        <v>01008877600</v>
      </c>
      <c r="B12316" s="1" t="str">
        <f>"TADESSA TESHAGER Y, ABRAHA ALMAZ"</f>
        <v>TADESSA TESHAGER Y, ABRAHA ALMAZ</v>
      </c>
      <c r="C12316" s="1" t="str">
        <f>"ASHBURTON RD CALDWELLS MAIN ST LOT 24-26-28"</f>
        <v>ASHBURTON RD CALDWELLS MAIN ST LOT 24-26-28</v>
      </c>
      <c r="D12316" s="1">
        <v>2204.1999999999998</v>
      </c>
    </row>
    <row r="12317" spans="1:4" x14ac:dyDescent="0.3">
      <c r="A12317" s="1" t="str">
        <f>"01006872100"</f>
        <v>01006872100</v>
      </c>
      <c r="B12317" s="1" t="str">
        <f>"TADRES ACQUISITIONS LLC"</f>
        <v>TADRES ACQUISITIONS LLC</v>
      </c>
      <c r="C12317" s="1" t="str">
        <f>"589 S HAGUE AVE WILSHIRE HEIGHTS LOT 11 BLK 16"</f>
        <v>589 S HAGUE AVE WILSHIRE HEIGHTS LOT 11 BLK 16</v>
      </c>
      <c r="D12317" s="1">
        <v>2307.13</v>
      </c>
    </row>
    <row r="12318" spans="1:4" x14ac:dyDescent="0.3">
      <c r="A12318" s="1" t="str">
        <f>"06000495100"</f>
        <v>06000495100</v>
      </c>
      <c r="B12318" s="1" t="str">
        <f>"TAGGART JOSEPH, TAGGART ELIZABETH"</f>
        <v>TAGGART JOSEPH, TAGGART ELIZABETH</v>
      </c>
      <c r="C12318" s="1" t="str">
        <f>"PALMER RD R20 T16 S17 1/4S28 .155 ACRE"</f>
        <v>PALMER RD R20 T16 S17 1/4S28 .155 ACRE</v>
      </c>
      <c r="D12318" s="1">
        <v>2.92</v>
      </c>
    </row>
    <row r="12319" spans="1:4" x14ac:dyDescent="0.3">
      <c r="A12319" s="1" t="str">
        <f>"05300049100"</f>
        <v>05300049100</v>
      </c>
      <c r="B12319" s="1" t="str">
        <f>"TAKHAR AMARJIT SINGH"</f>
        <v>TAKHAR AMARJIT SINGH</v>
      </c>
      <c r="C12319" s="1" t="str">
        <f>"TARLTON MEADOWS WEST SECTION 1 PHASE 2 LOT 214"</f>
        <v>TARLTON MEADOWS WEST SECTION 1 PHASE 2 LOT 214</v>
      </c>
      <c r="D12319" s="1">
        <v>9817.41</v>
      </c>
    </row>
    <row r="12320" spans="1:4" x14ac:dyDescent="0.3">
      <c r="A12320" s="1" t="str">
        <f>"09000621300"</f>
        <v>09000621300</v>
      </c>
      <c r="B12320" s="1" t="str">
        <f>"TAKI OUTI INC"</f>
        <v>TAKI OUTI INC</v>
      </c>
      <c r="C12320" s="1" t="str">
        <f>"433 S HAMILTON ROAD       WHITEHALL PK              SEE DUP FOR DESC         "</f>
        <v xml:space="preserve">433 S HAMILTON ROAD       WHITEHALL PK              SEE DUP FOR DESC         </v>
      </c>
      <c r="D12320" s="1">
        <v>16164.08</v>
      </c>
    </row>
    <row r="12321" spans="1:4" x14ac:dyDescent="0.3">
      <c r="A12321" s="1" t="str">
        <f>"18000126700"</f>
        <v>18000126700</v>
      </c>
      <c r="B12321" s="1" t="str">
        <f>"TAKI OUTI INC"</f>
        <v>TAKI OUTI INC</v>
      </c>
      <c r="C12321" s="1" t="str">
        <f>"COLS-LANCASTER RD MARWICK ESTATES 16 "</f>
        <v xml:space="preserve">COLS-LANCASTER RD MARWICK ESTATES 16 </v>
      </c>
      <c r="D12321" s="1">
        <v>5599.02</v>
      </c>
    </row>
    <row r="12322" spans="1:4" x14ac:dyDescent="0.3">
      <c r="A12322" s="1" t="str">
        <f>"01017600300"</f>
        <v>01017600300</v>
      </c>
      <c r="B12322" s="1" t="str">
        <f>"TAKI OUTI INC"</f>
        <v>TAKI OUTI INC</v>
      </c>
      <c r="C12322" s="1" t="str">
        <f>"CLAIRPOINT WAY CLAIRPOINT VILL COND UNIT 5-B"</f>
        <v>CLAIRPOINT WAY CLAIRPOINT VILL COND UNIT 5-B</v>
      </c>
      <c r="D12322" s="1">
        <v>1630.72</v>
      </c>
    </row>
    <row r="12323" spans="1:4" x14ac:dyDescent="0.3">
      <c r="A12323" s="1" t="str">
        <f>"01007816900"</f>
        <v>01007816900</v>
      </c>
      <c r="B12323" s="1" t="str">
        <f>"TALBOTT LISA"</f>
        <v>TALBOTT LISA</v>
      </c>
      <c r="C12323" s="1" t="str">
        <f>"2486 EAKIN RD WESTLAND EXT LOT 194"</f>
        <v>2486 EAKIN RD WESTLAND EXT LOT 194</v>
      </c>
      <c r="D12323" s="1">
        <v>436.08</v>
      </c>
    </row>
    <row r="12324" spans="1:4" x14ac:dyDescent="0.3">
      <c r="A12324" s="1" t="str">
        <f>"08001150800"</f>
        <v>08001150800</v>
      </c>
      <c r="B12324" s="1" t="str">
        <f>"TALIEH JOSEPHINE N TTEE"</f>
        <v>TALIEH JOSEPHINE N TTEE</v>
      </c>
      <c r="C12324" s="1" t="str">
        <f>"GIBSON PLACE GIBSON PLACE LOT 4"</f>
        <v>GIBSON PLACE GIBSON PLACE LOT 4</v>
      </c>
      <c r="D12324" s="1">
        <v>5500</v>
      </c>
    </row>
    <row r="12325" spans="1:4" x14ac:dyDescent="0.3">
      <c r="A12325" s="1" t="str">
        <f>"15200224700"</f>
        <v>15200224700</v>
      </c>
      <c r="B12325" s="1" t="str">
        <f>"TAMANG NIMA"</f>
        <v>TAMANG NIMA</v>
      </c>
      <c r="C12325" s="1" t="str">
        <f>"BUCKSTONE BEND SECTION 3 PHASE B LOT 61"</f>
        <v>BUCKSTONE BEND SECTION 3 PHASE B LOT 61</v>
      </c>
      <c r="D12325" s="1">
        <v>1522.18</v>
      </c>
    </row>
    <row r="12326" spans="1:4" x14ac:dyDescent="0.3">
      <c r="A12326" s="1" t="str">
        <f>"01001981300"</f>
        <v>01001981300</v>
      </c>
      <c r="B12326" s="1" t="str">
        <f>"TAMIMI HYTHAM"</f>
        <v>TAMIMI HYTHAM</v>
      </c>
      <c r="C12326" s="1" t="str">
        <f>"912 W MOUND STREET OSBORN PLACE SE LOTS 439-446=0.3569 AC"</f>
        <v>912 W MOUND STREET OSBORN PLACE SE LOTS 439-446=0.3569 AC</v>
      </c>
      <c r="D12326" s="1">
        <v>7460.04</v>
      </c>
    </row>
    <row r="12327" spans="1:4" x14ac:dyDescent="0.3">
      <c r="A12327" s="1" t="str">
        <f>"01003588600"</f>
        <v>01003588600</v>
      </c>
      <c r="B12327" s="1" t="str">
        <f>"TAMIMI HYTHAM"</f>
        <v>TAMIMI HYTHAM</v>
      </c>
      <c r="C12327" s="1" t="str">
        <f>"W MOUND ST AVONDALE &amp; OSBORN LOTS 289-293 &amp; LOTS 432-435"</f>
        <v>W MOUND ST AVONDALE &amp; OSBORN LOTS 289-293 &amp; LOTS 432-435</v>
      </c>
      <c r="D12327" s="1">
        <v>11709.64</v>
      </c>
    </row>
    <row r="12328" spans="1:4" x14ac:dyDescent="0.3">
      <c r="A12328" s="1" t="str">
        <f>"01000540700"</f>
        <v>01000540700</v>
      </c>
      <c r="B12328" s="1" t="str">
        <f>"TAMIMI PROPERTIES LLC"</f>
        <v>TAMIMI PROPERTIES LLC</v>
      </c>
      <c r="C12328" s="1" t="str">
        <f>"930-932 W MOUND ST OSBORN PLACE ALL LOT 436&amp;PT 437"</f>
        <v>930-932 W MOUND ST OSBORN PLACE ALL LOT 436&amp;PT 437</v>
      </c>
      <c r="D12328" s="1">
        <v>3031.12</v>
      </c>
    </row>
    <row r="12329" spans="1:4" x14ac:dyDescent="0.3">
      <c r="A12329" s="1" t="str">
        <f>"01000540800"</f>
        <v>01000540800</v>
      </c>
      <c r="B12329" s="1" t="str">
        <f>"TAMIMI PROPERTIES LLC"</f>
        <v>TAMIMI PROPERTIES LLC</v>
      </c>
      <c r="C12329" s="1" t="str">
        <f>"928-930 W MOUND ST OSBORN PLACE PART LOT 437"</f>
        <v>928-930 W MOUND ST OSBORN PLACE PART LOT 437</v>
      </c>
      <c r="D12329" s="1">
        <v>155.02000000000001</v>
      </c>
    </row>
    <row r="12330" spans="1:4" x14ac:dyDescent="0.3">
      <c r="A12330" s="1" t="str">
        <f>"01000540900"</f>
        <v>01000540900</v>
      </c>
      <c r="B12330" s="1" t="str">
        <f>"TAMIMI PROPERTIES LLC"</f>
        <v>TAMIMI PROPERTIES LLC</v>
      </c>
      <c r="C12330" s="1" t="str">
        <f>"N S MOUND BTWN SOUDER &amp; HAWKES OSBORN PL LOT 438"</f>
        <v>N S MOUND BTWN SOUDER &amp; HAWKES OSBORN PL LOT 438</v>
      </c>
      <c r="D12330" s="1">
        <v>442.55</v>
      </c>
    </row>
    <row r="12331" spans="1:4" x14ac:dyDescent="0.3">
      <c r="A12331" s="1" t="str">
        <f>"01028416500"</f>
        <v>01028416500</v>
      </c>
      <c r="B12331" s="1" t="str">
        <f>"TAN KIA-HUI"</f>
        <v>TAN KIA-HUI</v>
      </c>
      <c r="C12331" s="1" t="str">
        <f>"THE FLATS AT HARRISON     PARK CONDOMINIUM          BLDG A UNIT 215          "</f>
        <v xml:space="preserve">THE FLATS AT HARRISON     PARK CONDOMINIUM          BLDG A UNIT 215          </v>
      </c>
      <c r="D12331" s="1">
        <v>2515.79</v>
      </c>
    </row>
    <row r="12332" spans="1:4" x14ac:dyDescent="0.3">
      <c r="A12332" s="1" t="str">
        <f>"01028418500"</f>
        <v>01028418500</v>
      </c>
      <c r="B12332" s="1" t="str">
        <f>"TAN KIA-HUI"</f>
        <v>TAN KIA-HUI</v>
      </c>
      <c r="C12332" s="1" t="str">
        <f>"THE FLATS AT HARRISON     PARK CONDOMINIUM          UNIT G-3                 "</f>
        <v xml:space="preserve">THE FLATS AT HARRISON     PARK CONDOMINIUM          UNIT G-3                 </v>
      </c>
      <c r="D12332" s="1">
        <v>156.03</v>
      </c>
    </row>
    <row r="12333" spans="1:4" x14ac:dyDescent="0.3">
      <c r="A12333" s="1" t="str">
        <f>"07001473300"</f>
        <v>07001473300</v>
      </c>
      <c r="B12333" s="1" t="str">
        <f>"TANCREDE ADAM D"</f>
        <v>TANCREDE ADAM D</v>
      </c>
      <c r="C12333" s="1" t="str">
        <f>"TEWKSBURY RD UPPER ARLINGTON    BLK 86 60'EL, 81.46'WL SE LT 11"</f>
        <v>TEWKSBURY RD UPPER ARLINGTON    BLK 86 60'EL, 81.46'WL SE LT 11</v>
      </c>
      <c r="D12333" s="1">
        <v>1509.76</v>
      </c>
    </row>
    <row r="12334" spans="1:4" x14ac:dyDescent="0.3">
      <c r="A12334" s="1" t="str">
        <f>"27301090000"</f>
        <v>27301090000</v>
      </c>
      <c r="B12334" s="1" t="str">
        <f>"TANG WEN, ZHANG DI"</f>
        <v>TANG WEN, ZHANG DI</v>
      </c>
      <c r="C12334" s="1" t="str">
        <f>"WINDSOR DRIVE WESTBURY SECTION 7 LOT 268"</f>
        <v>WINDSOR DRIVE WESTBURY SECTION 7 LOT 268</v>
      </c>
      <c r="D12334" s="1">
        <v>509.69</v>
      </c>
    </row>
    <row r="12335" spans="1:4" x14ac:dyDescent="0.3">
      <c r="A12335" s="1" t="str">
        <f>"11000572900"</f>
        <v>11000572900</v>
      </c>
      <c r="B12335" s="1" t="str">
        <f>"TANGLEWOOD 6821 LLC"</f>
        <v>TANGLEWOOD 6821 LLC</v>
      </c>
      <c r="C12335" s="1" t="str">
        <f>"PARIS CT MARAN COMMERCIAL PK LOT 3"</f>
        <v>PARIS CT MARAN COMMERCIAL PK LOT 3</v>
      </c>
      <c r="D12335" s="1">
        <v>9926.17</v>
      </c>
    </row>
    <row r="12336" spans="1:4" x14ac:dyDescent="0.3">
      <c r="A12336" s="1" t="str">
        <f>"01009010100"</f>
        <v>01009010100</v>
      </c>
      <c r="B12336" s="1" t="str">
        <f>"TANKSLEY JAMES L"</f>
        <v>TANKSLEY JAMES L</v>
      </c>
      <c r="C12336" s="1" t="str">
        <f>"JAMES RD KENSINGTON GARDENS LOT 32"</f>
        <v>JAMES RD KENSINGTON GARDENS LOT 32</v>
      </c>
      <c r="D12336" s="1">
        <v>3691.24</v>
      </c>
    </row>
    <row r="12337" spans="1:4" x14ac:dyDescent="0.3">
      <c r="A12337" s="1" t="str">
        <f>"01003936900"</f>
        <v>01003936900</v>
      </c>
      <c r="B12337" s="1" t="str">
        <f>"TANNER JOE D"</f>
        <v>TANNER JOE D</v>
      </c>
      <c r="C12337" s="1" t="str">
        <f>"REINHARD &amp; BLISS LOT 3 "</f>
        <v xml:space="preserve">REINHARD &amp; BLISS LOT 3 </v>
      </c>
      <c r="D12337" s="1">
        <v>226.62</v>
      </c>
    </row>
    <row r="12338" spans="1:4" x14ac:dyDescent="0.3">
      <c r="A12338" s="1" t="str">
        <f>"17000394700"</f>
        <v>17000394700</v>
      </c>
      <c r="B12338" s="1" t="str">
        <f>"TANNER MICHAEL J, TANNER GAIL D"</f>
        <v>TANNER MICHAEL J, TANNER GAIL D</v>
      </c>
      <c r="C12338" s="1" t="str">
        <f>"7855 CLARK STATE RD R16 T1 1/4T1 3.052 ACRES"</f>
        <v>7855 CLARK STATE RD R16 T1 1/4T1 3.052 ACRES</v>
      </c>
      <c r="D12338" s="1">
        <v>500.35</v>
      </c>
    </row>
    <row r="12339" spans="1:4" x14ac:dyDescent="0.3">
      <c r="A12339" s="1" t="str">
        <f>"01000919900"</f>
        <v>01000919900</v>
      </c>
      <c r="B12339" s="1" t="str">
        <f>"TANTARELLI CRYSTAL E, RIFFLE THOMAS"</f>
        <v>TANTARELLI CRYSTAL E, RIFFLE THOMAS</v>
      </c>
      <c r="C12339" s="1" t="str">
        <f>"FIFTH AVENUE DEVON SUB LOTS 100-101"</f>
        <v>FIFTH AVENUE DEVON SUB LOTS 100-101</v>
      </c>
      <c r="D12339" s="1">
        <v>81.95</v>
      </c>
    </row>
    <row r="12340" spans="1:4" x14ac:dyDescent="0.3">
      <c r="A12340" s="1" t="str">
        <f>"01000302900"</f>
        <v>01000302900</v>
      </c>
      <c r="B12340" s="1" t="str">
        <f>"TANYHILL SHANNON, BOSTIC-TANYHILL SHELBY"</f>
        <v>TANYHILL SHANNON, BOSTIC-TANYHILL SHELBY</v>
      </c>
      <c r="C12340" s="1" t="str">
        <f>"1191 WALTER ST S A SHOEMAKER HTS LOT 92"</f>
        <v>1191 WALTER ST S A SHOEMAKER HTS LOT 92</v>
      </c>
      <c r="D12340" s="1">
        <v>156.09</v>
      </c>
    </row>
    <row r="12341" spans="1:4" x14ac:dyDescent="0.3">
      <c r="A12341" s="1" t="str">
        <f>"01011172500"</f>
        <v>01011172500</v>
      </c>
      <c r="B12341" s="1" t="str">
        <f>"TAQS"</f>
        <v>TAQS</v>
      </c>
      <c r="C12341" s="1" t="str">
        <f>"LINWOOD AVE JOHNSON &amp; SON LOT 4"</f>
        <v>LINWOOD AVE JOHNSON &amp; SON LOT 4</v>
      </c>
      <c r="D12341" s="1">
        <v>171.38</v>
      </c>
    </row>
    <row r="12342" spans="1:4" x14ac:dyDescent="0.3">
      <c r="A12342" s="1" t="str">
        <f>"01005069600"</f>
        <v>01005069600</v>
      </c>
      <c r="B12342" s="1" t="str">
        <f>"TARAJ ANDI"</f>
        <v>TARAJ ANDI</v>
      </c>
      <c r="C12342" s="1" t="str">
        <f>"977 HEYL AVE HAEFNER MCCLELLAND RES A LOT 22"</f>
        <v>977 HEYL AVE HAEFNER MCCLELLAND RES A LOT 22</v>
      </c>
      <c r="D12342" s="1">
        <v>1410.7</v>
      </c>
    </row>
    <row r="12343" spans="1:4" x14ac:dyDescent="0.3">
      <c r="A12343" s="1" t="str">
        <f>"05300095000"</f>
        <v>05300095000</v>
      </c>
      <c r="B12343" s="1" t="str">
        <f>"TARLTON MEADOWS HOMEOWERS ASSOCIATION INC"</f>
        <v>TARLTON MEADOWS HOMEOWERS ASSOCIATION INC</v>
      </c>
      <c r="C12343" s="1" t="str">
        <f>"TARLTON MEADOWS WEST SECTION 2 PHASE 2A RESERVE V"</f>
        <v>TARLTON MEADOWS WEST SECTION 2 PHASE 2A RESERVE V</v>
      </c>
      <c r="D12343" s="1">
        <v>13.2</v>
      </c>
    </row>
    <row r="12344" spans="1:4" x14ac:dyDescent="0.3">
      <c r="A12344" s="1" t="str">
        <f>"05300053600"</f>
        <v>05300053600</v>
      </c>
      <c r="B12344" s="1" t="str">
        <f>"TARLTON MEADOWS HOMEOWNERS ASSOCIATION INC"</f>
        <v>TARLTON MEADOWS HOMEOWNERS ASSOCIATION INC</v>
      </c>
      <c r="C12344" s="1" t="str">
        <f>"TARLTON MEADOWS WEST SECTION 3 PHASE 1 RESERVE N"</f>
        <v>TARLTON MEADOWS WEST SECTION 3 PHASE 1 RESERVE N</v>
      </c>
      <c r="D12344" s="1">
        <v>69.67</v>
      </c>
    </row>
    <row r="12345" spans="1:4" x14ac:dyDescent="0.3">
      <c r="A12345" s="1" t="str">
        <f>"05300051500"</f>
        <v>05300051500</v>
      </c>
      <c r="B12345" s="1" t="str">
        <f>"TARLTON MEADOWS HOMEOWNERS ASSOCIATION INC"</f>
        <v>TARLTON MEADOWS HOMEOWNERS ASSOCIATION INC</v>
      </c>
      <c r="C12345" s="1" t="str">
        <f>"TARLTON MEADOWS WEST SECTION 1 PHASE 2 RESERVE G"</f>
        <v>TARLTON MEADOWS WEST SECTION 1 PHASE 2 RESERVE G</v>
      </c>
      <c r="D12345" s="1">
        <v>3.15</v>
      </c>
    </row>
    <row r="12346" spans="1:4" x14ac:dyDescent="0.3">
      <c r="A12346" s="1" t="str">
        <f>"05001170700"</f>
        <v>05001170700</v>
      </c>
      <c r="B12346" s="1" t="str">
        <f>"TARLTON MEADOWS HOMEOWNERS ASSOCIATION INC"</f>
        <v>TARLTON MEADOWS HOMEOWNERS ASSOCIATION INC</v>
      </c>
      <c r="C12346" s="1" t="str">
        <f>"TARLTON MEADOWS SECTION 3 RESERVE D"</f>
        <v>TARLTON MEADOWS SECTION 3 RESERVE D</v>
      </c>
      <c r="D12346" s="1">
        <v>52.76</v>
      </c>
    </row>
    <row r="12347" spans="1:4" x14ac:dyDescent="0.3">
      <c r="A12347" s="1" t="str">
        <f>"05300051300"</f>
        <v>05300051300</v>
      </c>
      <c r="B12347" s="1" t="str">
        <f>"TARLTON MEADOWS HOMEOWNERS ASSOCIATION INC"</f>
        <v>TARLTON MEADOWS HOMEOWNERS ASSOCIATION INC</v>
      </c>
      <c r="C12347" s="1" t="str">
        <f>"TARLTON MEADOWS WEST SECTION 1 PHASE 2 RESERVE E"</f>
        <v>TARLTON MEADOWS WEST SECTION 1 PHASE 2 RESERVE E</v>
      </c>
      <c r="D12347" s="1">
        <v>5.54</v>
      </c>
    </row>
    <row r="12348" spans="1:4" x14ac:dyDescent="0.3">
      <c r="A12348" s="1" t="str">
        <f>"05300053500"</f>
        <v>05300053500</v>
      </c>
      <c r="B12348" s="1" t="str">
        <f>"TARLTON MEADOWS HOMEOWNERS ASSOCIATION INC"</f>
        <v>TARLTON MEADOWS HOMEOWNERS ASSOCIATION INC</v>
      </c>
      <c r="C12348" s="1" t="str">
        <f>"TARLTON MEADOWS WEST SECTION 3 PHASE 1 RESERVE M"</f>
        <v>TARLTON MEADOWS WEST SECTION 3 PHASE 1 RESERVE M</v>
      </c>
      <c r="D12348" s="1">
        <v>127.49</v>
      </c>
    </row>
    <row r="12349" spans="1:4" x14ac:dyDescent="0.3">
      <c r="A12349" s="1" t="str">
        <f>"05001153100"</f>
        <v>05001153100</v>
      </c>
      <c r="B12349" s="1" t="str">
        <f>"TARLTON MEADOWS HOMEOWNERS ASSOCIATION INC"</f>
        <v>TARLTON MEADOWS HOMEOWNERS ASSOCIATION INC</v>
      </c>
      <c r="C12349" s="1" t="str">
        <f>"TARLTON MEADOWS WEST SECTION 1 PHASE 1 RESERVE B1"</f>
        <v>TARLTON MEADOWS WEST SECTION 1 PHASE 1 RESERVE B1</v>
      </c>
      <c r="D12349" s="1">
        <v>3.15</v>
      </c>
    </row>
    <row r="12350" spans="1:4" x14ac:dyDescent="0.3">
      <c r="A12350" s="1" t="str">
        <f>"05300053700"</f>
        <v>05300053700</v>
      </c>
      <c r="B12350" s="1" t="str">
        <f>"TARLTON MEADOWS HOMEOWNERS ASSOCIATION INC"</f>
        <v>TARLTON MEADOWS HOMEOWNERS ASSOCIATION INC</v>
      </c>
      <c r="C12350" s="1" t="str">
        <f>"TARLTON MEADOWS WEST SECTION 3 PHASE 1 RESERVE O"</f>
        <v>TARLTON MEADOWS WEST SECTION 3 PHASE 1 RESERVE O</v>
      </c>
      <c r="D12350" s="1">
        <v>615.29999999999995</v>
      </c>
    </row>
    <row r="12351" spans="1:4" x14ac:dyDescent="0.3">
      <c r="A12351" s="1" t="str">
        <f>"05300063700"</f>
        <v>05300063700</v>
      </c>
      <c r="B12351" s="1" t="str">
        <f>"TARLTON MEADOWS HOMEOWNERS ASSOCIATION INC"</f>
        <v>TARLTON MEADOWS HOMEOWNERS ASSOCIATION INC</v>
      </c>
      <c r="C12351" s="1" t="str">
        <f>"TARLTON MEADOWS WEST SECTION 4 PHASE 2A RESERVE R"</f>
        <v>TARLTON MEADOWS WEST SECTION 4 PHASE 2A RESERVE R</v>
      </c>
      <c r="D12351" s="1">
        <v>72.069999999999993</v>
      </c>
    </row>
    <row r="12352" spans="1:4" x14ac:dyDescent="0.3">
      <c r="A12352" s="1" t="str">
        <f>"05300051400"</f>
        <v>05300051400</v>
      </c>
      <c r="B12352" s="1" t="str">
        <f>"TARLTON MEADOWS HOMEOWNERS ASSOCIATION INC"</f>
        <v>TARLTON MEADOWS HOMEOWNERS ASSOCIATION INC</v>
      </c>
      <c r="C12352" s="1" t="str">
        <f>"TARLTON MEADOWS WEST SECTION 1 PHASE 2 RESERVE F"</f>
        <v>TARLTON MEADOWS WEST SECTION 1 PHASE 2 RESERVE F</v>
      </c>
      <c r="D12352" s="1">
        <v>3.15</v>
      </c>
    </row>
    <row r="12353" spans="1:4" x14ac:dyDescent="0.3">
      <c r="A12353" s="1" t="str">
        <f>"05001167300"</f>
        <v>05001167300</v>
      </c>
      <c r="B12353" s="1" t="str">
        <f>"TARLTON MEADOWS HOMEOWNERS ASSOCIATION INC"</f>
        <v>TARLTON MEADOWS HOMEOWNERS ASSOCIATION INC</v>
      </c>
      <c r="C12353" s="1" t="str">
        <f>"TARLTON MEADOWS SECTION 2 RESERVE C"</f>
        <v>TARLTON MEADOWS SECTION 2 RESERVE C</v>
      </c>
      <c r="D12353" s="1">
        <v>14.18</v>
      </c>
    </row>
    <row r="12354" spans="1:4" x14ac:dyDescent="0.3">
      <c r="A12354" s="1" t="str">
        <f>"05300051200"</f>
        <v>05300051200</v>
      </c>
      <c r="B12354" s="1" t="str">
        <f>"TARLTON MEADOWS HOMEOWNERS ASSOCIATION INC"</f>
        <v>TARLTON MEADOWS HOMEOWNERS ASSOCIATION INC</v>
      </c>
      <c r="C12354" s="1" t="str">
        <f>"TARLTON MEADOWS WEST SECTION 1 PHASE 2 RESERVE D"</f>
        <v>TARLTON MEADOWS WEST SECTION 1 PHASE 2 RESERVE D</v>
      </c>
      <c r="D12354" s="1">
        <v>14.26</v>
      </c>
    </row>
    <row r="12355" spans="1:4" x14ac:dyDescent="0.3">
      <c r="A12355" s="1" t="str">
        <f>"05300061300"</f>
        <v>05300061300</v>
      </c>
      <c r="B12355" s="1" t="str">
        <f>"TARLTON MEADOWS HOMEOWNERS ASSOCIATION INC"</f>
        <v>TARLTON MEADOWS HOMEOWNERS ASSOCIATION INC</v>
      </c>
      <c r="C12355" s="1" t="str">
        <f>"  "</f>
        <v xml:space="preserve">  </v>
      </c>
      <c r="D12355" s="1">
        <v>47.5</v>
      </c>
    </row>
    <row r="12356" spans="1:4" x14ac:dyDescent="0.3">
      <c r="A12356" s="1" t="str">
        <f>"05300047400"</f>
        <v>05300047400</v>
      </c>
      <c r="B12356" s="1" t="str">
        <f>"TARLTON MEADOWS HOMEOWNERS ASSOCIATION INC"</f>
        <v>TARLTON MEADOWS HOMEOWNERS ASSOCIATION INC</v>
      </c>
      <c r="C12356" s="1" t="str">
        <f>"TARLTON MEADOWS WEST SECTION 1 PHASE 1 RESERVE B2"</f>
        <v>TARLTON MEADOWS WEST SECTION 1 PHASE 1 RESERVE B2</v>
      </c>
      <c r="D12356" s="1">
        <v>8.7100000000000009</v>
      </c>
    </row>
    <row r="12357" spans="1:4" x14ac:dyDescent="0.3">
      <c r="A12357" s="1" t="str">
        <f>"05300047500"</f>
        <v>05300047500</v>
      </c>
      <c r="B12357" s="1" t="str">
        <f>"TARLTON MEADOWS HOMEOWNERS ASSOCIATION INC"</f>
        <v>TARLTON MEADOWS HOMEOWNERS ASSOCIATION INC</v>
      </c>
      <c r="C12357" s="1" t="str">
        <f>"TARLTON MEADOWS WEST SECTION 1 PHASE 1 RESERVE C2"</f>
        <v>TARLTON MEADOWS WEST SECTION 1 PHASE 1 RESERVE C2</v>
      </c>
      <c r="D12357" s="1">
        <v>247.06</v>
      </c>
    </row>
    <row r="12358" spans="1:4" x14ac:dyDescent="0.3">
      <c r="A12358" s="1" t="str">
        <f>"05300063800"</f>
        <v>05300063800</v>
      </c>
      <c r="B12358" s="1" t="str">
        <f>"TARLTON MEADOWS HOMEOWNERS ASSOCIATION INC"</f>
        <v>TARLTON MEADOWS HOMEOWNERS ASSOCIATION INC</v>
      </c>
      <c r="C12358" s="1" t="str">
        <f>"TARLTON MEADOWS WEST SECTION 4 PHASE 2A RESERVE S"</f>
        <v>TARLTON MEADOWS WEST SECTION 4 PHASE 2A RESERVE S</v>
      </c>
      <c r="D12358" s="1">
        <v>3.15</v>
      </c>
    </row>
    <row r="12359" spans="1:4" x14ac:dyDescent="0.3">
      <c r="A12359" s="1" t="str">
        <f>"05300059200"</f>
        <v>05300059200</v>
      </c>
      <c r="B12359" s="1" t="str">
        <f>"TARLTON MEADOWS HOMEOWNERS ASSOCIATION INC"</f>
        <v>TARLTON MEADOWS HOMEOWNERS ASSOCIATION INC</v>
      </c>
      <c r="C12359" s="1" t="str">
        <f>"TARLTON MEADOWS WEST SECTION 3 PHASE 2A RESERVE P"</f>
        <v>TARLTON MEADOWS WEST SECTION 3 PHASE 2A RESERVE P</v>
      </c>
      <c r="D12359" s="1">
        <v>38.81</v>
      </c>
    </row>
    <row r="12360" spans="1:4" x14ac:dyDescent="0.3">
      <c r="A12360" s="1" t="str">
        <f>"05300065600"</f>
        <v>05300065600</v>
      </c>
      <c r="B12360" s="1" t="str">
        <f>"TARLTON MEADOWS HOMEOWNERS ASSOCIATION INC"</f>
        <v>TARLTON MEADOWS HOMEOWNERS ASSOCIATION INC</v>
      </c>
      <c r="C12360" s="1" t="str">
        <f>"TARLTON MEADOWS WEST SECTION 4 PHASE 2B RESERVE T"</f>
        <v>TARLTON MEADOWS WEST SECTION 4 PHASE 2B RESERVE T</v>
      </c>
      <c r="D12360" s="1">
        <v>53.06</v>
      </c>
    </row>
    <row r="12361" spans="1:4" x14ac:dyDescent="0.3">
      <c r="A12361" s="1" t="str">
        <f>"05001170800"</f>
        <v>05001170800</v>
      </c>
      <c r="B12361" s="1" t="str">
        <f>"TARLTON MEADOWS HOMEOWNERS ASSOCIATION INC"</f>
        <v>TARLTON MEADOWS HOMEOWNERS ASSOCIATION INC</v>
      </c>
      <c r="C12361" s="1" t="str">
        <f>"TARLTON MEADOWS SECTION 3 RESERVE E"</f>
        <v>TARLTON MEADOWS SECTION 3 RESERVE E</v>
      </c>
      <c r="D12361" s="1">
        <v>93.68</v>
      </c>
    </row>
    <row r="12362" spans="1:4" x14ac:dyDescent="0.3">
      <c r="A12362" s="1" t="str">
        <f>"01003794500"</f>
        <v>01003794500</v>
      </c>
      <c r="B12362" s="1" t="str">
        <f>"TARQUINIO CAQRMINE, TARQUINIO CARMINE"</f>
        <v>TARQUINIO CAQRMINE, TARQUINIO CARMINE</v>
      </c>
      <c r="C12362" s="1" t="str">
        <f>"1830 PARSONS AVE 23.3FT SS OLPPS LOT 2"</f>
        <v>1830 PARSONS AVE 23.3FT SS OLPPS LOT 2</v>
      </c>
      <c r="D12362" s="1">
        <v>385.37</v>
      </c>
    </row>
    <row r="12363" spans="1:4" x14ac:dyDescent="0.3">
      <c r="A12363" s="1" t="str">
        <f>"01003794400"</f>
        <v>01003794400</v>
      </c>
      <c r="B12363" s="1" t="str">
        <f>"TARQUINIO CAQRMINE, TARQUINIO CARMINE"</f>
        <v>TARQUINIO CAQRMINE, TARQUINIO CARMINE</v>
      </c>
      <c r="C12363" s="1" t="str">
        <f>"1832 PARSONS AVE OLPPS LOT 1"</f>
        <v>1832 PARSONS AVE OLPPS LOT 1</v>
      </c>
      <c r="D12363" s="1">
        <v>503.16</v>
      </c>
    </row>
    <row r="12364" spans="1:4" x14ac:dyDescent="0.3">
      <c r="A12364" s="1" t="str">
        <f>"01002792500"</f>
        <v>01002792500</v>
      </c>
      <c r="B12364" s="1" t="str">
        <f>"TARRIER STEEL CO"</f>
        <v>TARRIER STEEL CO</v>
      </c>
      <c r="C12364" s="1" t="str">
        <f>"805 E MITHOFF ST HOMEVILLE RESC GATES ST VAC"</f>
        <v>805 E MITHOFF ST HOMEVILLE RESC GATES ST VAC</v>
      </c>
      <c r="D12364" s="1">
        <v>1091.2</v>
      </c>
    </row>
    <row r="12365" spans="1:4" x14ac:dyDescent="0.3">
      <c r="A12365" s="1" t="str">
        <f>"01006694100"</f>
        <v>01006694100</v>
      </c>
      <c r="B12365" s="1" t="str">
        <f>"TARRIER STEEL CO"</f>
        <v>TARRIER STEEL CO</v>
      </c>
      <c r="C12365" s="1" t="str">
        <f>"MOLER LOT 9 "</f>
        <v xml:space="preserve">MOLER LOT 9 </v>
      </c>
      <c r="D12365" s="1">
        <v>151.56</v>
      </c>
    </row>
    <row r="12366" spans="1:4" x14ac:dyDescent="0.3">
      <c r="A12366" s="1" t="str">
        <f>"01004357800"</f>
        <v>01004357800</v>
      </c>
      <c r="B12366" s="1" t="str">
        <f>"TARRIER STEEL CO"</f>
        <v>TARRIER STEEL CO</v>
      </c>
      <c r="C12366" s="1" t="str">
        <f>"1377 S 22ND ST HOMEVILLE PT RES B"</f>
        <v>1377 S 22ND ST HOMEVILLE PT RES B</v>
      </c>
      <c r="D12366" s="1">
        <v>8775.5300000000007</v>
      </c>
    </row>
    <row r="12367" spans="1:4" x14ac:dyDescent="0.3">
      <c r="A12367" s="1" t="str">
        <f>"01001782100"</f>
        <v>01001782100</v>
      </c>
      <c r="B12367" s="1" t="str">
        <f>"TARRIER STEEL CO"</f>
        <v>TARRIER STEEL CO</v>
      </c>
      <c r="C12367" s="1" t="str">
        <f>"E MITHOFF ST .296 ACRE MOLER LOT 8"</f>
        <v>E MITHOFF ST .296 ACRE MOLER LOT 8</v>
      </c>
      <c r="D12367" s="1">
        <v>2592.0500000000002</v>
      </c>
    </row>
    <row r="12368" spans="1:4" x14ac:dyDescent="0.3">
      <c r="A12368" s="1" t="str">
        <f>"01004383800"</f>
        <v>01004383800</v>
      </c>
      <c r="B12368" s="1" t="str">
        <f>"TARRIER STEEL CO"</f>
        <v>TARRIER STEEL CO</v>
      </c>
      <c r="C12368" s="1" t="str">
        <f>"HOMVILLE PT RES B &amp; PT GATES ST VAC"</f>
        <v>HOMVILLE PT RES B &amp; PT GATES ST VAC</v>
      </c>
      <c r="D12368" s="1">
        <v>381.91</v>
      </c>
    </row>
    <row r="12369" spans="1:4" x14ac:dyDescent="0.3">
      <c r="A12369" s="1" t="str">
        <f>"01001870200"</f>
        <v>01001870200</v>
      </c>
      <c r="B12369" s="1" t="str">
        <f>"TARRIER STEEL CO THE"</f>
        <v>TARRIER STEEL CO THE</v>
      </c>
      <c r="C12369" s="1" t="str">
        <f>"TWENTY SECOND STREET MOLER LOT 8 &amp; .140 AC"</f>
        <v>TWENTY SECOND STREET MOLER LOT 8 &amp; .140 AC</v>
      </c>
      <c r="D12369" s="1">
        <v>191.39</v>
      </c>
    </row>
    <row r="12370" spans="1:4" x14ac:dyDescent="0.3">
      <c r="A12370" s="1" t="str">
        <f>"01007765400"</f>
        <v>01007765400</v>
      </c>
      <c r="B12370" s="1" t="str">
        <f>"TARRIER STEEL CO THE"</f>
        <v>TARRIER STEEL CO THE</v>
      </c>
      <c r="C12370" s="1" t="str">
        <f>"HOMEVILLE RES B "</f>
        <v xml:space="preserve">HOMEVILLE RES B </v>
      </c>
      <c r="D12370" s="1">
        <v>518.76</v>
      </c>
    </row>
    <row r="12371" spans="1:4" x14ac:dyDescent="0.3">
      <c r="A12371" s="1" t="str">
        <f>"01027617800"</f>
        <v>01027617800</v>
      </c>
      <c r="B12371" s="1" t="str">
        <f>"TARTAL THOMAS"</f>
        <v>TARTAL THOMAS</v>
      </c>
      <c r="C12371" s="1" t="str">
        <f>"COBBLESTONE AT THE PRESERVE CONDOMINIUM UNIT 1-6224"</f>
        <v>COBBLESTONE AT THE PRESERVE CONDOMINIUM UNIT 1-6224</v>
      </c>
      <c r="D12371" s="1">
        <v>5749.27</v>
      </c>
    </row>
    <row r="12372" spans="1:4" x14ac:dyDescent="0.3">
      <c r="A12372" s="1" t="str">
        <f>"27301226300"</f>
        <v>27301226300</v>
      </c>
      <c r="B12372" s="1" t="str">
        <f>"TARTAN REAL ESTATE GROUP LLC"</f>
        <v>TARTAN REAL ESTATE GROUP LLC</v>
      </c>
      <c r="C12372" s="1" t="str">
        <f>"STONEHENGE CORPORATE PARK CONDOMINIUM 3RD AMD UNIT 700B"</f>
        <v>STONEHENGE CORPORATE PARK CONDOMINIUM 3RD AMD UNIT 700B</v>
      </c>
      <c r="D12372" s="1">
        <v>980.38</v>
      </c>
    </row>
    <row r="12373" spans="1:4" x14ac:dyDescent="0.3">
      <c r="A12373" s="1" t="str">
        <f>"01015492900"</f>
        <v>01015492900</v>
      </c>
      <c r="B12373" s="1" t="str">
        <f>"TAS"</f>
        <v>TAS</v>
      </c>
      <c r="C12373" s="1" t="str">
        <f>"SLADE AVE GABLES EAST LOT 56"</f>
        <v>SLADE AVE GABLES EAST LOT 56</v>
      </c>
      <c r="D12373" s="1">
        <v>10</v>
      </c>
    </row>
    <row r="12374" spans="1:4" x14ac:dyDescent="0.3">
      <c r="A12374" s="1" t="str">
        <f>"27300243300"</f>
        <v>27300243300</v>
      </c>
      <c r="B12374" s="1" t="str">
        <f>"TASC ENTERPRISES LLC"</f>
        <v>TASC ENTERPRISES LLC</v>
      </c>
      <c r="C12374" s="1" t="str">
        <f>"6681 WILLOW GROVE LN CONDO HOMES PH 2F UNIT 6681 BLDG 15"</f>
        <v>6681 WILLOW GROVE LN CONDO HOMES PH 2F UNIT 6681 BLDG 15</v>
      </c>
      <c r="D12374" s="1">
        <v>2674.76</v>
      </c>
    </row>
    <row r="12375" spans="1:4" x14ac:dyDescent="0.3">
      <c r="A12375" s="1" t="str">
        <f>"01023831800"</f>
        <v>01023831800</v>
      </c>
      <c r="B12375" s="1" t="str">
        <f>"TASHFEEN MUBINA"</f>
        <v>TASHFEEN MUBINA</v>
      </c>
      <c r="C12375" s="1" t="str">
        <f>"MCNEILL FARMS EAST CONDOMINIUM 24TH AMD UNIT 99F"</f>
        <v>MCNEILL FARMS EAST CONDOMINIUM 24TH AMD UNIT 99F</v>
      </c>
      <c r="D12375" s="1">
        <v>1324.17</v>
      </c>
    </row>
    <row r="12376" spans="1:4" x14ac:dyDescent="0.3">
      <c r="A12376" s="1" t="str">
        <f>"10000581900"</f>
        <v>10000581900</v>
      </c>
      <c r="B12376" s="1" t="str">
        <f>"TASK HOWARD C, TASK ILENE A"</f>
        <v>TASK HOWARD C, TASK ILENE A</v>
      </c>
      <c r="C12376" s="1" t="str">
        <f>"2433 COLLINS DR POTTERS CREEK SEC 2 LOT 109"</f>
        <v>2433 COLLINS DR POTTERS CREEK SEC 2 LOT 109</v>
      </c>
      <c r="D12376" s="1">
        <v>650.19000000000005</v>
      </c>
    </row>
    <row r="12377" spans="1:4" x14ac:dyDescent="0.3">
      <c r="A12377" s="1" t="str">
        <f>"17000411300"</f>
        <v>17000411300</v>
      </c>
      <c r="B12377" s="1" t="str">
        <f>"TASONG PERPETUA L"</f>
        <v>TASONG PERPETUA L</v>
      </c>
      <c r="C12377" s="1" t="str">
        <f>"PADDOCK RESERVE LOT 6 "</f>
        <v xml:space="preserve">PADDOCK RESERVE LOT 6 </v>
      </c>
      <c r="D12377" s="1">
        <v>811.2</v>
      </c>
    </row>
    <row r="12378" spans="1:4" x14ac:dyDescent="0.3">
      <c r="A12378" s="1" t="str">
        <f>"09000097500"</f>
        <v>09000097500</v>
      </c>
      <c r="B12378" s="1" t="str">
        <f>"TATE KEVIN M"</f>
        <v>TATE KEVIN M</v>
      </c>
      <c r="C12378" s="1" t="str">
        <f>"NORTON LANE NORTON FIELD PLAT 1 215"</f>
        <v>NORTON LANE NORTON FIELD PLAT 1 215</v>
      </c>
      <c r="D12378" s="1">
        <v>452.8</v>
      </c>
    </row>
    <row r="12379" spans="1:4" x14ac:dyDescent="0.3">
      <c r="A12379" s="1" t="str">
        <f>"01025592000"</f>
        <v>01025592000</v>
      </c>
      <c r="B12379" s="1" t="str">
        <f>"TATE MICHAEL L, TATE LESLEY C"</f>
        <v>TATE MICHAEL L, TATE LESLEY C</v>
      </c>
      <c r="C12379" s="1" t="str">
        <f>"WINDGATE VILLAGE CONDOMINIUM UNIT G-23 (GARAGE UNIT)"</f>
        <v>WINDGATE VILLAGE CONDOMINIUM UNIT G-23 (GARAGE UNIT)</v>
      </c>
      <c r="D12379" s="1">
        <v>116.04</v>
      </c>
    </row>
    <row r="12380" spans="1:4" x14ac:dyDescent="0.3">
      <c r="A12380" s="1" t="str">
        <f>"01018875400"</f>
        <v>01018875400</v>
      </c>
      <c r="B12380" s="1" t="str">
        <f>"TATE MICHAEL L, TATE LESLEY C"</f>
        <v>TATE MICHAEL L, TATE LESLEY C</v>
      </c>
      <c r="C12380" s="1" t="str">
        <f>"WINDGATE VILL CONDO EXH B1 UNIT 31 BLD 6 "</f>
        <v xml:space="preserve">WINDGATE VILL CONDO EXH B1 UNIT 31 BLD 6 </v>
      </c>
      <c r="D12380" s="1">
        <v>1585.16</v>
      </c>
    </row>
    <row r="12381" spans="1:4" x14ac:dyDescent="0.3">
      <c r="A12381" s="1" t="str">
        <f>"18400119900"</f>
        <v>18400119900</v>
      </c>
      <c r="B12381" s="1" t="str">
        <f>"TATE WANDA F, LYLES SHELLEY R"</f>
        <v>TATE WANDA F, LYLES SHELLEY R</v>
      </c>
      <c r="C12381" s="1" t="str">
        <f>"WASHINGTON STREET WASHINGTON KNOLL LOT 15"</f>
        <v>WASHINGTON STREET WASHINGTON KNOLL LOT 15</v>
      </c>
      <c r="D12381" s="1">
        <v>4462.8500000000004</v>
      </c>
    </row>
    <row r="12382" spans="1:4" x14ac:dyDescent="0.3">
      <c r="A12382" s="1" t="str">
        <f>"59020607400"</f>
        <v>59020607400</v>
      </c>
      <c r="B12382" s="1" t="str">
        <f>"TATMAN BRADLEY E, TATMAN A JOAN"</f>
        <v>TATMAN BRADLEY E, TATMAN A JOAN</v>
      </c>
      <c r="C12382" s="1" t="str">
        <f>"BALLYMEAD BLVD NORTHBRIDGE VILLAGE SECTION 2 LOT 18"</f>
        <v>BALLYMEAD BLVD NORTHBRIDGE VILLAGE SECTION 2 LOT 18</v>
      </c>
      <c r="D12382" s="1">
        <v>3960.98</v>
      </c>
    </row>
    <row r="12383" spans="1:4" x14ac:dyDescent="0.3">
      <c r="A12383" s="1" t="str">
        <f>"56023497600"</f>
        <v>56023497600</v>
      </c>
      <c r="B12383" s="1" t="str">
        <f>"TATTERSON PROPERTIES 1 LLC"</f>
        <v>TATTERSON PROPERTIES 1 LLC</v>
      </c>
      <c r="C12383" s="1" t="str">
        <f>"HILLIARD COMMONS CONDOMINIUM 16TH AMD UNIT 172A"</f>
        <v>HILLIARD COMMONS CONDOMINIUM 16TH AMD UNIT 172A</v>
      </c>
      <c r="D12383" s="1">
        <v>163.57</v>
      </c>
    </row>
    <row r="12384" spans="1:4" x14ac:dyDescent="0.3">
      <c r="A12384" s="1" t="str">
        <f>"56022751000"</f>
        <v>56022751000</v>
      </c>
      <c r="B12384" s="1" t="str">
        <f>"TATTERSON PROPERTIES 2 LLC"</f>
        <v>TATTERSON PROPERTIES 2 LLC</v>
      </c>
      <c r="C12384" s="1" t="str">
        <f>"HILLIARD COMMONS CONDOMINIUM 2ND AMD UNIT 130D"</f>
        <v>HILLIARD COMMONS CONDOMINIUM 2ND AMD UNIT 130D</v>
      </c>
      <c r="D12384" s="1">
        <v>155.44999999999999</v>
      </c>
    </row>
    <row r="12385" spans="1:4" x14ac:dyDescent="0.3">
      <c r="A12385" s="1" t="str">
        <f>"56023825000"</f>
        <v>56023825000</v>
      </c>
      <c r="B12385" s="1" t="str">
        <f>"TATTERSON PROPERTIES 3 LLC"</f>
        <v>TATTERSON PROPERTIES 3 LLC</v>
      </c>
      <c r="C12385" s="1" t="str">
        <f>"HILLIARD COMMONS CONDOMINIUM 20TH AMD UNIT 112C"</f>
        <v>HILLIARD COMMONS CONDOMINIUM 20TH AMD UNIT 112C</v>
      </c>
      <c r="D12385" s="1">
        <v>175.1</v>
      </c>
    </row>
    <row r="12386" spans="1:4" x14ac:dyDescent="0.3">
      <c r="A12386" s="1" t="str">
        <f>"56023410000"</f>
        <v>56023410000</v>
      </c>
      <c r="B12386" s="1" t="str">
        <f>"TATTERSON PROPERTIES 4 LLC"</f>
        <v>TATTERSON PROPERTIES 4 LLC</v>
      </c>
      <c r="C12386" s="1" t="str">
        <f>"HILLIARD COMMONS CONDOMINIUM 12TH AMD UNIT 168E"</f>
        <v>HILLIARD COMMONS CONDOMINIUM 12TH AMD UNIT 168E</v>
      </c>
      <c r="D12386" s="1">
        <v>190.26</v>
      </c>
    </row>
    <row r="12387" spans="1:4" x14ac:dyDescent="0.3">
      <c r="A12387" s="1" t="str">
        <f>"56023702500"</f>
        <v>56023702500</v>
      </c>
      <c r="B12387" s="1" t="str">
        <f>"TATTERSON PROPERTIES 5 LLC"</f>
        <v>TATTERSON PROPERTIES 5 LLC</v>
      </c>
      <c r="C12387" s="1" t="str">
        <f>"HILLIARD COMMONS CONDOMINIUM 18TH AMD UNIT 180B"</f>
        <v>HILLIARD COMMONS CONDOMINIUM 18TH AMD UNIT 180B</v>
      </c>
      <c r="D12387" s="1">
        <v>154.37</v>
      </c>
    </row>
    <row r="12388" spans="1:4" x14ac:dyDescent="0.3">
      <c r="A12388" s="1" t="str">
        <f>"56022918300"</f>
        <v>56022918300</v>
      </c>
      <c r="B12388" s="1" t="str">
        <f>"TATTERSON PROPERTIES 6 LLC"</f>
        <v>TATTERSON PROPERTIES 6 LLC</v>
      </c>
      <c r="C12388" s="1" t="str">
        <f>"HILLIARD COMMONS CONDOMINIUM 4TH AMD UNIT 143D"</f>
        <v>HILLIARD COMMONS CONDOMINIUM 4TH AMD UNIT 143D</v>
      </c>
      <c r="D12388" s="1">
        <v>165.39</v>
      </c>
    </row>
    <row r="12389" spans="1:4" x14ac:dyDescent="0.3">
      <c r="A12389" s="1" t="str">
        <f>"01002892000"</f>
        <v>01002892000</v>
      </c>
      <c r="B12389" s="1" t="str">
        <f>"TATUM GILBRAN DOSS TTEE"</f>
        <v>TATUM GILBRAN DOSS TTEE</v>
      </c>
      <c r="C12389" s="1" t="str">
        <f>"1109-11 22ND ST LESLEIN HOME LOT 9"</f>
        <v>1109-11 22ND ST LESLEIN HOME LOT 9</v>
      </c>
      <c r="D12389" s="1">
        <v>2359.91</v>
      </c>
    </row>
    <row r="12390" spans="1:4" x14ac:dyDescent="0.3">
      <c r="A12390" s="1" t="str">
        <f>"01007321700"</f>
        <v>01007321700</v>
      </c>
      <c r="B12390" s="1" t="str">
        <f>"TAURUS INVESTMENT PROPERTIES LLC"</f>
        <v>TAURUS INVESTMENT PROPERTIES LLC</v>
      </c>
      <c r="C12390" s="1" t="str">
        <f>"1231 20TH AVE RICHMOND LOT 132"</f>
        <v>1231 20TH AVE RICHMOND LOT 132</v>
      </c>
      <c r="D12390" s="1">
        <v>2846.62</v>
      </c>
    </row>
    <row r="12391" spans="1:4" x14ac:dyDescent="0.3">
      <c r="A12391" s="1" t="str">
        <f>"01006959200"</f>
        <v>01006959200</v>
      </c>
      <c r="B12391" s="1" t="str">
        <f>"TAURUS INVESTMENT PROPERTIES LLC"</f>
        <v>TAURUS INVESTMENT PROPERTIES LLC</v>
      </c>
      <c r="C12391" s="1" t="str">
        <f>"2050 FERN PL BARRICKS E LINDEN LOT 4"</f>
        <v>2050 FERN PL BARRICKS E LINDEN LOT 4</v>
      </c>
      <c r="D12391" s="1">
        <v>1720.55</v>
      </c>
    </row>
    <row r="12392" spans="1:4" x14ac:dyDescent="0.3">
      <c r="A12392" s="1" t="str">
        <f>"01001754700"</f>
        <v>01001754700</v>
      </c>
      <c r="B12392" s="1" t="str">
        <f>"TAURUS INVESTMENT PROPERTIES LLC"</f>
        <v>TAURUS INVESTMENT PROPERTIES LLC</v>
      </c>
      <c r="C12392" s="1" t="str">
        <f>"83 CYPRESS AVE W PARK LOT 379"</f>
        <v>83 CYPRESS AVE W PARK LOT 379</v>
      </c>
      <c r="D12392" s="1">
        <v>1920.6</v>
      </c>
    </row>
    <row r="12393" spans="1:4" x14ac:dyDescent="0.3">
      <c r="A12393" s="1" t="str">
        <f>"01000663800"</f>
        <v>01000663800</v>
      </c>
      <c r="B12393" s="1" t="str">
        <f>"TAURUS INVESTMENT PROPERTIES LLC"</f>
        <v>TAURUS INVESTMENT PROPERTIES LLC</v>
      </c>
      <c r="C12393" s="1" t="str">
        <f>"N PRINCETON AVE 39-41 KNAUSS AMD LOT 138"</f>
        <v>N PRINCETON AVE 39-41 KNAUSS AMD LOT 138</v>
      </c>
      <c r="D12393" s="1">
        <v>338.21</v>
      </c>
    </row>
    <row r="12394" spans="1:4" x14ac:dyDescent="0.3">
      <c r="A12394" s="1" t="str">
        <f>"01000929900"</f>
        <v>01000929900</v>
      </c>
      <c r="B12394" s="1" t="str">
        <f>"TAURUS INVESTMENT PROPERTIES LLC"</f>
        <v>TAURUS INVESTMENT PROPERTIES LLC</v>
      </c>
      <c r="C12394" s="1" t="str">
        <f>"29 N PRINCETON AVE KNAUSS SUBD LOT 135"</f>
        <v>29 N PRINCETON AVE KNAUSS SUBD LOT 135</v>
      </c>
      <c r="D12394" s="1">
        <v>338.21</v>
      </c>
    </row>
    <row r="12395" spans="1:4" x14ac:dyDescent="0.3">
      <c r="A12395" s="1" t="str">
        <f>"27300019300"</f>
        <v>27300019300</v>
      </c>
      <c r="B12395" s="1" t="str">
        <f>"TAWNEY CYNTHIA S"</f>
        <v>TAWNEY CYNTHIA S</v>
      </c>
      <c r="C12395" s="1" t="str">
        <f>"LONGVIEW DR LONGVIEW 1 "</f>
        <v xml:space="preserve">LONGVIEW DR LONGVIEW 1 </v>
      </c>
      <c r="D12395" s="1">
        <v>12801.83</v>
      </c>
    </row>
    <row r="12396" spans="1:4" x14ac:dyDescent="0.3">
      <c r="A12396" s="1" t="str">
        <f>"59022620500"</f>
        <v>59022620500</v>
      </c>
      <c r="B12396" s="1" t="str">
        <f>"TAY LAY S"</f>
        <v>TAY LAY S</v>
      </c>
      <c r="C12396" s="1" t="str">
        <f>"BETHEL COMMONS CONDOMINIUM 2ND AMD UNIT 7E"</f>
        <v>BETHEL COMMONS CONDOMINIUM 2ND AMD UNIT 7E</v>
      </c>
      <c r="D12396" s="1">
        <v>5103.3</v>
      </c>
    </row>
    <row r="12397" spans="1:4" x14ac:dyDescent="0.3">
      <c r="A12397" s="1" t="str">
        <f>"01013646700"</f>
        <v>01013646700</v>
      </c>
      <c r="B12397" s="1" t="str">
        <f>"TAYIM SAMI F, TAYIM FAUZI A"</f>
        <v>TAYIM SAMI F, TAYIM FAUZI A</v>
      </c>
      <c r="C12397" s="1" t="str">
        <f>"RIDGERUN DR WOODWARD PARK 2 LOT 62"</f>
        <v>RIDGERUN DR WOODWARD PARK 2 LOT 62</v>
      </c>
      <c r="D12397" s="1">
        <v>510.09</v>
      </c>
    </row>
    <row r="12398" spans="1:4" x14ac:dyDescent="0.3">
      <c r="A12398" s="1" t="str">
        <f>"01002941700"</f>
        <v>01002941700</v>
      </c>
      <c r="B12398" s="1" t="str">
        <f>"TAYLOR ADOLPHUS JR TR"</f>
        <v>TAYLOR ADOLPHUS JR TR</v>
      </c>
      <c r="C12398" s="1" t="str">
        <f>"1247 MCALLISTER AVE ALLEMANIA PT LOT 18"</f>
        <v>1247 MCALLISTER AVE ALLEMANIA PT LOT 18</v>
      </c>
      <c r="D12398" s="1">
        <v>1683.65</v>
      </c>
    </row>
    <row r="12399" spans="1:4" x14ac:dyDescent="0.3">
      <c r="A12399" s="1" t="str">
        <f>"05000698600"</f>
        <v>05000698600</v>
      </c>
      <c r="B12399" s="1" t="str">
        <f>"TAYLOR ALICE J"</f>
        <v>TAYLOR ALICE J</v>
      </c>
      <c r="C12399" s="1" t="str">
        <f>"CARRIAGE RUN DRIVE CARRIAGE RUN PHASE 1 LOT 30"</f>
        <v>CARRIAGE RUN DRIVE CARRIAGE RUN PHASE 1 LOT 30</v>
      </c>
      <c r="D12399" s="1">
        <v>8456.01</v>
      </c>
    </row>
    <row r="12400" spans="1:4" x14ac:dyDescent="0.3">
      <c r="A12400" s="1" t="str">
        <f>"01010903900"</f>
        <v>01010903900</v>
      </c>
      <c r="B12400" s="1" t="str">
        <f>"TAYLOR BERNICE A"</f>
        <v>TAYLOR BERNICE A</v>
      </c>
      <c r="C12400" s="1" t="str">
        <f>"RANKIN AVE CAPOCCIO LOT 26"</f>
        <v>RANKIN AVE CAPOCCIO LOT 26</v>
      </c>
      <c r="D12400" s="1">
        <v>4684.93</v>
      </c>
    </row>
    <row r="12401" spans="1:4" x14ac:dyDescent="0.3">
      <c r="A12401" s="1" t="str">
        <f>"01003376800"</f>
        <v>01003376800</v>
      </c>
      <c r="B12401" s="1" t="str">
        <f>"TAYLOR BRANDON"</f>
        <v>TAYLOR BRANDON</v>
      </c>
      <c r="C12401" s="1" t="str">
        <f>"16TH AVE LOUIS HTS LOT 202"</f>
        <v>16TH AVE LOUIS HTS LOT 202</v>
      </c>
      <c r="D12401" s="1">
        <v>1519.59</v>
      </c>
    </row>
    <row r="12402" spans="1:4" x14ac:dyDescent="0.3">
      <c r="A12402" s="1" t="str">
        <f>"01011941000"</f>
        <v>01011941000</v>
      </c>
      <c r="B12402" s="1" t="str">
        <f>"TAYLOR CAMERON S"</f>
        <v>TAYLOR CAMERON S</v>
      </c>
      <c r="C12402" s="1" t="str">
        <f>"SHELLY DR SCIOTO VILLAGE LOT 59"</f>
        <v>SHELLY DR SCIOTO VILLAGE LOT 59</v>
      </c>
      <c r="D12402" s="1">
        <v>3079.09</v>
      </c>
    </row>
    <row r="12403" spans="1:4" x14ac:dyDescent="0.3">
      <c r="A12403" s="1" t="str">
        <f>"18400204300"</f>
        <v>18400204300</v>
      </c>
      <c r="B12403" s="1" t="str">
        <f>"TAYLOR CHARLES R, TAYLOR PATRICIA R"</f>
        <v>TAYLOR CHARLES R, TAYLOR PATRICIA R</v>
      </c>
      <c r="C12403" s="1" t="str">
        <f>"CANAL VILLAS CONDOMINIUM BLDG 3  UNIT 3-B"</f>
        <v>CANAL VILLAS CONDOMINIUM BLDG 3  UNIT 3-B</v>
      </c>
      <c r="D12403" s="1">
        <v>132.55000000000001</v>
      </c>
    </row>
    <row r="12404" spans="1:4" x14ac:dyDescent="0.3">
      <c r="A12404" s="1" t="str">
        <f>"22200205900"</f>
        <v>22200205900</v>
      </c>
      <c r="B12404" s="1" t="str">
        <f>"TAYLOR ELEANOR L TR"</f>
        <v>TAYLOR ELEANOR L TR</v>
      </c>
      <c r="C12404" s="1" t="str">
        <f>".3 ACRES R16 T2 1-4 TWP 3 LOT 78"</f>
        <v>.3 ACRES R16 T2 1-4 TWP 3 LOT 78</v>
      </c>
      <c r="D12404" s="1">
        <v>964.89</v>
      </c>
    </row>
    <row r="12405" spans="1:4" x14ac:dyDescent="0.3">
      <c r="A12405" s="1" t="str">
        <f>"01007666900"</f>
        <v>01007666900</v>
      </c>
      <c r="B12405" s="1" t="str">
        <f>"TAYLOR ERNESTINE D"</f>
        <v>TAYLOR ERNESTINE D</v>
      </c>
      <c r="C12405" s="1" t="str">
        <f>"DUXBERRY AVE HOMESTEAD HTS LOT 101"</f>
        <v>DUXBERRY AVE HOMESTEAD HTS LOT 101</v>
      </c>
      <c r="D12405" s="1">
        <v>2016.93</v>
      </c>
    </row>
    <row r="12406" spans="1:4" x14ac:dyDescent="0.3">
      <c r="A12406" s="1" t="str">
        <f>"16100049500"</f>
        <v>16100049500</v>
      </c>
      <c r="B12406" s="1" t="str">
        <f>"TAYLOR HOLLICE, TAYLOR OLIVIA"</f>
        <v>TAYLOR HOLLICE, TAYLOR OLIVIA</v>
      </c>
      <c r="C12406" s="1" t="str">
        <f>"SECOND AVE URBANCREST 12-3 BLK 15"</f>
        <v>SECOND AVE URBANCREST 12-3 BLK 15</v>
      </c>
      <c r="D12406" s="1">
        <v>17.89</v>
      </c>
    </row>
    <row r="12407" spans="1:4" x14ac:dyDescent="0.3">
      <c r="A12407" s="1" t="str">
        <f>"16100059000"</f>
        <v>16100059000</v>
      </c>
      <c r="B12407" s="1" t="str">
        <f>"TAYLOR HOLLICE, TAYLOR OLIVIA"</f>
        <v>TAYLOR HOLLICE, TAYLOR OLIVIA</v>
      </c>
      <c r="C12407" s="1" t="str">
        <f>"3518 2ND AVE URBANCREST 14-15 BLK 15"</f>
        <v>3518 2ND AVE URBANCREST 14-15 BLK 15</v>
      </c>
      <c r="D12407" s="1">
        <v>113.01</v>
      </c>
    </row>
    <row r="12408" spans="1:4" x14ac:dyDescent="0.3">
      <c r="A12408" s="1" t="str">
        <f>"27300308700"</f>
        <v>27300308700</v>
      </c>
      <c r="B12408" s="1" t="str">
        <f>"TAYLOR JEFFREY T, TAYLOR SHOREY D"</f>
        <v>TAYLOR JEFFREY T, TAYLOR SHOREY D</v>
      </c>
      <c r="C12408" s="1" t="str">
        <f>"7876 DEVONWOOD DR THE WOODS OF DUBLIN SEC 1 LOT 18"</f>
        <v>7876 DEVONWOOD DR THE WOODS OF DUBLIN SEC 1 LOT 18</v>
      </c>
      <c r="D12408" s="1">
        <v>8080.01</v>
      </c>
    </row>
    <row r="12409" spans="1:4" x14ac:dyDescent="0.3">
      <c r="A12409" s="1" t="str">
        <f>"01007814800"</f>
        <v>01007814800</v>
      </c>
      <c r="B12409" s="1" t="str">
        <f>"TAYLOR JENCIEN, ARIA EDWIN GUERRA"</f>
        <v>TAYLOR JENCIEN, ARIA EDWIN GUERRA</v>
      </c>
      <c r="C12409" s="1" t="str">
        <f>"790 S WAYNE AVE WESTLAND EXT LOT 173"</f>
        <v>790 S WAYNE AVE WESTLAND EXT LOT 173</v>
      </c>
      <c r="D12409" s="1">
        <v>856.45</v>
      </c>
    </row>
    <row r="12410" spans="1:4" x14ac:dyDescent="0.3">
      <c r="A12410" s="1" t="str">
        <f>"07000087800"</f>
        <v>07000087800</v>
      </c>
      <c r="B12410" s="1" t="str">
        <f>"TAYLOR JUDITH, TAYLOR JUDITH C"</f>
        <v>TAYLOR JUDITH, TAYLOR JUDITH C</v>
      </c>
      <c r="C12410" s="1" t="str">
        <f>"2077 WESTOVER RD UPPER ARLINGTON LOT 2 BLK 78"</f>
        <v>2077 WESTOVER RD UPPER ARLINGTON LOT 2 BLK 78</v>
      </c>
      <c r="D12410" s="1">
        <v>17107.43</v>
      </c>
    </row>
    <row r="12411" spans="1:4" x14ac:dyDescent="0.3">
      <c r="A12411" s="1" t="str">
        <f>"01009883200"</f>
        <v>01009883200</v>
      </c>
      <c r="B12411" s="1" t="str">
        <f>"TAYLOR KATHY ANN"</f>
        <v>TAYLOR KATHY ANN</v>
      </c>
      <c r="C12411" s="1" t="str">
        <f>"MAYNARD AVE DUXBERRY PARK LOT 184"</f>
        <v>MAYNARD AVE DUXBERRY PARK LOT 184</v>
      </c>
      <c r="D12411" s="1">
        <v>923.19</v>
      </c>
    </row>
    <row r="12412" spans="1:4" x14ac:dyDescent="0.3">
      <c r="A12412" s="1" t="str">
        <f>"01002862300"</f>
        <v>01002862300</v>
      </c>
      <c r="B12412" s="1" t="str">
        <f>"TAYLOR KRYSTAL L, BOXER ERIC D"</f>
        <v>TAYLOR KRYSTAL L, BOXER ERIC D</v>
      </c>
      <c r="C12412" s="1" t="str">
        <f>"81 ORCHARD LANE KENWORTH PLC LOT 102"</f>
        <v>81 ORCHARD LANE KENWORTH PLC LOT 102</v>
      </c>
      <c r="D12412" s="1">
        <v>308.76</v>
      </c>
    </row>
    <row r="12413" spans="1:4" x14ac:dyDescent="0.3">
      <c r="A12413" s="1" t="str">
        <f>"01027470500"</f>
        <v>01027470500</v>
      </c>
      <c r="B12413" s="1" t="str">
        <f>"TAYLOR MARK ERNEST"</f>
        <v>TAYLOR MARK ERNEST</v>
      </c>
      <c r="C12413" s="1" t="str">
        <f>"972/982 HIGH STREET       CONDOMINIUM               UNIT R-978-E             "</f>
        <v xml:space="preserve">972/982 HIGH STREET       CONDOMINIUM               UNIT R-978-E             </v>
      </c>
      <c r="D12413" s="1">
        <v>243.67</v>
      </c>
    </row>
    <row r="12414" spans="1:4" x14ac:dyDescent="0.3">
      <c r="A12414" s="1" t="str">
        <f>"01001143500"</f>
        <v>01001143500</v>
      </c>
      <c r="B12414" s="1" t="str">
        <f>"TAYLOR MATTHEW B, ROGERS TINA"</f>
        <v>TAYLOR MATTHEW B, ROGERS TINA</v>
      </c>
      <c r="C12414" s="1" t="str">
        <f>"HALDY AVE COLUMBIA PK ANNEX LOT 48"</f>
        <v>HALDY AVE COLUMBIA PK ANNEX LOT 48</v>
      </c>
      <c r="D12414" s="1">
        <v>1068.6500000000001</v>
      </c>
    </row>
    <row r="12415" spans="1:4" x14ac:dyDescent="0.3">
      <c r="A12415" s="1" t="str">
        <f>"01000570400"</f>
        <v>01000570400</v>
      </c>
      <c r="B12415" s="1" t="str">
        <f>"TAYLOR PATRICIA, TAYLOR HERBERT"</f>
        <v>TAYLOR PATRICIA, TAYLOR HERBERT</v>
      </c>
      <c r="C12415" s="1" t="str">
        <f>"1775 BIDE A WEE PK BULENS FAIRWOOD PK LOT 25"</f>
        <v>1775 BIDE A WEE PK BULENS FAIRWOOD PK LOT 25</v>
      </c>
      <c r="D12415" s="1">
        <v>2839.52</v>
      </c>
    </row>
    <row r="12416" spans="1:4" x14ac:dyDescent="0.3">
      <c r="A12416" s="1" t="str">
        <f>"01008487100"</f>
        <v>01008487100</v>
      </c>
      <c r="B12416" s="1" t="str">
        <f>"TAYLOR PRICE G, TAYLOR BEVERLY J"</f>
        <v>TAYLOR PRICE G, TAYLOR BEVERLY J</v>
      </c>
      <c r="C12416" s="1" t="str">
        <f>"BEAUMONT RD HIGHLAND GARDENS 2 LOT 581"</f>
        <v>BEAUMONT RD HIGHLAND GARDENS 2 LOT 581</v>
      </c>
      <c r="D12416" s="1">
        <v>7321.61</v>
      </c>
    </row>
    <row r="12417" spans="1:4" x14ac:dyDescent="0.3">
      <c r="A12417" s="1" t="str">
        <f>"01010732800"</f>
        <v>01010732800</v>
      </c>
      <c r="B12417" s="1" t="str">
        <f>"TAYLOR RHODA G"</f>
        <v>TAYLOR RHODA G</v>
      </c>
      <c r="C12417" s="1" t="str">
        <f>"ROSWELL DR LIV-MOOR HTS 3 LOT 75"</f>
        <v>ROSWELL DR LIV-MOOR HTS 3 LOT 75</v>
      </c>
      <c r="D12417" s="1">
        <v>2831.93</v>
      </c>
    </row>
    <row r="12418" spans="1:4" x14ac:dyDescent="0.3">
      <c r="A12418" s="1" t="str">
        <f>"17000243500"</f>
        <v>17000243500</v>
      </c>
      <c r="B12418" s="1" t="str">
        <f>"TAYLOR RIDGE RESTATES HOMEOWNERS ASSN"</f>
        <v>TAYLOR RIDGE RESTATES HOMEOWNERS ASSN</v>
      </c>
      <c r="C12418" s="1" t="s">
        <v>7</v>
      </c>
      <c r="D12418" s="1">
        <v>104.64</v>
      </c>
    </row>
    <row r="12419" spans="1:4" x14ac:dyDescent="0.3">
      <c r="A12419" s="1" t="str">
        <f>"17000243600"</f>
        <v>17000243600</v>
      </c>
      <c r="B12419" s="1" t="str">
        <f>"TAYLOR RIDGE RESTATES HOMEOWNERS ASSN"</f>
        <v>TAYLOR RIDGE RESTATES HOMEOWNERS ASSN</v>
      </c>
      <c r="C12419" s="1" t="s">
        <v>8</v>
      </c>
      <c r="D12419" s="1">
        <v>42.78</v>
      </c>
    </row>
    <row r="12420" spans="1:4" x14ac:dyDescent="0.3">
      <c r="A12420" s="1" t="str">
        <f>"59017281100"</f>
        <v>59017281100</v>
      </c>
      <c r="B12420" s="1" t="str">
        <f>"TAYLOR ROBERT P"</f>
        <v>TAYLOR ROBERT P</v>
      </c>
      <c r="C12420" s="1" t="str">
        <f>"WELLAND STREET RIVERSIDE GREEN SEC4 LOT 225"</f>
        <v>WELLAND STREET RIVERSIDE GREEN SEC4 LOT 225</v>
      </c>
      <c r="D12420" s="1">
        <v>644.29999999999995</v>
      </c>
    </row>
    <row r="12421" spans="1:4" x14ac:dyDescent="0.3">
      <c r="A12421" s="1" t="str">
        <f>"14000404700"</f>
        <v>14000404700</v>
      </c>
      <c r="B12421" s="1" t="str">
        <f>"TAYLOR RYAN W, TAYLOR HALEIGH"</f>
        <v>TAYLOR RYAN W, TAYLOR HALEIGH</v>
      </c>
      <c r="C12421" s="1" t="str">
        <f>"GANTZ ROAD M JEANNETTE MCDOWELL PT LOT 19= 0.71 ACRE"</f>
        <v>GANTZ ROAD M JEANNETTE MCDOWELL PT LOT 19= 0.71 ACRE</v>
      </c>
      <c r="D12421" s="1">
        <v>330.21</v>
      </c>
    </row>
    <row r="12422" spans="1:4" x14ac:dyDescent="0.3">
      <c r="A12422" s="1" t="str">
        <f>"14000556400"</f>
        <v>14000556400</v>
      </c>
      <c r="B12422" s="1" t="str">
        <f>"TAYLOR RYAN W, TAYLOR HALEIGH"</f>
        <v>TAYLOR RYAN W, TAYLOR HALEIGH</v>
      </c>
      <c r="C12422" s="1" t="str">
        <f>"2320 ADAM GANTZ RD ENTRY 1454 0.946 ACRE"</f>
        <v>2320 ADAM GANTZ RD ENTRY 1454 0.946 ACRE</v>
      </c>
      <c r="D12422" s="1">
        <v>2099.37</v>
      </c>
    </row>
    <row r="12423" spans="1:4" x14ac:dyDescent="0.3">
      <c r="A12423" s="1" t="str">
        <f>"01015323300"</f>
        <v>01015323300</v>
      </c>
      <c r="B12423" s="1" t="str">
        <f>"TAYLOR SCOTT RICHARD"</f>
        <v>TAYLOR SCOTT RICHARD</v>
      </c>
      <c r="C12423" s="1" t="str">
        <f>"WOODGATE COURT GRANVILLE MANOR N LOT 6"</f>
        <v>WOODGATE COURT GRANVILLE MANOR N LOT 6</v>
      </c>
      <c r="D12423" s="1">
        <v>1431.46</v>
      </c>
    </row>
    <row r="12424" spans="1:4" x14ac:dyDescent="0.3">
      <c r="A12424" s="1" t="str">
        <f>"02500395800"</f>
        <v>02500395800</v>
      </c>
      <c r="B12424" s="1" t="str">
        <f>"TAYLOR STATION ROAD LLC"</f>
        <v>TAYLOR STATION ROAD LLC</v>
      </c>
      <c r="C12424" s="1" t="str">
        <f>"TAYLOR STATION RD .327 ACRE R16 T1 1/4 T3"</f>
        <v>TAYLOR STATION RD .327 ACRE R16 T1 1/4 T3</v>
      </c>
      <c r="D12424" s="1">
        <v>258.94</v>
      </c>
    </row>
    <row r="12425" spans="1:4" x14ac:dyDescent="0.3">
      <c r="A12425" s="1" t="str">
        <f>"16000085500"</f>
        <v>16000085500</v>
      </c>
      <c r="B12425" s="1" t="str">
        <f>"TAYLOR WENDELL P, TAYLOR SUZANNE"</f>
        <v>TAYLOR WENDELL P, TAYLOR SUZANNE</v>
      </c>
      <c r="C12425" s="1" t="str">
        <f>"BIG RUN RD S OQ2000 ENTRY 1388 6 3.393 ACRES"</f>
        <v>BIG RUN RD S OQ2000 ENTRY 1388 6 3.393 ACRES</v>
      </c>
      <c r="D12425" s="1">
        <v>329.36</v>
      </c>
    </row>
    <row r="12426" spans="1:4" x14ac:dyDescent="0.3">
      <c r="A12426" s="1" t="str">
        <f>"01002377700"</f>
        <v>01002377700</v>
      </c>
      <c r="B12426" s="1" t="str">
        <f>"TCL PROPERTIES LLC"</f>
        <v>TCL PROPERTIES LLC</v>
      </c>
      <c r="C12426" s="1" t="str">
        <f>"2709-2711 DAYTON AVE INDIANOLA PK VIEW 3 LOT 48"</f>
        <v>2709-2711 DAYTON AVE INDIANOLA PK VIEW 3 LOT 48</v>
      </c>
      <c r="D12426" s="1">
        <v>3189.52</v>
      </c>
    </row>
    <row r="12427" spans="1:4" x14ac:dyDescent="0.3">
      <c r="A12427" s="1" t="str">
        <f>"01002006000"</f>
        <v>01002006000</v>
      </c>
      <c r="B12427" s="1" t="str">
        <f>"TDA FAMILY LLC"</f>
        <v>TDA FAMILY LLC</v>
      </c>
      <c r="C12427" s="1" t="str">
        <f>"1114-16 FRANKLIN AVE HOFFMAN &amp; MCGREW PT LOTS 190-191"</f>
        <v>1114-16 FRANKLIN AVE HOFFMAN &amp; MCGREW PT LOTS 190-191</v>
      </c>
      <c r="D12427" s="1">
        <v>858.51</v>
      </c>
    </row>
    <row r="12428" spans="1:4" x14ac:dyDescent="0.3">
      <c r="A12428" s="1" t="str">
        <f>"04000834100"</f>
        <v>04000834100</v>
      </c>
      <c r="B12428" s="1" t="str">
        <f>"TDM"</f>
        <v>TDM</v>
      </c>
      <c r="C12428" s="1" t="str">
        <f>"THE WILLOWS AT QUAIL CREEK CONDO BLDG 2 UNIT 5857"</f>
        <v>THE WILLOWS AT QUAIL CREEK CONDO BLDG 2 UNIT 5857</v>
      </c>
      <c r="D12428" s="1">
        <v>1689.4</v>
      </c>
    </row>
    <row r="12429" spans="1:4" x14ac:dyDescent="0.3">
      <c r="A12429" s="1" t="str">
        <f>"01011124500"</f>
        <v>01011124500</v>
      </c>
      <c r="B12429" s="1" t="str">
        <f>"TEALE ELOISE H"</f>
        <v>TEALE ELOISE H</v>
      </c>
      <c r="C12429" s="1" t="str">
        <f>"BELLFLOWER AVE WILSHIRE PARK LOT 32"</f>
        <v>BELLFLOWER AVE WILSHIRE PARK LOT 32</v>
      </c>
      <c r="D12429" s="1">
        <v>1127.58</v>
      </c>
    </row>
    <row r="12430" spans="1:4" x14ac:dyDescent="0.3">
      <c r="A12430" s="1" t="str">
        <f>"01003653200"</f>
        <v>01003653200</v>
      </c>
      <c r="B12430" s="1" t="str">
        <f>"TEASLEY ROBERT G"</f>
        <v>TEASLEY ROBERT G</v>
      </c>
      <c r="C12430" s="1" t="str">
        <f>"589 ATHENS AVENUE BURNSIDE HTS LOT 137"</f>
        <v>589 ATHENS AVENUE BURNSIDE HTS LOT 137</v>
      </c>
      <c r="D12430" s="1">
        <v>5650.56</v>
      </c>
    </row>
    <row r="12431" spans="1:4" x14ac:dyDescent="0.3">
      <c r="A12431" s="1" t="str">
        <f>"01007329300"</f>
        <v>01007329300</v>
      </c>
      <c r="B12431" s="1" t="str">
        <f>"TEB EQUITY LLC"</f>
        <v>TEB EQUITY LLC</v>
      </c>
      <c r="C12431" s="1" t="str">
        <f>"E 21ST AVE RICHMOND LOT 217"</f>
        <v>E 21ST AVE RICHMOND LOT 217</v>
      </c>
      <c r="D12431" s="1">
        <v>598.53</v>
      </c>
    </row>
    <row r="12432" spans="1:4" x14ac:dyDescent="0.3">
      <c r="A12432" s="1" t="str">
        <f>"01011353000"</f>
        <v>01011353000</v>
      </c>
      <c r="B12432" s="1" t="str">
        <f>"TEB EQUITY LLC"</f>
        <v>TEB EQUITY LLC</v>
      </c>
      <c r="C12432" s="1" t="str">
        <f>"DEXTER RD S HGIH GDNS LOT 57"</f>
        <v>DEXTER RD S HGIH GDNS LOT 57</v>
      </c>
      <c r="D12432" s="1">
        <v>774.5</v>
      </c>
    </row>
    <row r="12433" spans="1:4" x14ac:dyDescent="0.3">
      <c r="A12433" s="1" t="str">
        <f>"01009123600"</f>
        <v>01009123600</v>
      </c>
      <c r="B12433" s="1" t="str">
        <f>"TEB EQUITY LLC"</f>
        <v>TEB EQUITY LLC</v>
      </c>
      <c r="C12433" s="1" t="str">
        <f>"JAMES ROAD EASTHAMPTON LOT 12"</f>
        <v>JAMES ROAD EASTHAMPTON LOT 12</v>
      </c>
      <c r="D12433" s="1">
        <v>679.94</v>
      </c>
    </row>
    <row r="12434" spans="1:4" x14ac:dyDescent="0.3">
      <c r="A12434" s="1" t="str">
        <f>"01015629500"</f>
        <v>01015629500</v>
      </c>
      <c r="B12434" s="1" t="str">
        <f>"TEB EQUITY LLC"</f>
        <v>TEB EQUITY LLC</v>
      </c>
      <c r="C12434" s="1" t="str">
        <f>"BETHESDA AVE QUEENSWOOD SUBDIV LOT 35"</f>
        <v>BETHESDA AVE QUEENSWOOD SUBDIV LOT 35</v>
      </c>
      <c r="D12434" s="1">
        <v>790.43</v>
      </c>
    </row>
    <row r="12435" spans="1:4" x14ac:dyDescent="0.3">
      <c r="A12435" s="1" t="str">
        <f>"60017208300"</f>
        <v>60017208300</v>
      </c>
      <c r="B12435" s="1" t="str">
        <f>"TEBUSSEK CHARLES D, TEBUSSEK SHIRLEY D"</f>
        <v>TEBUSSEK CHARLES D, TEBUSSEK SHIRLEY D</v>
      </c>
      <c r="C12435" s="1" t="str">
        <f>"BLENDON WOODS BLVD RESB PT COOPER WOODS SEC 2 LOT 161"</f>
        <v>BLENDON WOODS BLVD RESB PT COOPER WOODS SEC 2 LOT 161</v>
      </c>
      <c r="D12435" s="1">
        <v>510.89</v>
      </c>
    </row>
    <row r="12436" spans="1:4" x14ac:dyDescent="0.3">
      <c r="A12436" s="1" t="str">
        <f>"01003553800"</f>
        <v>01003553800</v>
      </c>
      <c r="B12436" s="1" t="str">
        <f>"TEC REAL ESTATE LLC"</f>
        <v>TEC REAL ESTATE LLC</v>
      </c>
      <c r="C12436" s="1" t="str">
        <f>"80 S WAYNE AVE OAKLEY LOT 131"</f>
        <v>80 S WAYNE AVE OAKLEY LOT 131</v>
      </c>
      <c r="D12436" s="1">
        <v>807.54</v>
      </c>
    </row>
    <row r="12437" spans="1:4" x14ac:dyDescent="0.3">
      <c r="A12437" s="1" t="str">
        <f>"01004995300"</f>
        <v>01004995300</v>
      </c>
      <c r="B12437" s="1" t="str">
        <f>"TECHATANALA WANNARAT, TECHATANALA VICHIEN"</f>
        <v>TECHATANALA WANNARAT, TECHATANALA VICHIEN</v>
      </c>
      <c r="C12437" s="1" t="str">
        <f>"809 S 18TH ST SWAYEN LOT 265-266"</f>
        <v>809 S 18TH ST SWAYEN LOT 265-266</v>
      </c>
      <c r="D12437" s="1">
        <v>25.06</v>
      </c>
    </row>
    <row r="12438" spans="1:4" x14ac:dyDescent="0.3">
      <c r="A12438" s="1" t="str">
        <f>"01006041300"</f>
        <v>01006041300</v>
      </c>
      <c r="B12438" s="1" t="str">
        <f>"TECHCRAZE LLC"</f>
        <v>TECHCRAZE LLC</v>
      </c>
      <c r="C12438" s="1" t="str">
        <f>"23RD AVE WALDEMERE LOT 138"</f>
        <v>23RD AVE WALDEMERE LOT 138</v>
      </c>
      <c r="D12438" s="1">
        <v>1366.15</v>
      </c>
    </row>
    <row r="12439" spans="1:4" x14ac:dyDescent="0.3">
      <c r="A12439" s="1" t="str">
        <f>"01004669700"</f>
        <v>01004669700</v>
      </c>
      <c r="B12439" s="1" t="str">
        <f>"TECHRUG RE HOLDINGS LLC"</f>
        <v>TECHRUG RE HOLDINGS LLC</v>
      </c>
      <c r="C12439" s="1" t="str">
        <f>"94 HAYDEN AVE KNAUSS AMD SUB 110"</f>
        <v>94 HAYDEN AVE KNAUSS AMD SUB 110</v>
      </c>
      <c r="D12439" s="1">
        <v>936.51</v>
      </c>
    </row>
    <row r="12440" spans="1:4" x14ac:dyDescent="0.3">
      <c r="A12440" s="1" t="str">
        <f>"01001310900"</f>
        <v>01001310900</v>
      </c>
      <c r="B12440" s="1" t="str">
        <f>"TEDLA MULUGETA, BEYEN EDEN"</f>
        <v>TEDLA MULUGETA, BEYEN EDEN</v>
      </c>
      <c r="C12440" s="1" t="str">
        <f>"953 E 12TH AVE .5 ACRE EX 50 FT E S LOT 18-1-4-8"</f>
        <v>953 E 12TH AVE .5 ACRE EX 50 FT E S LOT 18-1-4-8</v>
      </c>
      <c r="D12440" s="1">
        <v>1165.72</v>
      </c>
    </row>
    <row r="12441" spans="1:4" x14ac:dyDescent="0.3">
      <c r="A12441" s="1" t="str">
        <f>"56019282800"</f>
        <v>56019282800</v>
      </c>
      <c r="B12441" s="1" t="str">
        <f>"TEELING TINA"</f>
        <v>TEELING TINA</v>
      </c>
      <c r="C12441" s="1" t="str">
        <f>"3277 STONECREST CT STONEBROOKE CONDO 2 BLDG 6 UNIT 50"</f>
        <v>3277 STONECREST CT STONEBROOKE CONDO 2 BLDG 6 UNIT 50</v>
      </c>
      <c r="D12441" s="1">
        <v>194.62</v>
      </c>
    </row>
    <row r="12442" spans="1:4" x14ac:dyDescent="0.3">
      <c r="A12442" s="1" t="str">
        <f>"53013993400"</f>
        <v>53013993400</v>
      </c>
      <c r="B12442" s="1" t="str">
        <f>"TEETERS GUY V, TEETERS EVE E"</f>
        <v>TEETERS GUY V, TEETERS EVE E</v>
      </c>
      <c r="C12442" s="1" t="str">
        <f>"FAREHAM CT AMBERLY LOT 230"</f>
        <v>FAREHAM CT AMBERLY LOT 230</v>
      </c>
      <c r="D12442" s="1">
        <v>1519.24</v>
      </c>
    </row>
    <row r="12443" spans="1:4" x14ac:dyDescent="0.3">
      <c r="A12443" s="1" t="str">
        <f>"22200237400"</f>
        <v>22200237400</v>
      </c>
      <c r="B12443" s="1" t="str">
        <f>"TEETERS WALTER E, TEETERS TERESA A"</f>
        <v>TEETERS WALTER E, TEETERS TERESA A</v>
      </c>
      <c r="C12443" s="1" t="str">
        <f>"NEW ALBANY ROAD EAST NEW ALBANY LINKS SECTION 2 LOT 91"</f>
        <v>NEW ALBANY ROAD EAST NEW ALBANY LINKS SECTION 2 LOT 91</v>
      </c>
      <c r="D12443" s="1">
        <v>358.28</v>
      </c>
    </row>
    <row r="12444" spans="1:4" x14ac:dyDescent="0.3">
      <c r="A12444" s="1" t="str">
        <f>"01006795400"</f>
        <v>01006795400</v>
      </c>
      <c r="B12444" s="1" t="str">
        <f>"TEJADA PROPERTIES LLC"</f>
        <v>TEJADA PROPERTIES LLC</v>
      </c>
      <c r="C12444" s="1" t="str">
        <f>"WOODBERRY AVE HILLTONIA ANNEX BLK 7 LOT 9"</f>
        <v>WOODBERRY AVE HILLTONIA ANNEX BLK 7 LOT 9</v>
      </c>
      <c r="D12444" s="1">
        <v>137.29</v>
      </c>
    </row>
    <row r="12445" spans="1:4" x14ac:dyDescent="0.3">
      <c r="A12445" s="1" t="str">
        <f>"01006795500"</f>
        <v>01006795500</v>
      </c>
      <c r="B12445" s="1" t="str">
        <f>"TEJADA PROPERTIES LLC"</f>
        <v>TEJADA PROPERTIES LLC</v>
      </c>
      <c r="C12445" s="1" t="str">
        <f>"557 WOODBURYAVE HILTONIAANNEXBLK7 LOT 10"</f>
        <v>557 WOODBURYAVE HILTONIAANNEXBLK7 LOT 10</v>
      </c>
      <c r="D12445" s="1">
        <v>1134.73</v>
      </c>
    </row>
    <row r="12446" spans="1:4" x14ac:dyDescent="0.3">
      <c r="A12446" s="1" t="str">
        <f>"06000323800"</f>
        <v>06000323800</v>
      </c>
      <c r="B12446" s="1" t="str">
        <f>"TEKESTE NYOM"</f>
        <v>TEKESTE NYOM</v>
      </c>
      <c r="C12446" s="1" t="str">
        <f>"ROSEHILL RD HC HUBER PLAT 36SEC4 812"</f>
        <v>ROSEHILL RD HC HUBER PLAT 36SEC4 812</v>
      </c>
      <c r="D12446" s="1">
        <v>3744.03</v>
      </c>
    </row>
    <row r="12447" spans="1:4" x14ac:dyDescent="0.3">
      <c r="A12447" s="1" t="str">
        <f>"21300204100"</f>
        <v>21300204100</v>
      </c>
      <c r="B12447" s="1" t="str">
        <f>"TELICH LAURA A S TR"</f>
        <v>TELICH LAURA A S TR</v>
      </c>
      <c r="C12447" s="1" t="str">
        <f>"OAKVIEW DR WORTHINGTON HILLS 3 LOT 442"</f>
        <v>OAKVIEW DR WORTHINGTON HILLS 3 LOT 442</v>
      </c>
      <c r="D12447" s="1">
        <v>1093.05</v>
      </c>
    </row>
    <row r="12448" spans="1:4" x14ac:dyDescent="0.3">
      <c r="A12448" s="1" t="str">
        <f>"57021919000"</f>
        <v>57021919000</v>
      </c>
      <c r="B12448" s="1" t="str">
        <f>"TEMIANKA ETHAN"</f>
        <v>TEMIANKA ETHAN</v>
      </c>
      <c r="C12448" s="1" t="str">
        <f>"MIDDLECOFF COURT SCIOTO WOODS SEC 3 145.79'WL SE LOT 198"</f>
        <v>MIDDLECOFF COURT SCIOTO WOODS SEC 3 145.79'WL SE LOT 198</v>
      </c>
      <c r="D12448" s="1">
        <v>5781.07</v>
      </c>
    </row>
    <row r="12449" spans="1:4" x14ac:dyDescent="0.3">
      <c r="A12449" s="1" t="str">
        <f>"09000237200"</f>
        <v>09000237200</v>
      </c>
      <c r="B12449" s="1" t="str">
        <f>"TEMPER NOVELLA, TEMPER ANDY P"</f>
        <v>TEMPER NOVELLA, TEMPER ANDY P</v>
      </c>
      <c r="C12449" s="1" t="str">
        <f>"732 MARTHA LANE HAMILTON TERRACE 22"</f>
        <v>732 MARTHA LANE HAMILTON TERRACE 22</v>
      </c>
      <c r="D12449" s="1">
        <v>75.8</v>
      </c>
    </row>
    <row r="12450" spans="1:4" x14ac:dyDescent="0.3">
      <c r="A12450" s="1" t="str">
        <f>"01014408000"</f>
        <v>01014408000</v>
      </c>
      <c r="B12450" s="1" t="str">
        <f>"TEMPLE JENNIFER ANN, TEMPLE BRIAN"</f>
        <v>TEMPLE JENNIFER ANN, TEMPLE BRIAN</v>
      </c>
      <c r="C12450" s="1" t="str">
        <f>"PARKDALE DR DEVONSHIRE 7 LOT 964"</f>
        <v>PARKDALE DR DEVONSHIRE 7 LOT 964</v>
      </c>
      <c r="D12450" s="1">
        <v>227</v>
      </c>
    </row>
    <row r="12451" spans="1:4" x14ac:dyDescent="0.3">
      <c r="A12451" s="1" t="str">
        <f>"01006659300"</f>
        <v>01006659300</v>
      </c>
      <c r="B12451" s="1" t="str">
        <f>"TEN PENNY PROPERTIES LLC"</f>
        <v>TEN PENNY PROPERTIES LLC</v>
      </c>
      <c r="C12451" s="1" t="str">
        <f>"555 CITY PARK AVE S 1/2 LOT 704"</f>
        <v>555 CITY PARK AVE S 1/2 LOT 704</v>
      </c>
      <c r="D12451" s="1">
        <v>10569.5</v>
      </c>
    </row>
    <row r="12452" spans="1:4" x14ac:dyDescent="0.3">
      <c r="A12452" s="1" t="str">
        <f>"01004119500"</f>
        <v>01004119500</v>
      </c>
      <c r="B12452" s="1" t="str">
        <f>"TEN PENNY PROPERTIES LLC"</f>
        <v>TEN PENNY PROPERTIES LLC</v>
      </c>
      <c r="C12452" s="1" t="str">
        <f>"552 S PEARL IN LOT LOT 704"</f>
        <v>552 S PEARL IN LOT LOT 704</v>
      </c>
      <c r="D12452" s="1">
        <v>3367.25</v>
      </c>
    </row>
    <row r="12453" spans="1:4" x14ac:dyDescent="0.3">
      <c r="A12453" s="1" t="str">
        <f>"01004455200"</f>
        <v>01004455200</v>
      </c>
      <c r="B12453" s="1" t="str">
        <f>"TEN PENNY PROPERTIES LLC"</f>
        <v>TEN PENNY PROPERTIES LLC</v>
      </c>
      <c r="C12453" s="1" t="str">
        <f>"551 CITY PARK AVE E 1/2 OF N 1/2 IN LOT 704"</f>
        <v>551 CITY PARK AVE E 1/2 OF N 1/2 IN LOT 704</v>
      </c>
      <c r="D12453" s="1">
        <v>3478.75</v>
      </c>
    </row>
    <row r="12454" spans="1:4" x14ac:dyDescent="0.3">
      <c r="A12454" s="1" t="str">
        <f>"57024675700"</f>
        <v>57024675700</v>
      </c>
      <c r="B12454" s="1" t="str">
        <f>"TENHAKEN DOUGLAS A, TENHAKEN LAURA K"</f>
        <v>TENHAKEN DOUGLAS A, TENHAKEN LAURA K</v>
      </c>
      <c r="C12454" s="1" t="str">
        <f>"NAVION COURT KINGS LAKES SECTION 4 LOT 93"</f>
        <v>NAVION COURT KINGS LAKES SECTION 4 LOT 93</v>
      </c>
      <c r="D12454" s="1">
        <v>178.01</v>
      </c>
    </row>
    <row r="12455" spans="1:4" x14ac:dyDescent="0.3">
      <c r="A12455" s="1" t="str">
        <f>"01012269200"</f>
        <v>01012269200</v>
      </c>
      <c r="B12455" s="1" t="str">
        <f>"TENSLEY EDDIE L"</f>
        <v>TENSLEY EDDIE L</v>
      </c>
      <c r="C12455" s="1" t="str">
        <f>"GAULT ST 1933 CARVER LOT 66"</f>
        <v>GAULT ST 1933 CARVER LOT 66</v>
      </c>
      <c r="D12455" s="1">
        <v>643.59</v>
      </c>
    </row>
    <row r="12456" spans="1:4" x14ac:dyDescent="0.3">
      <c r="A12456" s="1" t="str">
        <f>"01007426100"</f>
        <v>01007426100</v>
      </c>
      <c r="B12456" s="1" t="str">
        <f>"TEPPER JOHN W TTEE, TEPPER WANDA C TTEE"</f>
        <v>TEPPER JOHN W TTEE, TEPPER WANDA C TTEE</v>
      </c>
      <c r="C12456" s="1" t="str">
        <f>"PONTIAC ST ALMADA LOT 389"</f>
        <v>PONTIAC ST ALMADA LOT 389</v>
      </c>
      <c r="D12456" s="1">
        <v>794.79</v>
      </c>
    </row>
    <row r="12457" spans="1:4" x14ac:dyDescent="0.3">
      <c r="A12457" s="1" t="str">
        <f>"27300332500"</f>
        <v>27300332500</v>
      </c>
      <c r="B12457" s="1" t="str">
        <f>"TERRACORP LLC"</f>
        <v>TERRACORP LLC</v>
      </c>
      <c r="C12457" s="1" t="str">
        <f>"PARKER HILL LANE EARLINGTON VILLAGE SECTION 2 LOT 87"</f>
        <v>PARKER HILL LANE EARLINGTON VILLAGE SECTION 2 LOT 87</v>
      </c>
      <c r="D12457" s="1">
        <v>551.30999999999995</v>
      </c>
    </row>
    <row r="12458" spans="1:4" x14ac:dyDescent="0.3">
      <c r="A12458" s="1" t="str">
        <f>"01021536000"</f>
        <v>01021536000</v>
      </c>
      <c r="B12458" s="1" t="str">
        <f>"TERRESTRIAL INVESTMENTS LLC"</f>
        <v>TERRESTRIAL INVESTMENTS LLC</v>
      </c>
      <c r="C12458" s="1" t="str">
        <f>"S HIGH ST                 BREWERY DISTRICT          LOT 2  .1016 ACRES       "</f>
        <v xml:space="preserve">S HIGH ST                 BREWERY DISTRICT          LOT 2  .1016 ACRES       </v>
      </c>
      <c r="D12458" s="1">
        <v>9077.2800000000007</v>
      </c>
    </row>
    <row r="12459" spans="1:4" x14ac:dyDescent="0.3">
      <c r="A12459" s="1" t="str">
        <f>"01021536100"</f>
        <v>01021536100</v>
      </c>
      <c r="B12459" s="1" t="str">
        <f>"TERRESTRIAL INVESTMENTS LLC"</f>
        <v>TERRESTRIAL INVESTMENTS LLC</v>
      </c>
      <c r="C12459" s="1" t="str">
        <f>"BREWERY                   DISTRICT                  LOT 3  .0644 ACRES       "</f>
        <v xml:space="preserve">BREWERY                   DISTRICT                  LOT 3  .0644 ACRES       </v>
      </c>
      <c r="D12459" s="1">
        <v>668.66</v>
      </c>
    </row>
    <row r="12460" spans="1:4" x14ac:dyDescent="0.3">
      <c r="A12460" s="1" t="str">
        <f>"57012685300"</f>
        <v>57012685300</v>
      </c>
      <c r="B12460" s="1" t="str">
        <f>"TERRY ASPHALT MATERIALS INC"</f>
        <v>TERRY ASPHALT MATERIALS INC</v>
      </c>
      <c r="C12460" s="1" t="str">
        <f>"LONGWOOD AVE 1.98 AC FRANK RD INDUSTRIAL PK 2 RES A"</f>
        <v>LONGWOOD AVE 1.98 AC FRANK RD INDUSTRIAL PK 2 RES A</v>
      </c>
      <c r="D12460" s="1">
        <v>9857.5300000000007</v>
      </c>
    </row>
    <row r="12461" spans="1:4" x14ac:dyDescent="0.3">
      <c r="A12461" s="1" t="str">
        <f>"57011408100"</f>
        <v>57011408100</v>
      </c>
      <c r="B12461" s="1" t="str">
        <f>"TERRY ASPHALT MATERIALS INC"</f>
        <v>TERRY ASPHALT MATERIALS INC</v>
      </c>
      <c r="C12461" s="1" t="str">
        <f>"FEDDERN AVE 1.513ACRE LOT RES A FRANK RD INDST PK 4"</f>
        <v>FEDDERN AVE 1.513ACRE LOT RES A FRANK RD INDST PK 4</v>
      </c>
      <c r="D12461" s="1">
        <v>892.21</v>
      </c>
    </row>
    <row r="12462" spans="1:4" x14ac:dyDescent="0.3">
      <c r="A12462" s="1" t="str">
        <f>"01011416700"</f>
        <v>01011416700</v>
      </c>
      <c r="B12462" s="1" t="str">
        <f>"TERRY CHRIS"</f>
        <v>TERRY CHRIS</v>
      </c>
      <c r="C12462" s="1" t="str">
        <f>"LEWIS AVE ACRES .459 R22 T4 S1"</f>
        <v>LEWIS AVE ACRES .459 R22 T4 S1</v>
      </c>
      <c r="D12462" s="1">
        <v>4795.1000000000004</v>
      </c>
    </row>
    <row r="12463" spans="1:4" x14ac:dyDescent="0.3">
      <c r="A12463" s="1" t="str">
        <f>"01008330000"</f>
        <v>01008330000</v>
      </c>
      <c r="B12463" s="1" t="str">
        <f>"TERRY JAMES E"</f>
        <v>TERRY JAMES E</v>
      </c>
      <c r="C12463" s="1" t="str">
        <f>"AZELDA AVE SUNNYSIDE LOT 146"</f>
        <v>AZELDA AVE SUNNYSIDE LOT 146</v>
      </c>
      <c r="D12463" s="1">
        <v>550.86</v>
      </c>
    </row>
    <row r="12464" spans="1:4" x14ac:dyDescent="0.3">
      <c r="A12464" s="1" t="str">
        <f>"04001318400"</f>
        <v>04001318400</v>
      </c>
      <c r="B12464" s="1" t="str">
        <f>"TERRY SALLY"</f>
        <v>TERRY SALLY</v>
      </c>
      <c r="C12464" s="1" t="str">
        <f>"FOUNTAINVIEW AT PARKWAY   CONDOMINIUM 2ND AMD       UNIT 8-4213              "</f>
        <v xml:space="preserve">FOUNTAINVIEW AT PARKWAY   CONDOMINIUM 2ND AMD       UNIT 8-4213              </v>
      </c>
      <c r="D12464" s="1">
        <v>6</v>
      </c>
    </row>
    <row r="12465" spans="1:4" x14ac:dyDescent="0.3">
      <c r="A12465" s="1" t="str">
        <f>"17000294100"</f>
        <v>17000294100</v>
      </c>
      <c r="B12465" s="1" t="str">
        <f>"TESFAMARIAM EIRMYAS"</f>
        <v>TESFAMARIAM EIRMYAS</v>
      </c>
      <c r="C12465" s="1" t="str">
        <f>"REYN-NEW ALBANY RD R16 T1 1/4T1-2 2.00 ACRES"</f>
        <v>REYN-NEW ALBANY RD R16 T1 1/4T1-2 2.00 ACRES</v>
      </c>
      <c r="D12465" s="1">
        <v>1902.52</v>
      </c>
    </row>
    <row r="12466" spans="1:4" x14ac:dyDescent="0.3">
      <c r="A12466" s="1" t="str">
        <f>"01016161400"</f>
        <v>01016161400</v>
      </c>
      <c r="B12466" s="1" t="str">
        <f>"TESFAMARIAM SABA"</f>
        <v>TESFAMARIAM SABA</v>
      </c>
      <c r="C12466" s="1" t="str">
        <f>"WINDING CREEK CONDOMINIUM LOT G-3"</f>
        <v>WINDING CREEK CONDOMINIUM LOT G-3</v>
      </c>
      <c r="D12466" s="1">
        <v>1877.59</v>
      </c>
    </row>
    <row r="12467" spans="1:4" x14ac:dyDescent="0.3">
      <c r="A12467" s="1" t="str">
        <f>"59099934100"</f>
        <v>59099934100</v>
      </c>
      <c r="B12467" s="1" t="str">
        <f>"TESLA SOLAR SYSTEMS LLC"</f>
        <v>TESLA SOLAR SYSTEMS LLC</v>
      </c>
      <c r="C12467" s="1" t="str">
        <f>"SOLAR PUBLIC UTILITY PERSONAL PROPERTY"</f>
        <v>SOLAR PUBLIC UTILITY PERSONAL PROPERTY</v>
      </c>
      <c r="D12467" s="1">
        <v>14898.14</v>
      </c>
    </row>
    <row r="12468" spans="1:4" x14ac:dyDescent="0.3">
      <c r="A12468" s="1" t="str">
        <f>"21300065100"</f>
        <v>21300065100</v>
      </c>
      <c r="B12468" s="1" t="str">
        <f>"TETERIS LAURA"</f>
        <v>TETERIS LAURA</v>
      </c>
      <c r="C12468" s="1" t="str">
        <f>"MCVEY BLVD WEST BROOKSIDE EST 1 LOT 11"</f>
        <v>MCVEY BLVD WEST BROOKSIDE EST 1 LOT 11</v>
      </c>
      <c r="D12468" s="1">
        <v>13593.38</v>
      </c>
    </row>
    <row r="12469" spans="1:4" x14ac:dyDescent="0.3">
      <c r="A12469" s="1" t="str">
        <f>"01029340600"</f>
        <v>01029340600</v>
      </c>
      <c r="B12469" s="1" t="str">
        <f>"TETI DONALD, TETI SUZANNE MARIE"</f>
        <v>TETI DONALD, TETI SUZANNE MARIE</v>
      </c>
      <c r="C12469" s="1" t="str">
        <f>"WOODS AT SUGAR RUN CONDOMINIUM 27TH AMD UNIT 10-6918"</f>
        <v>WOODS AT SUGAR RUN CONDOMINIUM 27TH AMD UNIT 10-6918</v>
      </c>
      <c r="D12469" s="1">
        <v>6913.97</v>
      </c>
    </row>
    <row r="12470" spans="1:4" x14ac:dyDescent="0.3">
      <c r="A12470" s="1" t="str">
        <f>"54524201700"</f>
        <v>54524201700</v>
      </c>
      <c r="B12470" s="1" t="str">
        <f>"TEWARI ASHUTOSH, RATHANAVEL CHANDRASEKARAN"</f>
        <v>TEWARI ASHUTOSH, RATHANAVEL CHANDRASEKARAN</v>
      </c>
      <c r="C12470" s="1" t="str">
        <f>"NEW ALBANY VILLAGE CONDOMINIUM 2ND AMD BLDG 8 UNIT 4939"</f>
        <v>NEW ALBANY VILLAGE CONDOMINIUM 2ND AMD BLDG 8 UNIT 4939</v>
      </c>
      <c r="D12470" s="1">
        <v>2506.14</v>
      </c>
    </row>
    <row r="12471" spans="1:4" x14ac:dyDescent="0.3">
      <c r="A12471" s="1" t="str">
        <f>"01012336000"</f>
        <v>01012336000</v>
      </c>
      <c r="B12471" s="1" t="str">
        <f>"TEWELDE EYOB N"</f>
        <v>TEWELDE EYOB N</v>
      </c>
      <c r="C12471" s="1" t="str">
        <f>"PINECREST 4 LOT 687 "</f>
        <v xml:space="preserve">PINECREST 4 LOT 687 </v>
      </c>
      <c r="D12471" s="1">
        <v>1659.68</v>
      </c>
    </row>
    <row r="12472" spans="1:4" x14ac:dyDescent="0.3">
      <c r="A12472" s="1" t="str">
        <f>"01013552000"</f>
        <v>01013552000</v>
      </c>
      <c r="B12472" s="1" t="str">
        <f>"TFIO LLC"</f>
        <v>TFIO LLC</v>
      </c>
      <c r="C12472" s="1" t="str">
        <f>"GURWIN MANOR LOT 7 "</f>
        <v xml:space="preserve">GURWIN MANOR LOT 7 </v>
      </c>
      <c r="D12472" s="1">
        <v>1306.3900000000001</v>
      </c>
    </row>
    <row r="12473" spans="1:4" x14ac:dyDescent="0.3">
      <c r="A12473" s="1" t="str">
        <f>"01013552400"</f>
        <v>01013552400</v>
      </c>
      <c r="B12473" s="1" t="str">
        <f>"TFIO LLC"</f>
        <v>TFIO LLC</v>
      </c>
      <c r="C12473" s="1" t="str">
        <f>"BEULAH RD GURWIN MANOR LOT 11"</f>
        <v>BEULAH RD GURWIN MANOR LOT 11</v>
      </c>
      <c r="D12473" s="1">
        <v>1439.89</v>
      </c>
    </row>
    <row r="12474" spans="1:4" x14ac:dyDescent="0.3">
      <c r="A12474" s="1" t="str">
        <f>"01011916700"</f>
        <v>01011916700</v>
      </c>
      <c r="B12474" s="1" t="str">
        <f>"TH PROPERTY OWNER I LLC"</f>
        <v>TH PROPERTY OWNER I LLC</v>
      </c>
      <c r="C12474" s="1" t="str">
        <f>"SOUTHFIELD DR S SOUTHFIELD LOT 191"</f>
        <v>SOUTHFIELD DR S SOUTHFIELD LOT 191</v>
      </c>
      <c r="D12474" s="1">
        <v>1847.45</v>
      </c>
    </row>
    <row r="12475" spans="1:4" x14ac:dyDescent="0.3">
      <c r="A12475" s="1" t="str">
        <f>"56026785600"</f>
        <v>56026785600</v>
      </c>
      <c r="B12475" s="1" t="str">
        <f>"THAI AMY H, THAI TRACI T"</f>
        <v>THAI AMY H, THAI TRACI T</v>
      </c>
      <c r="C12475" s="1" t="str">
        <f>"WALKERVIEW DRIVE LAKEWOOD SECTION 6 LOT 444"</f>
        <v>WALKERVIEW DRIVE LAKEWOOD SECTION 6 LOT 444</v>
      </c>
      <c r="D12475" s="1">
        <v>495.3</v>
      </c>
    </row>
    <row r="12476" spans="1:4" x14ac:dyDescent="0.3">
      <c r="A12476" s="1" t="str">
        <f>"57025725500"</f>
        <v>57025725500</v>
      </c>
      <c r="B12476" s="1" t="str">
        <f>"THANG RAMHEI, REM DAWTTIN"</f>
        <v>THANG RAMHEI, REM DAWTTIN</v>
      </c>
      <c r="C12476" s="1" t="str">
        <f>"BELFAIR DRIVE GALLOWAY RIDGE SECTION 5 PART 1 LOT 403"</f>
        <v>BELFAIR DRIVE GALLOWAY RIDGE SECTION 5 PART 1 LOT 403</v>
      </c>
      <c r="D12476" s="1">
        <v>1846.75</v>
      </c>
    </row>
    <row r="12477" spans="1:4" x14ac:dyDescent="0.3">
      <c r="A12477" s="1" t="str">
        <f>"51524950000"</f>
        <v>51524950000</v>
      </c>
      <c r="B12477" s="1" t="str">
        <f>"THAPA MAN BAHADUR, THAPA MAN MAYA"</f>
        <v>THAPA MAN BAHADUR, THAPA MAN MAYA</v>
      </c>
      <c r="C12477" s="1" t="str">
        <f>"WORLEY DRIVE WAGGONER CHASE SECTION 1 LOT 67"</f>
        <v>WORLEY DRIVE WAGGONER CHASE SECTION 1 LOT 67</v>
      </c>
      <c r="D12477" s="1">
        <v>3039.85</v>
      </c>
    </row>
    <row r="12478" spans="1:4" x14ac:dyDescent="0.3">
      <c r="A12478" s="1" t="str">
        <f>"08000065600"</f>
        <v>08000065600</v>
      </c>
      <c r="B12478" s="1" t="str">
        <f>"THARP JAMES H"</f>
        <v>THARP JAMES H</v>
      </c>
      <c r="C12478" s="1" t="str">
        <f>" H R JONES ADDITION PT OLD LTS 16-17-18"</f>
        <v xml:space="preserve"> H R JONES ADDITION PT OLD LTS 16-17-18</v>
      </c>
      <c r="D12478" s="1">
        <v>256.63</v>
      </c>
    </row>
    <row r="12479" spans="1:4" x14ac:dyDescent="0.3">
      <c r="A12479" s="1" t="str">
        <f>"15000192200"</f>
        <v>15000192200</v>
      </c>
      <c r="B12479" s="1" t="str">
        <f>"THARP JANIE L, THARP JAMES M"</f>
        <v>THARP JANIE L, THARP JAMES M</v>
      </c>
      <c r="C12479" s="1" t="str">
        <f>"5111 FAIRLANE RD HAMILTON MEADOWS 2 LOT 300"</f>
        <v>5111 FAIRLANE RD HAMILTON MEADOWS 2 LOT 300</v>
      </c>
      <c r="D12479" s="1">
        <v>151.27000000000001</v>
      </c>
    </row>
    <row r="12480" spans="1:4" x14ac:dyDescent="0.3">
      <c r="A12480" s="1" t="str">
        <f>"01011668200"</f>
        <v>01011668200</v>
      </c>
      <c r="B12480" s="1" t="str">
        <f>"THARP JASON CURTIS, THARP REBECCA JO"</f>
        <v>THARP JASON CURTIS, THARP REBECCA JO</v>
      </c>
      <c r="C12480" s="1" t="str">
        <f>"MEADOWVIEW DR MOORES &amp; DALES 3 LOT 100"</f>
        <v>MEADOWVIEW DR MOORES &amp; DALES 3 LOT 100</v>
      </c>
      <c r="D12480" s="1">
        <v>4163.25</v>
      </c>
    </row>
    <row r="12481" spans="1:4" x14ac:dyDescent="0.3">
      <c r="A12481" s="1" t="str">
        <f>"57025198300"</f>
        <v>57025198300</v>
      </c>
      <c r="B12481" s="1" t="str">
        <f>"THAYER ALLEN V"</f>
        <v>THAYER ALLEN V</v>
      </c>
      <c r="C12481" s="1" t="str">
        <f>"ALKIRE PARK CONDOMINIUM 10TH AMD UNIT 68A"</f>
        <v>ALKIRE PARK CONDOMINIUM 10TH AMD UNIT 68A</v>
      </c>
      <c r="D12481" s="1">
        <v>99.85</v>
      </c>
    </row>
    <row r="12482" spans="1:4" x14ac:dyDescent="0.3">
      <c r="A12482" s="1" t="str">
        <f>"01001512700"</f>
        <v>01001512700</v>
      </c>
      <c r="B12482" s="1" t="str">
        <f>"THE BRIAN MUHA FOUNDATION"</f>
        <v>THE BRIAN MUHA FOUNDATION</v>
      </c>
      <c r="C12482" s="1" t="str">
        <f>"423 S OAKLEY AVE ARLINGTON LOT 12"</f>
        <v>423 S OAKLEY AVE ARLINGTON LOT 12</v>
      </c>
      <c r="D12482" s="1">
        <v>126.5</v>
      </c>
    </row>
    <row r="12483" spans="1:4" x14ac:dyDescent="0.3">
      <c r="A12483" s="1" t="str">
        <f>"22200535200"</f>
        <v>22200535200</v>
      </c>
      <c r="B12483" s="1" t="str">
        <f>"THE CITY OF NEW ALBANY"</f>
        <v>THE CITY OF NEW ALBANY</v>
      </c>
      <c r="C12483" s="1" t="str">
        <f>"WOODHAVEN RESERVE A "</f>
        <v xml:space="preserve">WOODHAVEN RESERVE A </v>
      </c>
      <c r="D12483" s="1">
        <v>303.51</v>
      </c>
    </row>
    <row r="12484" spans="1:4" x14ac:dyDescent="0.3">
      <c r="A12484" s="1" t="str">
        <f>"22200535400"</f>
        <v>22200535400</v>
      </c>
      <c r="B12484" s="1" t="str">
        <f>"THE CITY OF NEW ALBANY"</f>
        <v>THE CITY OF NEW ALBANY</v>
      </c>
      <c r="C12484" s="1" t="str">
        <f>"WOODHAVEN RESERVE C "</f>
        <v xml:space="preserve">WOODHAVEN RESERVE C </v>
      </c>
      <c r="D12484" s="1">
        <v>303.51</v>
      </c>
    </row>
    <row r="12485" spans="1:4" x14ac:dyDescent="0.3">
      <c r="A12485" s="1" t="str">
        <f>"01005382300"</f>
        <v>01005382300</v>
      </c>
      <c r="B12485" s="1" t="str">
        <f>"THE ESTATES AT WINNER LLC"</f>
        <v>THE ESTATES AT WINNER LLC</v>
      </c>
      <c r="C12485" s="1" t="str">
        <f>"44 50 WINNER AVE WINNERS LOT 9-10-11"</f>
        <v>44 50 WINNER AVE WINNERS LOT 9-10-11</v>
      </c>
      <c r="D12485" s="1">
        <v>25829.52</v>
      </c>
    </row>
    <row r="12486" spans="1:4" x14ac:dyDescent="0.3">
      <c r="A12486" s="1" t="str">
        <f>"04001627400"</f>
        <v>04001627400</v>
      </c>
      <c r="B12486" s="1" t="str">
        <f>"THE GROVE AT BEULAH PARK HOMEOWNERS ASSOCIATION  INC"</f>
        <v>THE GROVE AT BEULAH PARK HOMEOWNERS ASSOCIATION  INC</v>
      </c>
      <c r="C12486" s="1" t="str">
        <f>"BEULAH PARK SUBAREA E RESERVE A "</f>
        <v xml:space="preserve">BEULAH PARK SUBAREA E RESERVE A </v>
      </c>
      <c r="D12486" s="1">
        <v>9.66</v>
      </c>
    </row>
    <row r="12487" spans="1:4" x14ac:dyDescent="0.3">
      <c r="A12487" s="1" t="str">
        <f>"01023499200"</f>
        <v>01023499200</v>
      </c>
      <c r="B12487" s="1" t="str">
        <f>"THE HARDY CENTER INC"</f>
        <v>THE HARDY CENTER INC</v>
      </c>
      <c r="C12487" s="1" t="str">
        <f>"MILFORD AVE FLORENCES SUNNYSIDE ADDN   LOT 31"</f>
        <v>MILFORD AVE FLORENCES SUNNYSIDE ADDN   LOT 31</v>
      </c>
      <c r="D12487" s="1">
        <v>77.87</v>
      </c>
    </row>
    <row r="12488" spans="1:4" x14ac:dyDescent="0.3">
      <c r="A12488" s="1" t="str">
        <f>"01010649900"</f>
        <v>01010649900</v>
      </c>
      <c r="B12488" s="1" t="str">
        <f>"THE HIGHTOWER GROUP LLC"</f>
        <v>THE HIGHTOWER GROUP LLC</v>
      </c>
      <c r="C12488" s="1" t="str">
        <f>"SCHAAF DR SOUTH BERWICK LOT 38"</f>
        <v>SCHAAF DR SOUTH BERWICK LOT 38</v>
      </c>
      <c r="D12488" s="1">
        <v>2135.3200000000002</v>
      </c>
    </row>
    <row r="12489" spans="1:4" x14ac:dyDescent="0.3">
      <c r="A12489" s="1" t="str">
        <f>"01000558500"</f>
        <v>01000558500</v>
      </c>
      <c r="B12489" s="1" t="str">
        <f>"THE HOSACK LIVING TRUST"</f>
        <v>THE HOSACK LIVING TRUST</v>
      </c>
      <c r="C12489" s="1" t="str">
        <f>"368 HOSACK ST 20TH CENTURY LOT 128"</f>
        <v>368 HOSACK ST 20TH CENTURY LOT 128</v>
      </c>
      <c r="D12489" s="1">
        <v>2914.38</v>
      </c>
    </row>
    <row r="12490" spans="1:4" x14ac:dyDescent="0.3">
      <c r="A12490" s="1" t="str">
        <f>"61019270400"</f>
        <v>61019270400</v>
      </c>
      <c r="B12490" s="1" t="str">
        <f>"THE HOSPITALITY GROUP - WORTHINGTON PORTFOLIO II LLC"</f>
        <v>THE HOSPITALITY GROUP - WORTHINGTON PORTFOLIO II LLC</v>
      </c>
      <c r="C12490" s="1" t="str">
        <f>"HUTCHINSON AVE HAZEL PARK PT LOT 3"</f>
        <v>HUTCHINSON AVE HAZEL PARK PT LOT 3</v>
      </c>
      <c r="D12490" s="1">
        <v>4522.22</v>
      </c>
    </row>
    <row r="12491" spans="1:4" x14ac:dyDescent="0.3">
      <c r="A12491" s="1" t="str">
        <f>"61019271700"</f>
        <v>61019271700</v>
      </c>
      <c r="B12491" s="1" t="str">
        <f>"THE HOSPITALITY GROUP - WORTHINGTON PORTFOLIO II LLC"</f>
        <v>THE HOSPITALITY GROUP - WORTHINGTON PORTFOLIO II LLC</v>
      </c>
      <c r="C12491" s="1" t="str">
        <f>"N HIGH &amp; HUTCHINSON HAZEL PARK PT LOT 1"</f>
        <v>N HIGH &amp; HUTCHINSON HAZEL PARK PT LOT 1</v>
      </c>
      <c r="D12491" s="1">
        <v>1582.14</v>
      </c>
    </row>
    <row r="12492" spans="1:4" x14ac:dyDescent="0.3">
      <c r="A12492" s="1" t="str">
        <f>"61021894500"</f>
        <v>61021894500</v>
      </c>
      <c r="B12492" s="1" t="str">
        <f>"THE HOSPITALITY GROUP - WORTHINGTON PORTFOLIO II LLC"</f>
        <v>THE HOSPITALITY GROUP - WORTHINGTON PORTFOLIO II LLC</v>
      </c>
      <c r="C12492" s="1" t="str">
        <f>"VANTAGE DRIVE CROSSWOODS CENTER 3 PT LOT 21 PT VAC AVE"</f>
        <v>VANTAGE DRIVE CROSSWOODS CENTER 3 PT LOT 21 PT VAC AVE</v>
      </c>
      <c r="D12492" s="1">
        <v>1442.16</v>
      </c>
    </row>
    <row r="12493" spans="1:4" x14ac:dyDescent="0.3">
      <c r="A12493" s="1" t="str">
        <f>"61020421900"</f>
        <v>61020421900</v>
      </c>
      <c r="B12493" s="1" t="str">
        <f>"THE HOSPITALITY GROUP - WORTHINGTON PORTFOLIO II LLC"</f>
        <v>THE HOSPITALITY GROUP - WORTHINGTON PORTFOLIO II LLC</v>
      </c>
      <c r="C12493" s="1" t="str">
        <f>"HUTCHINSON AVE HAZEL PARK TRI WE LOT 18"</f>
        <v>HUTCHINSON AVE HAZEL PARK TRI WE LOT 18</v>
      </c>
      <c r="D12493" s="1">
        <v>1335.16</v>
      </c>
    </row>
    <row r="12494" spans="1:4" x14ac:dyDescent="0.3">
      <c r="A12494" s="1" t="str">
        <f>"61020422100"</f>
        <v>61020422100</v>
      </c>
      <c r="B12494" s="1" t="str">
        <f>"THE HOSPITALITY GROUP - WORTHINGTON PORTFOLIO II LLC"</f>
        <v>THE HOSPITALITY GROUP - WORTHINGTON PORTFOLIO II LLC</v>
      </c>
      <c r="C12494" s="1" t="str">
        <f>"HUTCHINSON AVE HAZEL PARK IRR PC WE LOT 4"</f>
        <v>HUTCHINSON AVE HAZEL PARK IRR PC WE LOT 4</v>
      </c>
      <c r="D12494" s="1">
        <v>331.23</v>
      </c>
    </row>
    <row r="12495" spans="1:4" x14ac:dyDescent="0.3">
      <c r="A12495" s="1" t="str">
        <f>"22200526000"</f>
        <v>22200526000</v>
      </c>
      <c r="B12495" s="1" t="str">
        <f>"THE HUNTINGTON NATIONAL BANK"</f>
        <v>THE HUNTINGTON NATIONAL BANK</v>
      </c>
      <c r="C12495" s="1" t="str">
        <f>"JOHNSTOWN RD R16 T2 1/4T1 1.092 ACRES"</f>
        <v>JOHNSTOWN RD R16 T2 1/4T1 1.092 ACRES</v>
      </c>
      <c r="D12495" s="1">
        <v>27733.54</v>
      </c>
    </row>
    <row r="12496" spans="1:4" x14ac:dyDescent="0.3">
      <c r="A12496" s="1" t="str">
        <f>"01032778500"</f>
        <v>01032778500</v>
      </c>
      <c r="B12496" s="1" t="str">
        <f>"THE KOLLEKTIV LLC"</f>
        <v>THE KOLLEKTIV LLC</v>
      </c>
      <c r="C12496" s="1" t="str">
        <f>"28-32 BUTTLES CONDOMINIUM UNIT 28 "</f>
        <v xml:space="preserve">28-32 BUTTLES CONDOMINIUM UNIT 28 </v>
      </c>
      <c r="D12496" s="1">
        <v>7879.88</v>
      </c>
    </row>
    <row r="12497" spans="1:4" x14ac:dyDescent="0.3">
      <c r="A12497" s="1" t="str">
        <f>"59022092500"</f>
        <v>59022092500</v>
      </c>
      <c r="B12497" s="1" t="str">
        <f>"THE LAYLIN IRREVOCABLE HERITAGE TRUST DATED 12/16/15"</f>
        <v>THE LAYLIN IRREVOCABLE HERITAGE TRUST DATED 12/16/15</v>
      </c>
      <c r="C12497" s="1" t="str">
        <f>"HAYDEN FALLS CONDO 1 12TH AMENDMENT BLDG 24 UNIT 3269"</f>
        <v>HAYDEN FALLS CONDO 1 12TH AMENDMENT BLDG 24 UNIT 3269</v>
      </c>
      <c r="D12497" s="1">
        <v>618.55999999999995</v>
      </c>
    </row>
    <row r="12498" spans="1:4" x14ac:dyDescent="0.3">
      <c r="A12498" s="1" t="str">
        <f>"01000948600"</f>
        <v>01000948600</v>
      </c>
      <c r="B12498" s="1" t="str">
        <f>"THE PEOPLES INVESTMENT GROUP LLC"</f>
        <v>THE PEOPLES INVESTMENT GROUP LLC</v>
      </c>
      <c r="C12498" s="1" t="str">
        <f>"510 N OHIO AVE WETMORE LOTS 102 &amp; 103"</f>
        <v>510 N OHIO AVE WETMORE LOTS 102 &amp; 103</v>
      </c>
      <c r="D12498" s="1">
        <v>2621.27</v>
      </c>
    </row>
    <row r="12499" spans="1:4" x14ac:dyDescent="0.3">
      <c r="A12499" s="1" t="str">
        <f>"01003714300"</f>
        <v>01003714300</v>
      </c>
      <c r="B12499" s="1" t="str">
        <f>"THE RUSSI GROUP LLC"</f>
        <v>THE RUSSI GROUP LLC</v>
      </c>
      <c r="C12499" s="1" t="str">
        <f>"3250 N HIGH ST BRYAN &amp; CO COMO AVE LOT 1-2"</f>
        <v>3250 N HIGH ST BRYAN &amp; CO COMO AVE LOT 1-2</v>
      </c>
      <c r="D12499" s="1">
        <v>3695.74</v>
      </c>
    </row>
    <row r="12500" spans="1:4" x14ac:dyDescent="0.3">
      <c r="A12500" s="1" t="str">
        <f>"24000441200"</f>
        <v>24000441200</v>
      </c>
      <c r="B12500" s="1" t="str">
        <f>"THE SEGHAL FAMILY LLC"</f>
        <v>THE SEGHAL FAMILY LLC</v>
      </c>
      <c r="C12500" s="1" t="str">
        <f>"SALMETTO ST LINCOLN VILLAGE SOUTH 249"</f>
        <v>SALMETTO ST LINCOLN VILLAGE SOUTH 249</v>
      </c>
      <c r="D12500" s="1">
        <v>171.25</v>
      </c>
    </row>
    <row r="12501" spans="1:4" x14ac:dyDescent="0.3">
      <c r="A12501" s="1" t="str">
        <f>"01001599800"</f>
        <v>01001599800</v>
      </c>
      <c r="B12501" s="1" t="str">
        <f>"THE SEHGAL FAMILY LLC"</f>
        <v>THE SEHGAL FAMILY LLC</v>
      </c>
      <c r="C12501" s="1" t="str">
        <f>"LOCKHURST RD 50FT WS LOCKHURST LOT 6"</f>
        <v>LOCKHURST RD 50FT WS LOCKHURST LOT 6</v>
      </c>
      <c r="D12501" s="1">
        <v>22.19</v>
      </c>
    </row>
    <row r="12502" spans="1:4" x14ac:dyDescent="0.3">
      <c r="A12502" s="1" t="str">
        <f>"01010854900"</f>
        <v>01010854900</v>
      </c>
      <c r="B12502" s="1" t="str">
        <f>"THE SEHGAL FAMILY LLC"</f>
        <v>THE SEHGAL FAMILY LLC</v>
      </c>
      <c r="C12502" s="1" t="str">
        <f>"DELBERT RD LINDALE LOT 110"</f>
        <v>DELBERT RD LINDALE LOT 110</v>
      </c>
      <c r="D12502" s="1">
        <v>12.55</v>
      </c>
    </row>
    <row r="12503" spans="1:4" x14ac:dyDescent="0.3">
      <c r="A12503" s="1" t="str">
        <f>"01010855000"</f>
        <v>01010855000</v>
      </c>
      <c r="B12503" s="1" t="str">
        <f>"THE SEHGAL FAMILY LLC"</f>
        <v>THE SEHGAL FAMILY LLC</v>
      </c>
      <c r="C12503" s="1" t="str">
        <f>"LINDALE LOT 111 "</f>
        <v xml:space="preserve">LINDALE LOT 111 </v>
      </c>
      <c r="D12503" s="1">
        <v>12.55</v>
      </c>
    </row>
    <row r="12504" spans="1:4" x14ac:dyDescent="0.3">
      <c r="A12504" s="1" t="str">
        <f>"01005713500"</f>
        <v>01005713500</v>
      </c>
      <c r="B12504" s="1" t="str">
        <f>"THE SEHGAL FAMILY LLC"</f>
        <v>THE SEHGAL FAMILY LLC</v>
      </c>
      <c r="C12504" s="1" t="str">
        <f>"YELLOWWOOD DR FOREST PARK 2 ACRES .635 RES G"</f>
        <v>YELLOWWOOD DR FOREST PARK 2 ACRES .635 RES G</v>
      </c>
      <c r="D12504" s="1">
        <v>217.97</v>
      </c>
    </row>
    <row r="12505" spans="1:4" x14ac:dyDescent="0.3">
      <c r="A12505" s="1" t="str">
        <f>"01013470800"</f>
        <v>01013470800</v>
      </c>
      <c r="B12505" s="1" t="str">
        <f>"THE SEHGAL FAMILY LLC"</f>
        <v>THE SEHGAL FAMILY LLC</v>
      </c>
      <c r="C12505" s="1" t="str">
        <f>"LOCKHURST RD LOCKHURST LOT 4"</f>
        <v>LOCKHURST RD LOCKHURST LOT 4</v>
      </c>
      <c r="D12505" s="1">
        <v>380.04</v>
      </c>
    </row>
    <row r="12506" spans="1:4" x14ac:dyDescent="0.3">
      <c r="A12506" s="1" t="str">
        <f>"01013470900"</f>
        <v>01013470900</v>
      </c>
      <c r="B12506" s="1" t="str">
        <f>"THE SEHGAL FAMILY LLC"</f>
        <v>THE SEHGAL FAMILY LLC</v>
      </c>
      <c r="C12506" s="1" t="str">
        <f>"LOCKHURST RD LOCKHURST LOT 5"</f>
        <v>LOCKHURST RD LOCKHURST LOT 5</v>
      </c>
      <c r="D12506" s="1">
        <v>27.82</v>
      </c>
    </row>
    <row r="12507" spans="1:4" x14ac:dyDescent="0.3">
      <c r="A12507" s="1" t="str">
        <f>"05001007100"</f>
        <v>05001007100</v>
      </c>
      <c r="B12507" s="1" t="str">
        <f>"THE SEHGAL FAMILY LLC"</f>
        <v>THE SEHGAL FAMILY LLC</v>
      </c>
      <c r="C12507" s="1" t="str">
        <f>"C &amp; S CEMETERY ROAD       CONDOMINIUMS              UNIT 4511                "</f>
        <v xml:space="preserve">C &amp; S CEMETERY ROAD       CONDOMINIUMS              UNIT 4511                </v>
      </c>
      <c r="D12507" s="1">
        <v>1729.91</v>
      </c>
    </row>
    <row r="12508" spans="1:4" x14ac:dyDescent="0.3">
      <c r="A12508" s="1" t="str">
        <f>"05001007200"</f>
        <v>05001007200</v>
      </c>
      <c r="B12508" s="1" t="str">
        <f>"THE SEHGAL FAMILY LLC"</f>
        <v>THE SEHGAL FAMILY LLC</v>
      </c>
      <c r="C12508" s="1" t="str">
        <f>"C &amp; S CEMETERY ROAD CONDOMINIUMS UNIT 4519"</f>
        <v>C &amp; S CEMETERY ROAD CONDOMINIUMS UNIT 4519</v>
      </c>
      <c r="D12508" s="1">
        <v>2313.17</v>
      </c>
    </row>
    <row r="12509" spans="1:4" x14ac:dyDescent="0.3">
      <c r="A12509" s="1" t="str">
        <f>"01016746000"</f>
        <v>01016746000</v>
      </c>
      <c r="B12509" s="1" t="str">
        <f>"THE STYLE THEORY LLC"</f>
        <v>THE STYLE THEORY LLC</v>
      </c>
      <c r="C12509" s="1" t="str">
        <f>"2140 SAGAMORE RD ARLINGTON PARK AMVET SEC LOT 9"</f>
        <v>2140 SAGAMORE RD ARLINGTON PARK AMVET SEC LOT 9</v>
      </c>
      <c r="D12509" s="1">
        <v>2881.58</v>
      </c>
    </row>
    <row r="12510" spans="1:4" x14ac:dyDescent="0.3">
      <c r="A12510" s="1" t="str">
        <f>"01024073700"</f>
        <v>01024073700</v>
      </c>
      <c r="B12510" s="1" t="str">
        <f>"THEADO REBECCA"</f>
        <v>THEADO REBECCA</v>
      </c>
      <c r="C12510" s="1" t="str">
        <f>"BLENDON PARK CONDOMINIUM 8TH AMD UNIT 78B"</f>
        <v>BLENDON PARK CONDOMINIUM 8TH AMD UNIT 78B</v>
      </c>
      <c r="D12510" s="1">
        <v>834.37</v>
      </c>
    </row>
    <row r="12511" spans="1:4" x14ac:dyDescent="0.3">
      <c r="A12511" s="1" t="str">
        <f>"57022321200"</f>
        <v>57022321200</v>
      </c>
      <c r="B12511" s="1" t="str">
        <f>"THEIBERT KAREN D, THEIBERT THOMAS L"</f>
        <v>THEIBERT KAREN D, THEIBERT THOMAS L</v>
      </c>
      <c r="C12511" s="1" t="str">
        <f>"0000 CRISFIELD DR SCIOTO WOODS SEC 8 PART 2 LOT 529"</f>
        <v>0000 CRISFIELD DR SCIOTO WOODS SEC 8 PART 2 LOT 529</v>
      </c>
      <c r="D12511" s="1">
        <v>1977.99</v>
      </c>
    </row>
    <row r="12512" spans="1:4" x14ac:dyDescent="0.3">
      <c r="A12512" s="1" t="str">
        <f>"02500486300"</f>
        <v>02500486300</v>
      </c>
      <c r="B12512" s="1" t="str">
        <f>"THEIS SANDRA"</f>
        <v>THEIS SANDRA</v>
      </c>
      <c r="C12512" s="1" t="str">
        <f>"590 HAVERSHAM DRIVE FOXBORO NO 4 LOT 186"</f>
        <v>590 HAVERSHAM DRIVE FOXBORO NO 4 LOT 186</v>
      </c>
      <c r="D12512" s="1">
        <v>366.82</v>
      </c>
    </row>
    <row r="12513" spans="1:4" x14ac:dyDescent="0.3">
      <c r="A12513" s="1" t="str">
        <f>"01018932300"</f>
        <v>01018932300</v>
      </c>
      <c r="B12513" s="1" t="str">
        <f>"THEIS TERRY R"</f>
        <v>THEIS TERRY R</v>
      </c>
      <c r="C12513" s="1" t="str">
        <f>"TIMBER RANGE CT GREAT N WOODS II CON BLDG 18 UNIT 2888"</f>
        <v>TIMBER RANGE CT GREAT N WOODS II CON BLDG 18 UNIT 2888</v>
      </c>
      <c r="D12513" s="1">
        <v>182.78</v>
      </c>
    </row>
    <row r="12514" spans="1:4" x14ac:dyDescent="0.3">
      <c r="A12514" s="1" t="str">
        <f>"01016735300"</f>
        <v>01016735300</v>
      </c>
      <c r="B12514" s="1" t="str">
        <f>"THI REALESTATE LLC"</f>
        <v>THI REALESTATE LLC</v>
      </c>
      <c r="C12514" s="1" t="str">
        <f>"2019 MARSTON ROAD AMVET HOMESTEAD 2 LOT 14 BLK R"</f>
        <v>2019 MARSTON ROAD AMVET HOMESTEAD 2 LOT 14 BLK R</v>
      </c>
      <c r="D12514" s="1">
        <v>1794.91</v>
      </c>
    </row>
    <row r="12515" spans="1:4" x14ac:dyDescent="0.3">
      <c r="A12515" s="1" t="str">
        <f>"01008724700"</f>
        <v>01008724700</v>
      </c>
      <c r="B12515" s="1" t="str">
        <f>"THIANTHAI TIRADEJ"</f>
        <v>THIANTHAI TIRADEJ</v>
      </c>
      <c r="C12515" s="1" t="str">
        <f>"759 S RICHARDSON AVE WESTLAND EXT 1 LOT 421"</f>
        <v>759 S RICHARDSON AVE WESTLAND EXT 1 LOT 421</v>
      </c>
      <c r="D12515" s="1">
        <v>998.21</v>
      </c>
    </row>
    <row r="12516" spans="1:4" x14ac:dyDescent="0.3">
      <c r="A12516" s="1" t="str">
        <f>"15000181600"</f>
        <v>15000181600</v>
      </c>
      <c r="B12516" s="1" t="str">
        <f>"THIEL MONA M"</f>
        <v>THIEL MONA M</v>
      </c>
      <c r="C12516" s="1" t="str">
        <f>"5101 EDGEVIEW RD HAMILTON MEADOWS 194 "</f>
        <v xml:space="preserve">5101 EDGEVIEW RD HAMILTON MEADOWS 194 </v>
      </c>
      <c r="D12516" s="1">
        <v>178.81</v>
      </c>
    </row>
    <row r="12517" spans="1:4" x14ac:dyDescent="0.3">
      <c r="A12517" s="1" t="str">
        <f>"01017122200"</f>
        <v>01017122200</v>
      </c>
      <c r="B12517" s="1" t="str">
        <f>"THIEMAN WALTER F"</f>
        <v>THIEMAN WALTER F</v>
      </c>
      <c r="C12517" s="1" t="str">
        <f>"CHATEAU MORSE CONDO LOT 4324 "</f>
        <v xml:space="preserve">CHATEAU MORSE CONDO LOT 4324 </v>
      </c>
      <c r="D12517" s="1">
        <v>628.28</v>
      </c>
    </row>
    <row r="12518" spans="1:4" x14ac:dyDescent="0.3">
      <c r="A12518" s="1" t="str">
        <f>"01014093300"</f>
        <v>01014093300</v>
      </c>
      <c r="B12518" s="1" t="str">
        <f>"THIGPEN DOROTHY E"</f>
        <v>THIGPEN DOROTHY E</v>
      </c>
      <c r="C12518" s="1" t="str">
        <f>"LONGDALE RD S BERWICK EST LOT 14"</f>
        <v>LONGDALE RD S BERWICK EST LOT 14</v>
      </c>
      <c r="D12518" s="1">
        <v>2140.1</v>
      </c>
    </row>
    <row r="12519" spans="1:4" x14ac:dyDescent="0.3">
      <c r="A12519" s="1" t="str">
        <f>"01005764500"</f>
        <v>01005764500</v>
      </c>
      <c r="B12519" s="1" t="str">
        <f>"THIRD STREET PROPERTIES LTD"</f>
        <v>THIRD STREET PROPERTIES LTD</v>
      </c>
      <c r="C12519" s="1" t="str">
        <f>"33 N 3RD ST LOT 456-457-458 "</f>
        <v xml:space="preserve">33 N 3RD ST LOT 456-457-458 </v>
      </c>
      <c r="D12519" s="1">
        <v>2136.89</v>
      </c>
    </row>
    <row r="12520" spans="1:4" x14ac:dyDescent="0.3">
      <c r="A12520" s="1" t="str">
        <f>"59018110900"</f>
        <v>59018110900</v>
      </c>
      <c r="B12520" s="1" t="str">
        <f>"THIRUMALAI PARTHASARATHY, NARASIMHAN SOWMIYA"</f>
        <v>THIRUMALAI PARTHASARATHY, NARASIMHAN SOWMIYA</v>
      </c>
      <c r="C12520" s="1" t="str">
        <f>"BLUE FOX LANE FOXBORO VILLAGE SEC4 LOT 138"</f>
        <v>BLUE FOX LANE FOXBORO VILLAGE SEC4 LOT 138</v>
      </c>
      <c r="D12520" s="1">
        <v>3818.64</v>
      </c>
    </row>
    <row r="12521" spans="1:4" x14ac:dyDescent="0.3">
      <c r="A12521" s="1" t="str">
        <f>"01005406600"</f>
        <v>01005406600</v>
      </c>
      <c r="B12521" s="1" t="str">
        <f>"THISSEN JAMES A"</f>
        <v>THISSEN JAMES A</v>
      </c>
      <c r="C12521" s="1" t="str">
        <f>"33-35 W PARK AVE WEST PARK LOT 761"</f>
        <v>33-35 W PARK AVE WEST PARK LOT 761</v>
      </c>
      <c r="D12521" s="1">
        <v>4304.43</v>
      </c>
    </row>
    <row r="12522" spans="1:4" x14ac:dyDescent="0.3">
      <c r="A12522" s="1" t="str">
        <f>"01019379300"</f>
        <v>01019379300</v>
      </c>
      <c r="B12522" s="1" t="str">
        <f>"THIVENER BEVERLY A"</f>
        <v>THIVENER BEVERLY A</v>
      </c>
      <c r="C12522" s="1" t="str">
        <f>"FRANCISCO RD KENNY GLEN CONDO HOMES UNIT 4916"</f>
        <v>FRANCISCO RD KENNY GLEN CONDO HOMES UNIT 4916</v>
      </c>
      <c r="D12522" s="1">
        <v>129.05000000000001</v>
      </c>
    </row>
    <row r="12523" spans="1:4" x14ac:dyDescent="0.3">
      <c r="A12523" s="1" t="str">
        <f>"10000514100"</f>
        <v>10000514100</v>
      </c>
      <c r="B12523" s="1" t="str">
        <f>"THOMAS BARBARA L TR"</f>
        <v>THOMAS BARBARA L TR</v>
      </c>
      <c r="C12523" s="1" t="str">
        <f>"109 GLEN DR WORTHINGLEN CONDO UNIT 109 BLDG 12"</f>
        <v>109 GLEN DR WORTHINGLEN CONDO UNIT 109 BLDG 12</v>
      </c>
      <c r="D12523" s="1">
        <v>3112.6</v>
      </c>
    </row>
    <row r="12524" spans="1:4" x14ac:dyDescent="0.3">
      <c r="A12524" s="1" t="str">
        <f>"01009050100"</f>
        <v>01009050100</v>
      </c>
      <c r="B12524" s="1" t="str">
        <f>"THOMAS BRENDA D, THOMAS CLAYTON E"</f>
        <v>THOMAS BRENDA D, THOMAS CLAYTON E</v>
      </c>
      <c r="C12524" s="1" t="str">
        <f>"EASTMINSTER LOT 278 "</f>
        <v xml:space="preserve">EASTMINSTER LOT 278 </v>
      </c>
      <c r="D12524" s="1">
        <v>156.96</v>
      </c>
    </row>
    <row r="12525" spans="1:4" x14ac:dyDescent="0.3">
      <c r="A12525" s="1" t="str">
        <f>"01009905300"</f>
        <v>01009905300</v>
      </c>
      <c r="B12525" s="1" t="str">
        <f>"THOMAS CHERYL, JENNINGS DEBRA, JENNINGS SHARON"</f>
        <v>THOMAS CHERYL, JENNINGS DEBRA, JENNINGS SHARON</v>
      </c>
      <c r="C12525" s="1" t="str">
        <f>"NORLEA PARK LOT 145 146 38FT ES 145 &amp; 7FT WS 146"</f>
        <v>NORLEA PARK LOT 145 146 38FT ES 145 &amp; 7FT WS 146</v>
      </c>
      <c r="D12525" s="1">
        <v>825.98</v>
      </c>
    </row>
    <row r="12526" spans="1:4" x14ac:dyDescent="0.3">
      <c r="A12526" s="1" t="str">
        <f>"01013158200"</f>
        <v>01013158200</v>
      </c>
      <c r="B12526" s="1" t="str">
        <f>"THOMAS CHRISTINE"</f>
        <v>THOMAS CHRISTINE</v>
      </c>
      <c r="C12526" s="1" t="str">
        <f>"BURLEY DR RADCLIFF LOT26"</f>
        <v>BURLEY DR RADCLIFF LOT26</v>
      </c>
      <c r="D12526" s="1">
        <v>2924.78</v>
      </c>
    </row>
    <row r="12527" spans="1:4" x14ac:dyDescent="0.3">
      <c r="A12527" s="1" t="str">
        <f>"23000267300"</f>
        <v>23000267300</v>
      </c>
      <c r="B12527" s="1" t="str">
        <f>"THOMAS DANIEL E"</f>
        <v>THOMAS DANIEL E</v>
      </c>
      <c r="C12527" s="1" t="str">
        <f>"LONDON GROVEPORT RD ACRE .461 PAR 47 URP"</f>
        <v>LONDON GROVEPORT RD ACRE .461 PAR 47 URP</v>
      </c>
      <c r="D12527" s="1">
        <v>147.52000000000001</v>
      </c>
    </row>
    <row r="12528" spans="1:4" x14ac:dyDescent="0.3">
      <c r="A12528" s="1" t="str">
        <f>"01015639000"</f>
        <v>01015639000</v>
      </c>
      <c r="B12528" s="1" t="str">
        <f>"THOMAS DENISE D TR, THOMAS DRESDEN F TR"</f>
        <v>THOMAS DENISE D TR, THOMAS DRESDEN F TR</v>
      </c>
      <c r="C12528" s="1" t="str">
        <f>"JOI AVE QUEENSWOOD SUBDIV LOT 130"</f>
        <v>JOI AVE QUEENSWOOD SUBDIV LOT 130</v>
      </c>
      <c r="D12528" s="1">
        <v>2597.0500000000002</v>
      </c>
    </row>
    <row r="12529" spans="1:4" x14ac:dyDescent="0.3">
      <c r="A12529" s="1" t="str">
        <f>"01028331900"</f>
        <v>01028331900</v>
      </c>
      <c r="B12529" s="1" t="str">
        <f>"THOMAS EDNA F, THOMAS VINCENT K"</f>
        <v>THOMAS EDNA F, THOMAS VINCENT K</v>
      </c>
      <c r="C12529" s="1" t="str">
        <f>"THE RAVINES AT BROADVIEW CONDOMINIUM 4TH AMD UNIT 4073"</f>
        <v>THE RAVINES AT BROADVIEW CONDOMINIUM 4TH AMD UNIT 4073</v>
      </c>
      <c r="D12529" s="1">
        <v>611.49</v>
      </c>
    </row>
    <row r="12530" spans="1:4" x14ac:dyDescent="0.3">
      <c r="A12530" s="1" t="str">
        <f>"01014177400"</f>
        <v>01014177400</v>
      </c>
      <c r="B12530" s="1" t="str">
        <f>"THOMAS EMMA M"</f>
        <v>THOMAS EMMA M</v>
      </c>
      <c r="C12530" s="1" t="str">
        <f>"BODMAN DR SOMERSET 1 LOT 306"</f>
        <v>BODMAN DR SOMERSET 1 LOT 306</v>
      </c>
      <c r="D12530" s="1">
        <v>768.01</v>
      </c>
    </row>
    <row r="12531" spans="1:4" x14ac:dyDescent="0.3">
      <c r="A12531" s="1" t="str">
        <f>"01005342000"</f>
        <v>01005342000</v>
      </c>
      <c r="B12531" s="1" t="str">
        <f>"THOMAS ERMAS W TTEE, COOK VICKIE LYNN TTEE"</f>
        <v>THOMAS ERMAS W TTEE, COOK VICKIE LYNN TTEE</v>
      </c>
      <c r="C12531" s="1" t="str">
        <f>"260-IMONROE AVE NORT H EAST GROVE LOT85"</f>
        <v>260-IMONROE AVE NORT H EAST GROVE LOT85</v>
      </c>
      <c r="D12531" s="1">
        <v>4549.92</v>
      </c>
    </row>
    <row r="12532" spans="1:4" x14ac:dyDescent="0.3">
      <c r="A12532" s="1" t="str">
        <f>"01008178100"</f>
        <v>01008178100</v>
      </c>
      <c r="B12532" s="1" t="str">
        <f>"THOMAS FLORINE E"</f>
        <v>THOMAS FLORINE E</v>
      </c>
      <c r="C12532" s="1" t="str">
        <f>"BRENTNELL AVE SHEPARD HTS LOT 26"</f>
        <v>BRENTNELL AVE SHEPARD HTS LOT 26</v>
      </c>
      <c r="D12532" s="1">
        <v>6.87</v>
      </c>
    </row>
    <row r="12533" spans="1:4" x14ac:dyDescent="0.3">
      <c r="A12533" s="1" t="str">
        <f>"01012021100"</f>
        <v>01012021100</v>
      </c>
      <c r="B12533" s="1" t="str">
        <f>"THOMAS FREDERICK JAMES"</f>
        <v>THOMAS FREDERICK JAMES</v>
      </c>
      <c r="C12533" s="1" t="str">
        <f>"GARDEN RD MAIZE MEADOWS LOT 281"</f>
        <v>GARDEN RD MAIZE MEADOWS LOT 281</v>
      </c>
      <c r="D12533" s="1">
        <v>172.79</v>
      </c>
    </row>
    <row r="12534" spans="1:4" x14ac:dyDescent="0.3">
      <c r="A12534" s="1" t="str">
        <f>"08000823300"</f>
        <v>08000823300</v>
      </c>
      <c r="B12534" s="1" t="str">
        <f>"THOMAS GARY ALLEN, THOMAS EVELYN P"</f>
        <v>THOMAS GARY ALLEN, THOMAS EVELYN P</v>
      </c>
      <c r="C12534" s="1" t="str">
        <f>"237 LEIGHWAY DR SPRING HOLLOW VILL 2 LOT 59"</f>
        <v>237 LEIGHWAY DR SPRING HOLLOW VILL 2 LOT 59</v>
      </c>
      <c r="D12534" s="1">
        <v>228.86</v>
      </c>
    </row>
    <row r="12535" spans="1:4" x14ac:dyDescent="0.3">
      <c r="A12535" s="1" t="str">
        <f>"07000518900"</f>
        <v>07000518900</v>
      </c>
      <c r="B12535" s="1" t="str">
        <f>"THOMAS JASON CHARLES"</f>
        <v>THOMAS JASON CHARLES</v>
      </c>
      <c r="C12535" s="1" t="str">
        <f>"EDGEVALE RD RIVER RIDGE 10 BLK 5"</f>
        <v>EDGEVALE RD RIVER RIDGE 10 BLK 5</v>
      </c>
      <c r="D12535" s="1">
        <v>3537.29</v>
      </c>
    </row>
    <row r="12536" spans="1:4" x14ac:dyDescent="0.3">
      <c r="A12536" s="1" t="str">
        <f>"27300898000"</f>
        <v>27300898000</v>
      </c>
      <c r="B12536" s="1" t="str">
        <f>"THOMAS JOHN, THOMAS SUSAN"</f>
        <v>THOMAS JOHN, THOMAS SUSAN</v>
      </c>
      <c r="C12536" s="1" t="str">
        <f>"HANNA HILLS DR HANNA HILLS 2 LOT 10"</f>
        <v>HANNA HILLS DR HANNA HILLS 2 LOT 10</v>
      </c>
      <c r="D12536" s="1">
        <v>14295.56</v>
      </c>
    </row>
    <row r="12537" spans="1:4" x14ac:dyDescent="0.3">
      <c r="A12537" s="1" t="str">
        <f>"53027062000"</f>
        <v>53027062000</v>
      </c>
      <c r="B12537" s="1" t="str">
        <f>"THOMAS JOSHUA T"</f>
        <v>THOMAS JOSHUA T</v>
      </c>
      <c r="C12537" s="1" t="str">
        <f>"VILLAGE AT WILLIAMS CREEK S-F HOMES CONDO 26TH AMD UNIT 242"</f>
        <v>VILLAGE AT WILLIAMS CREEK S-F HOMES CONDO 26TH AMD UNIT 242</v>
      </c>
      <c r="D12537" s="1">
        <v>1508.4</v>
      </c>
    </row>
    <row r="12538" spans="1:4" x14ac:dyDescent="0.3">
      <c r="A12538" s="1" t="str">
        <f>"49022793900"</f>
        <v>49022793900</v>
      </c>
      <c r="B12538" s="1" t="str">
        <f>"THOMAS KIMBERLY I, THOMAS STEVEN C"</f>
        <v>THOMAS KIMBERLY I, THOMAS STEVEN C</v>
      </c>
      <c r="C12538" s="1" t="str">
        <f>"WINCHESTER HIGHLANDS SECTION 1 PART 2 LOT 28"</f>
        <v>WINCHESTER HIGHLANDS SECTION 1 PART 2 LOT 28</v>
      </c>
      <c r="D12538" s="1">
        <v>2051.19</v>
      </c>
    </row>
    <row r="12539" spans="1:4" x14ac:dyDescent="0.3">
      <c r="A12539" s="1" t="str">
        <f>"01010889400"</f>
        <v>01010889400</v>
      </c>
      <c r="B12539" s="1" t="str">
        <f>"THOMAS LARRY"</f>
        <v>THOMAS LARRY</v>
      </c>
      <c r="C12539" s="1" t="str">
        <f>"DAWNLIGHT AVE ARLINGTON PK TRACT1 LOT 89"</f>
        <v>DAWNLIGHT AVE ARLINGTON PK TRACT1 LOT 89</v>
      </c>
      <c r="D12539" s="1">
        <v>1051.52</v>
      </c>
    </row>
    <row r="12540" spans="1:4" x14ac:dyDescent="0.3">
      <c r="A12540" s="1" t="str">
        <f>"01027354600"</f>
        <v>01027354600</v>
      </c>
      <c r="B12540" s="1" t="str">
        <f>"THOMAS MEGAN E"</f>
        <v>THOMAS MEGAN E</v>
      </c>
      <c r="C12540" s="1" t="str">
        <f>"NEW ALBANY PARK           CONDOMINIUM 13TH AMD      BLDG 37 UNIT 37-7045     "</f>
        <v xml:space="preserve">NEW ALBANY PARK           CONDOMINIUM 13TH AMD      BLDG 37 UNIT 37-7045     </v>
      </c>
      <c r="D12540" s="1">
        <v>186.74</v>
      </c>
    </row>
    <row r="12541" spans="1:4" x14ac:dyDescent="0.3">
      <c r="A12541" s="1" t="str">
        <f>"14000003900"</f>
        <v>14000003900</v>
      </c>
      <c r="B12541" s="1" t="str">
        <f>"THOMAS SALLY A"</f>
        <v>THOMAS SALLY A</v>
      </c>
      <c r="C12541" s="1" t="str">
        <f>"1859 HARRISBURG PI ENTRY 1453 1.9858 ACRES"</f>
        <v>1859 HARRISBURG PI ENTRY 1453 1.9858 ACRES</v>
      </c>
      <c r="D12541" s="1">
        <v>1965.04</v>
      </c>
    </row>
    <row r="12542" spans="1:4" x14ac:dyDescent="0.3">
      <c r="A12542" s="1" t="str">
        <f>"05000219500"</f>
        <v>05000219500</v>
      </c>
      <c r="B12542" s="1" t="str">
        <f>"THOMAS SHARON R"</f>
        <v>THOMAS SHARON R</v>
      </c>
      <c r="C12542" s="1" t="str">
        <f>"5215 GRANDON DRIVE WILLIAMSBURG 27 "</f>
        <v xml:space="preserve">5215 GRANDON DRIVE WILLIAMSBURG 27 </v>
      </c>
      <c r="D12542" s="1">
        <v>222.46</v>
      </c>
    </row>
    <row r="12543" spans="1:4" x14ac:dyDescent="0.3">
      <c r="A12543" s="1" t="str">
        <f>"01015992000"</f>
        <v>01015992000</v>
      </c>
      <c r="B12543" s="1" t="str">
        <f>"THOMAS SHEILA L"</f>
        <v>THOMAS SHEILA L</v>
      </c>
      <c r="C12543" s="1" t="str">
        <f>"RED CLOVER PLACE WALNUTCREEK SEC 2 LOT 236"</f>
        <v>RED CLOVER PLACE WALNUTCREEK SEC 2 LOT 236</v>
      </c>
      <c r="D12543" s="1">
        <v>255.31</v>
      </c>
    </row>
    <row r="12544" spans="1:4" x14ac:dyDescent="0.3">
      <c r="A12544" s="1" t="str">
        <f>"01013716000"</f>
        <v>01013716000</v>
      </c>
      <c r="B12544" s="1" t="str">
        <f>"THOMAS SHIRLEY E"</f>
        <v>THOMAS SHIRLEY E</v>
      </c>
      <c r="C12544" s="1" t="str">
        <f>"ZETTER RD HAVILAND 1 LOT 7"</f>
        <v>ZETTER RD HAVILAND 1 LOT 7</v>
      </c>
      <c r="D12544" s="1">
        <v>780.19</v>
      </c>
    </row>
    <row r="12545" spans="1:4" x14ac:dyDescent="0.3">
      <c r="A12545" s="1" t="str">
        <f>"01008003400"</f>
        <v>01008003400</v>
      </c>
      <c r="B12545" s="1" t="str">
        <f>"THOMAS TERRY L"</f>
        <v>THOMAS TERRY L</v>
      </c>
      <c r="C12545" s="1" t="str">
        <f>"NORWOOD ST KENMORE PARK LOT 25 BLK 12"</f>
        <v>NORWOOD ST KENMORE PARK LOT 25 BLK 12</v>
      </c>
      <c r="D12545" s="1">
        <v>2597.2199999999998</v>
      </c>
    </row>
    <row r="12546" spans="1:4" x14ac:dyDescent="0.3">
      <c r="A12546" s="1" t="str">
        <f>"01002471100"</f>
        <v>01002471100</v>
      </c>
      <c r="B12546" s="1" t="str">
        <f>"THOMAS TONYA"</f>
        <v>THOMAS TONYA</v>
      </c>
      <c r="C12546" s="1" t="str">
        <f>"109 RODGERS AVE COTTAGE PL LOT 121"</f>
        <v>109 RODGERS AVE COTTAGE PL LOT 121</v>
      </c>
      <c r="D12546" s="1">
        <v>794.18</v>
      </c>
    </row>
    <row r="12547" spans="1:4" x14ac:dyDescent="0.3">
      <c r="A12547" s="1" t="str">
        <f>"01004108600"</f>
        <v>01004108600</v>
      </c>
      <c r="B12547" s="1" t="str">
        <f>"THOMPKINS FELICHA"</f>
        <v>THOMPKINS FELICHA</v>
      </c>
      <c r="C12547" s="1" t="str">
        <f>"DORA FALKENBACH SUB 1 "</f>
        <v xml:space="preserve">DORA FALKENBACH SUB 1 </v>
      </c>
      <c r="D12547" s="1">
        <v>2219.9299999999998</v>
      </c>
    </row>
    <row r="12548" spans="1:4" x14ac:dyDescent="0.3">
      <c r="A12548" s="1" t="str">
        <f>"01014958500"</f>
        <v>01014958500</v>
      </c>
      <c r="B12548" s="1" t="str">
        <f>"THOMPSON ALAYNA"</f>
        <v>THOMPSON ALAYNA</v>
      </c>
      <c r="C12548" s="1" t="str">
        <f>"BRIDGEMORE DR LEXINGTON SECTION #1 LOT 147"</f>
        <v>BRIDGEMORE DR LEXINGTON SECTION #1 LOT 147</v>
      </c>
      <c r="D12548" s="1">
        <v>1341.51</v>
      </c>
    </row>
    <row r="12549" spans="1:4" x14ac:dyDescent="0.3">
      <c r="A12549" s="1" t="str">
        <f>"01023591600"</f>
        <v>01023591600</v>
      </c>
      <c r="B12549" s="1" t="str">
        <f>"THOMPSON ALTON D"</f>
        <v>THOMPSON ALTON D</v>
      </c>
      <c r="C12549" s="1" t="str">
        <f>"EFFINGTON LANE ANDOVER SECTION 2 LOT 130"</f>
        <v>EFFINGTON LANE ANDOVER SECTION 2 LOT 130</v>
      </c>
      <c r="D12549" s="1">
        <v>1574.75</v>
      </c>
    </row>
    <row r="12550" spans="1:4" x14ac:dyDescent="0.3">
      <c r="A12550" s="1" t="str">
        <f>"01026609000"</f>
        <v>01026609000</v>
      </c>
      <c r="B12550" s="1" t="str">
        <f>"THOMPSON ANDREW P"</f>
        <v>THOMPSON ANDREW P</v>
      </c>
      <c r="C12550" s="1" t="str">
        <f>"NEW ALBANY PARK           CONDOMINIUM 2ND AMD       BLDG 13 UNIT 13-7054     "</f>
        <v xml:space="preserve">NEW ALBANY PARK           CONDOMINIUM 2ND AMD       BLDG 13 UNIT 13-7054     </v>
      </c>
      <c r="D12550" s="1">
        <v>2926.87</v>
      </c>
    </row>
    <row r="12551" spans="1:4" x14ac:dyDescent="0.3">
      <c r="A12551" s="1" t="str">
        <f>"01026977600"</f>
        <v>01026977600</v>
      </c>
      <c r="B12551" s="1" t="str">
        <f>"THOMPSON ANGELA FAY"</f>
        <v>THOMPSON ANGELA FAY</v>
      </c>
      <c r="C12551" s="1" t="str">
        <f>"HARTFORD VILLAGE CONDOMINIUMS 4TH AMD BLDG 3 UNIT 1060"</f>
        <v>HARTFORD VILLAGE CONDOMINIUMS 4TH AMD BLDG 3 UNIT 1060</v>
      </c>
      <c r="D12551" s="1">
        <v>152.93</v>
      </c>
    </row>
    <row r="12552" spans="1:4" x14ac:dyDescent="0.3">
      <c r="A12552" s="1" t="str">
        <f>"01026978800"</f>
        <v>01026978800</v>
      </c>
      <c r="B12552" s="1" t="str">
        <f>"THOMPSON ANGELA FAY"</f>
        <v>THOMPSON ANGELA FAY</v>
      </c>
      <c r="C12552" s="1" t="str">
        <f>"HARTFORD VILLAGE CONDOMINIUMS 4TH AMD G-16 (GARAGE UNIT)"</f>
        <v>HARTFORD VILLAGE CONDOMINIUMS 4TH AMD G-16 (GARAGE UNIT)</v>
      </c>
      <c r="D12552" s="1">
        <v>4.62</v>
      </c>
    </row>
    <row r="12553" spans="1:4" x14ac:dyDescent="0.3">
      <c r="A12553" s="1" t="str">
        <f>"01005905400"</f>
        <v>01005905400</v>
      </c>
      <c r="B12553" s="1" t="str">
        <f>"THOMPSON BARBARA"</f>
        <v>THOMPSON BARBARA</v>
      </c>
      <c r="C12553" s="1" t="str">
        <f>"ABERDEEN AVE LINDEN LOT 367"</f>
        <v>ABERDEEN AVE LINDEN LOT 367</v>
      </c>
      <c r="D12553" s="1">
        <v>1881.75</v>
      </c>
    </row>
    <row r="12554" spans="1:4" x14ac:dyDescent="0.3">
      <c r="A12554" s="1" t="str">
        <f>"07000917700"</f>
        <v>07000917700</v>
      </c>
      <c r="B12554" s="1" t="str">
        <f>"THOMPSON BOBBY JEAN"</f>
        <v>THOMPSON BOBBY JEAN</v>
      </c>
      <c r="C12554" s="1" t="str">
        <f>"1284 FRIAR LANE 74 PT 73 WESTWOOD ACRES 73-74"</f>
        <v>1284 FRIAR LANE 74 PT 73 WESTWOOD ACRES 73-74</v>
      </c>
      <c r="D12554" s="1">
        <v>479.46</v>
      </c>
    </row>
    <row r="12555" spans="1:4" x14ac:dyDescent="0.3">
      <c r="A12555" s="1" t="str">
        <f>"01015676600"</f>
        <v>01015676600</v>
      </c>
      <c r="B12555" s="1" t="str">
        <f>"THOMPSON BRADLEY SCOTT SR LLC TTEE"</f>
        <v>THOMPSON BRADLEY SCOTT SR LLC TTEE</v>
      </c>
      <c r="C12555" s="1" t="str">
        <f>"HUDSON STREET CUMBERLAND RIDGE SEC 2 LOT 226"</f>
        <v>HUDSON STREET CUMBERLAND RIDGE SEC 2 LOT 226</v>
      </c>
      <c r="D12555" s="1">
        <v>495.59</v>
      </c>
    </row>
    <row r="12556" spans="1:4" x14ac:dyDescent="0.3">
      <c r="A12556" s="1" t="str">
        <f>"01011045800"</f>
        <v>01011045800</v>
      </c>
      <c r="B12556" s="1" t="str">
        <f>"THOMPSON CATHERINE"</f>
        <v>THOMPSON CATHERINE</v>
      </c>
      <c r="C12556" s="1" t="str">
        <f>"SHARON HTS LOT 107 "</f>
        <v xml:space="preserve">SHARON HTS LOT 107 </v>
      </c>
      <c r="D12556" s="1">
        <v>220.14</v>
      </c>
    </row>
    <row r="12557" spans="1:4" x14ac:dyDescent="0.3">
      <c r="A12557" s="1" t="str">
        <f>"01010637500"</f>
        <v>01010637500</v>
      </c>
      <c r="B12557" s="1" t="str">
        <f>"THOMPSON DAVID"</f>
        <v>THOMPSON DAVID</v>
      </c>
      <c r="C12557" s="1" t="str">
        <f>"HUXLEY DR LEA WOOD GARDENS LOT 274"</f>
        <v>HUXLEY DR LEA WOOD GARDENS LOT 274</v>
      </c>
      <c r="D12557" s="1">
        <v>889.79</v>
      </c>
    </row>
    <row r="12558" spans="1:4" x14ac:dyDescent="0.3">
      <c r="A12558" s="1" t="str">
        <f>"27400123400"</f>
        <v>27400123400</v>
      </c>
      <c r="B12558" s="1" t="str">
        <f>"THOMPSON ERIC, THOMPSON ANNA MARIE"</f>
        <v>THOMPSON ERIC, THOMPSON ANNA MARIE</v>
      </c>
      <c r="C12558" s="1" t="str">
        <f>"5741 GLENDAVON LOOP BALLANTRAE SECTION 6 PART 1 LOT 474"</f>
        <v>5741 GLENDAVON LOOP BALLANTRAE SECTION 6 PART 1 LOT 474</v>
      </c>
      <c r="D12558" s="1">
        <v>920.62</v>
      </c>
    </row>
    <row r="12559" spans="1:4" x14ac:dyDescent="0.3">
      <c r="A12559" s="1" t="str">
        <f>"08000714600"</f>
        <v>08000714600</v>
      </c>
      <c r="B12559" s="1" t="str">
        <f>"THOMPSON ERIK L, TIFFANY S WOODWARD"</f>
        <v>THOMPSON ERIK L, TIFFANY S WOODWARD</v>
      </c>
      <c r="C12559" s="1" t="str">
        <f>"132 KEETHLER DR S SPRING GROVE #3 SEC2 LOT 421"</f>
        <v>132 KEETHLER DR S SPRING GROVE #3 SEC2 LOT 421</v>
      </c>
      <c r="D12559" s="1">
        <v>3656.03</v>
      </c>
    </row>
    <row r="12560" spans="1:4" x14ac:dyDescent="0.3">
      <c r="A12560" s="1" t="str">
        <f>"01012355600"</f>
        <v>01012355600</v>
      </c>
      <c r="B12560" s="1" t="str">
        <f>"THOMPSON FRANK K, THOMPSON ELIZABETH A"</f>
        <v>THOMPSON FRANK K, THOMPSON ELIZABETH A</v>
      </c>
      <c r="C12560" s="1" t="str">
        <f>"ROSE VIEW DR S BERWICK 2 LOT 183"</f>
        <v>ROSE VIEW DR S BERWICK 2 LOT 183</v>
      </c>
      <c r="D12560" s="1">
        <v>223.83</v>
      </c>
    </row>
    <row r="12561" spans="1:4" x14ac:dyDescent="0.3">
      <c r="A12561" s="1" t="str">
        <f>"01005324000"</f>
        <v>01005324000</v>
      </c>
      <c r="B12561" s="1" t="str">
        <f>"THOMPSON GLEN J"</f>
        <v>THOMPSON GLEN J</v>
      </c>
      <c r="C12561" s="1" t="str">
        <f>"233-5 PATTERSON AVE CORNELLS LOT 159-160"</f>
        <v>233-5 PATTERSON AVE CORNELLS LOT 159-160</v>
      </c>
      <c r="D12561" s="1">
        <v>7912.15</v>
      </c>
    </row>
    <row r="12562" spans="1:4" x14ac:dyDescent="0.3">
      <c r="A12562" s="1" t="str">
        <f>"01009076100"</f>
        <v>01009076100</v>
      </c>
      <c r="B12562" s="1" t="str">
        <f>"THOMPSON HEIDI, THOMPSON TIMOTHY"</f>
        <v>THOMPSON HEIDI, THOMPSON TIMOTHY</v>
      </c>
      <c r="C12562" s="1" t="str">
        <f>"HARDING RD EASTMOOR LOT 177 "</f>
        <v xml:space="preserve">HARDING RD EASTMOOR LOT 177 </v>
      </c>
      <c r="D12562" s="1">
        <v>380.3</v>
      </c>
    </row>
    <row r="12563" spans="1:4" x14ac:dyDescent="0.3">
      <c r="A12563" s="1" t="str">
        <f>"01001719200"</f>
        <v>01001719200</v>
      </c>
      <c r="B12563" s="1" t="str">
        <f>"THOMPSON JEFFREY A, THOMPSON NANCY L"</f>
        <v>THOMPSON JEFFREY A, THOMPSON NANCY L</v>
      </c>
      <c r="C12563" s="1" t="str">
        <f>"2574 DEMING AVE GEO WILLIAMS LOT 321"</f>
        <v>2574 DEMING AVE GEO WILLIAMS LOT 321</v>
      </c>
      <c r="D12563" s="1">
        <v>2292.96</v>
      </c>
    </row>
    <row r="12564" spans="1:4" x14ac:dyDescent="0.3">
      <c r="A12564" s="1" t="str">
        <f>"01012195500"</f>
        <v>01012195500</v>
      </c>
      <c r="B12564" s="1" t="str">
        <f>"THOMPSON JUNE S"</f>
        <v>THOMPSON JUNE S</v>
      </c>
      <c r="C12564" s="1" t="str">
        <f>"CLARENDON AVE RAINBOW LOT 252"</f>
        <v>CLARENDON AVE RAINBOW LOT 252</v>
      </c>
      <c r="D12564" s="1">
        <v>1139.44</v>
      </c>
    </row>
    <row r="12565" spans="1:4" x14ac:dyDescent="0.3">
      <c r="A12565" s="1" t="str">
        <f>"05001082200"</f>
        <v>05001082200</v>
      </c>
      <c r="B12565" s="1" t="str">
        <f>"THOMPSON KAREN, THOMPSON BRUCE"</f>
        <v>THOMPSON KAREN, THOMPSON BRUCE</v>
      </c>
      <c r="C12565" s="1" t="str">
        <f>"ESTATES AT TREMONT CLUB   CONDOMINIUM 6TH AMD       UNIT 6-4732              "</f>
        <v xml:space="preserve">ESTATES AT TREMONT CLUB   CONDOMINIUM 6TH AMD       UNIT 6-4732              </v>
      </c>
      <c r="D12565" s="1">
        <v>352.14</v>
      </c>
    </row>
    <row r="12566" spans="1:4" x14ac:dyDescent="0.3">
      <c r="A12566" s="1" t="str">
        <f>"08000539900"</f>
        <v>08000539900</v>
      </c>
      <c r="B12566" s="1" t="str">
        <f>"THOMPSON KATHLEEN L"</f>
        <v>THOMPSON KATHLEEN L</v>
      </c>
      <c r="C12566" s="1" t="str">
        <f>"HERITAGE CONDOMINIUM BLDG 10 UNIT 9-F"</f>
        <v>HERITAGE CONDOMINIUM BLDG 10 UNIT 9-F</v>
      </c>
      <c r="D12566" s="1">
        <v>86.13</v>
      </c>
    </row>
    <row r="12567" spans="1:4" x14ac:dyDescent="0.3">
      <c r="A12567" s="1" t="str">
        <f>"08000540000"</f>
        <v>08000540000</v>
      </c>
      <c r="B12567" s="1" t="str">
        <f>"THOMPSON KATHLEEN L"</f>
        <v>THOMPSON KATHLEEN L</v>
      </c>
      <c r="C12567" s="1" t="str">
        <f>"HERITAGE CONDOMINIUM BLDG 10 UNIT 10-F"</f>
        <v>HERITAGE CONDOMINIUM BLDG 10 UNIT 10-F</v>
      </c>
      <c r="D12567" s="1">
        <v>116.28</v>
      </c>
    </row>
    <row r="12568" spans="1:4" x14ac:dyDescent="0.3">
      <c r="A12568" s="1" t="str">
        <f>"13000094700"</f>
        <v>13000094700</v>
      </c>
      <c r="B12568" s="1" t="str">
        <f>"THOMPSON KENNETH"</f>
        <v>THOMPSON KENNETH</v>
      </c>
      <c r="C12568" s="1" t="str">
        <f>"2096 ELMORE AVE ELMORE 55 "</f>
        <v xml:space="preserve">2096 ELMORE AVE ELMORE 55 </v>
      </c>
      <c r="D12568" s="1">
        <v>1400</v>
      </c>
    </row>
    <row r="12569" spans="1:4" x14ac:dyDescent="0.3">
      <c r="A12569" s="1" t="str">
        <f>"01013523400"</f>
        <v>01013523400</v>
      </c>
      <c r="B12569" s="1" t="str">
        <f>"THOMPSON LAREN P, HEGMON MICHAEL L"</f>
        <v>THOMPSON LAREN P, HEGMON MICHAEL L</v>
      </c>
      <c r="C12569" s="1" t="str">
        <f>"PK VIEW BLVD RESUB PT OF KENSINGTON LOT 4"</f>
        <v>PK VIEW BLVD RESUB PT OF KENSINGTON LOT 4</v>
      </c>
      <c r="D12569" s="1">
        <v>1421.77</v>
      </c>
    </row>
    <row r="12570" spans="1:4" x14ac:dyDescent="0.3">
      <c r="A12570" s="1" t="str">
        <f>"01014334200"</f>
        <v>01014334200</v>
      </c>
      <c r="B12570" s="1" t="str">
        <f>"THOMPSON LARRY"</f>
        <v>THOMPSON LARRY</v>
      </c>
      <c r="C12570" s="1" t="str">
        <f>"WYTON CT HAVILAND 9 LOT 330"</f>
        <v>WYTON CT HAVILAND 9 LOT 330</v>
      </c>
      <c r="D12570" s="1">
        <v>940.97</v>
      </c>
    </row>
    <row r="12571" spans="1:4" x14ac:dyDescent="0.3">
      <c r="A12571" s="1" t="str">
        <f>"01013839400"</f>
        <v>01013839400</v>
      </c>
      <c r="B12571" s="1" t="str">
        <f>"THOMPSON LARRY"</f>
        <v>THOMPSON LARRY</v>
      </c>
      <c r="C12571" s="1" t="str">
        <f>"GAYLORD PLC GLENBROOK SEC 2 LOT 310"</f>
        <v>GAYLORD PLC GLENBROOK SEC 2 LOT 310</v>
      </c>
      <c r="D12571" s="1">
        <v>1314.29</v>
      </c>
    </row>
    <row r="12572" spans="1:4" x14ac:dyDescent="0.3">
      <c r="A12572" s="1" t="str">
        <f>"01012903500"</f>
        <v>01012903500</v>
      </c>
      <c r="B12572" s="1" t="str">
        <f>"THOMPSON LARRY D"</f>
        <v>THOMPSON LARRY D</v>
      </c>
      <c r="C12572" s="1" t="str">
        <f>"SMITH RD MILLBROOK LOT 173"</f>
        <v>SMITH RD MILLBROOK LOT 173</v>
      </c>
      <c r="D12572" s="1">
        <v>3670.48</v>
      </c>
    </row>
    <row r="12573" spans="1:4" x14ac:dyDescent="0.3">
      <c r="A12573" s="1" t="str">
        <f>"01013170300"</f>
        <v>01013170300</v>
      </c>
      <c r="B12573" s="1" t="str">
        <f>"THOMPSON LARRY D"</f>
        <v>THOMPSON LARRY D</v>
      </c>
      <c r="C12573" s="1" t="str">
        <f>"JONATHAN DR RADCLIFF LOT 147"</f>
        <v>JONATHAN DR RADCLIFF LOT 147</v>
      </c>
      <c r="D12573" s="1">
        <v>3136.87</v>
      </c>
    </row>
    <row r="12574" spans="1:4" x14ac:dyDescent="0.3">
      <c r="A12574" s="1" t="str">
        <f>"01010622700"</f>
        <v>01010622700</v>
      </c>
      <c r="B12574" s="1" t="str">
        <f>"THOMPSON LARRY D"</f>
        <v>THOMPSON LARRY D</v>
      </c>
      <c r="C12574" s="1" t="str">
        <f>"DUNDEE AVE LEA-WOOD GARDENS LOT 126"</f>
        <v>DUNDEE AVE LEA-WOOD GARDENS LOT 126</v>
      </c>
      <c r="D12574" s="1">
        <v>3328.55</v>
      </c>
    </row>
    <row r="12575" spans="1:4" x14ac:dyDescent="0.3">
      <c r="A12575" s="1" t="str">
        <f>"01009053200"</f>
        <v>01009053200</v>
      </c>
      <c r="B12575" s="1" t="str">
        <f>"THOMPSON LARRY D"</f>
        <v>THOMPSON LARRY D</v>
      </c>
      <c r="C12575" s="1" t="str">
        <f>"KENILWORTHPL EASTMINSTER LOT309 &amp; PT VAC AL"</f>
        <v>KENILWORTHPL EASTMINSTER LOT309 &amp; PT VAC AL</v>
      </c>
      <c r="D12575" s="1">
        <v>3363.57</v>
      </c>
    </row>
    <row r="12576" spans="1:4" x14ac:dyDescent="0.3">
      <c r="A12576" s="1" t="str">
        <f>"01012892700"</f>
        <v>01012892700</v>
      </c>
      <c r="B12576" s="1" t="str">
        <f>"THOMPSON LARRY D"</f>
        <v>THOMPSON LARRY D</v>
      </c>
      <c r="C12576" s="1" t="str">
        <f>"SMITH RD MILLBROOK LOT 65"</f>
        <v>SMITH RD MILLBROOK LOT 65</v>
      </c>
      <c r="D12576" s="1">
        <v>3651.88</v>
      </c>
    </row>
    <row r="12577" spans="1:4" x14ac:dyDescent="0.3">
      <c r="A12577" s="1" t="str">
        <f>"27300812900"</f>
        <v>27300812900</v>
      </c>
      <c r="B12577" s="1" t="str">
        <f>"THOMPSON LYNNE A"</f>
        <v>THOMPSON LYNNE A</v>
      </c>
      <c r="C12577" s="1" t="str">
        <f>"THE MEWS AT TUTTLE CROSSING CONDO 3 AMD BLDG 12 UNIT 12-5441"</f>
        <v>THE MEWS AT TUTTLE CROSSING CONDO 3 AMD BLDG 12 UNIT 12-5441</v>
      </c>
      <c r="D12577" s="1">
        <v>3371.34</v>
      </c>
    </row>
    <row r="12578" spans="1:4" x14ac:dyDescent="0.3">
      <c r="A12578" s="1" t="str">
        <f>"05000252100"</f>
        <v>05000252100</v>
      </c>
      <c r="B12578" s="1" t="str">
        <f>"THOMPSON MARK A"</f>
        <v>THOMPSON MARK A</v>
      </c>
      <c r="C12578" s="1" t="str">
        <f>"4506 EDLER CT BEACON LOT 90"</f>
        <v>4506 EDLER CT BEACON LOT 90</v>
      </c>
      <c r="D12578" s="1">
        <v>6186.66</v>
      </c>
    </row>
    <row r="12579" spans="1:4" x14ac:dyDescent="0.3">
      <c r="A12579" s="1" t="str">
        <f>"01019987300"</f>
        <v>01019987300</v>
      </c>
      <c r="B12579" s="1" t="str">
        <f>"THOMPSON MISTY R"</f>
        <v>THOMPSON MISTY R</v>
      </c>
      <c r="C12579" s="1" t="str">
        <f>"WORTHINGTON FOREST CONDOMINIUM GARAGE 33"</f>
        <v>WORTHINGTON FOREST CONDOMINIUM GARAGE 33</v>
      </c>
      <c r="D12579" s="1">
        <v>111.5</v>
      </c>
    </row>
    <row r="12580" spans="1:4" x14ac:dyDescent="0.3">
      <c r="A12580" s="1" t="str">
        <f>"01019098300"</f>
        <v>01019098300</v>
      </c>
      <c r="B12580" s="1" t="str">
        <f>"THOMPSON MISTY R"</f>
        <v>THOMPSON MISTY R</v>
      </c>
      <c r="C12580" s="1" t="str">
        <f>"WORTHINGTON FOREST CONDOMINIUM UNIT 731 BLDG 2B"</f>
        <v>WORTHINGTON FOREST CONDOMINIUM UNIT 731 BLDG 2B</v>
      </c>
      <c r="D12580" s="1">
        <v>868.23</v>
      </c>
    </row>
    <row r="12581" spans="1:4" x14ac:dyDescent="0.3">
      <c r="A12581" s="1" t="str">
        <f>"01009487300"</f>
        <v>01009487300</v>
      </c>
      <c r="B12581" s="1" t="str">
        <f>"THOMPSON MITCHELL TERRELL"</f>
        <v>THOMPSON MITCHELL TERRELL</v>
      </c>
      <c r="C12581" s="1" t="str">
        <f>"2788 HIAWATH ATERRAC ALMADA LOT 692"</f>
        <v>2788 HIAWATH ATERRAC ALMADA LOT 692</v>
      </c>
      <c r="D12581" s="1">
        <v>1085.06</v>
      </c>
    </row>
    <row r="12582" spans="1:4" x14ac:dyDescent="0.3">
      <c r="A12582" s="1" t="str">
        <f>"01006207500"</f>
        <v>01006207500</v>
      </c>
      <c r="B12582" s="1" t="str">
        <f>"THOMPSON SAMUEL, MURILLO BERLIN THOMPSON"</f>
        <v>THOMPSON SAMUEL, MURILLO BERLIN THOMPSON</v>
      </c>
      <c r="C12582" s="1" t="str">
        <f>"ASHLAND AVE SUMMIT PLAIN LOT 84"</f>
        <v>ASHLAND AVE SUMMIT PLAIN LOT 84</v>
      </c>
      <c r="D12582" s="1">
        <v>1106.1500000000001</v>
      </c>
    </row>
    <row r="12583" spans="1:4" x14ac:dyDescent="0.3">
      <c r="A12583" s="1" t="str">
        <f>"01001673800"</f>
        <v>01001673800</v>
      </c>
      <c r="B12583" s="1" t="str">
        <f>"THOMPSON SHERRY M"</f>
        <v>THOMPSON SHERRY M</v>
      </c>
      <c r="C12583" s="1" t="str">
        <f>"300 MIDLAND AVE WESTWOOD HTS LOT 182"</f>
        <v>300 MIDLAND AVE WESTWOOD HTS LOT 182</v>
      </c>
      <c r="D12583" s="1">
        <v>106.67</v>
      </c>
    </row>
    <row r="12584" spans="1:4" x14ac:dyDescent="0.3">
      <c r="A12584" s="1" t="str">
        <f>"01003337800"</f>
        <v>01003337800</v>
      </c>
      <c r="B12584" s="1" t="str">
        <f>"THOMPSON SIOBHAN"</f>
        <v>THOMPSON SIOBHAN</v>
      </c>
      <c r="C12584" s="1" t="str">
        <f>"350 WHEATLAND AVE ARLINGTON LOT 188"</f>
        <v>350 WHEATLAND AVE ARLINGTON LOT 188</v>
      </c>
      <c r="D12584" s="1">
        <v>1907.16</v>
      </c>
    </row>
    <row r="12585" spans="1:4" x14ac:dyDescent="0.3">
      <c r="A12585" s="1" t="str">
        <f>"01011568700"</f>
        <v>01011568700</v>
      </c>
      <c r="B12585" s="1" t="str">
        <f>"THOMPSON TERESA A, KIRK GREGORY C, SCARBERRY NANCY K, JONES BARBARA J, KIRK STEVEN D, KIRK DAVID A"</f>
        <v>THOMPSON TERESA A, KIRK GREGORY C, SCARBERRY NANCY K, JONES BARBARA J, KIRK STEVEN D, KIRK DAVID A</v>
      </c>
      <c r="C12585" s="1" t="str">
        <f>"HILOCK AVE .4757 ACRE PT LOT 6"</f>
        <v>HILOCK AVE .4757 ACRE PT LOT 6</v>
      </c>
      <c r="D12585" s="1">
        <v>1382.36</v>
      </c>
    </row>
    <row r="12586" spans="1:4" x14ac:dyDescent="0.3">
      <c r="A12586" s="1" t="str">
        <f>"01015562300"</f>
        <v>01015562300</v>
      </c>
      <c r="B12586" s="1" t="str">
        <f>"THOMPSON TYLER J, THOMPSON MAKENZIE L, THOMPSON COREY J, THOMPSON JOEL B"</f>
        <v>THOMPSON TYLER J, THOMPSON MAKENZIE L, THOMPSON COREY J, THOMPSON JOEL B</v>
      </c>
      <c r="C12586" s="1" t="str">
        <f>"KIMBERLY VILLAS CONDOMINIUM PHASE 3 LOT 35-D"</f>
        <v>KIMBERLY VILLAS CONDOMINIUM PHASE 3 LOT 35-D</v>
      </c>
      <c r="D12586" s="1">
        <v>1204.2</v>
      </c>
    </row>
    <row r="12587" spans="1:4" x14ac:dyDescent="0.3">
      <c r="A12587" s="1" t="str">
        <f>"06000892400"</f>
        <v>06000892400</v>
      </c>
      <c r="B12587" s="1" t="str">
        <f>"THOMPSON WALTER DALE JR"</f>
        <v>THOMPSON WALTER DALE JR</v>
      </c>
      <c r="C12587" s="1" t="str">
        <f>"FARMINGTON MEADOWS CONDOMINIUM 11TH AMD BLDG 35 UNIT 7915"</f>
        <v>FARMINGTON MEADOWS CONDOMINIUM 11TH AMD BLDG 35 UNIT 7915</v>
      </c>
      <c r="D12587" s="1">
        <v>4087.38</v>
      </c>
    </row>
    <row r="12588" spans="1:4" x14ac:dyDescent="0.3">
      <c r="A12588" s="1" t="str">
        <f>"56022126200"</f>
        <v>56022126200</v>
      </c>
      <c r="B12588" s="1" t="str">
        <f>"THORNAPPLE ASSOCIATION INC"</f>
        <v>THORNAPPLE ASSOCIATION INC</v>
      </c>
      <c r="C12588" s="1" t="str">
        <f>"THORNCREST DR VLG AT THORNAPPLE SEC 1 PT RES B=0.031 ACRE"</f>
        <v>THORNCREST DR VLG AT THORNAPPLE SEC 1 PT RES B=0.031 ACRE</v>
      </c>
      <c r="D12588" s="1">
        <v>111.72</v>
      </c>
    </row>
    <row r="12589" spans="1:4" x14ac:dyDescent="0.3">
      <c r="A12589" s="1" t="str">
        <f>"56022126300"</f>
        <v>56022126300</v>
      </c>
      <c r="B12589" s="1" t="str">
        <f>"THORNAPPLE ASSOCIATION INC"</f>
        <v>THORNAPPLE ASSOCIATION INC</v>
      </c>
      <c r="C12589" s="1" t="str">
        <f>"THORNCREST DR VLG AT THORNAPPLE SEC 1 PT RES C=0.023 ACRE"</f>
        <v>THORNCREST DR VLG AT THORNAPPLE SEC 1 PT RES C=0.023 ACRE</v>
      </c>
      <c r="D12589" s="1">
        <v>55.86</v>
      </c>
    </row>
    <row r="12590" spans="1:4" x14ac:dyDescent="0.3">
      <c r="A12590" s="1" t="str">
        <f>"56022527700"</f>
        <v>56022527700</v>
      </c>
      <c r="B12590" s="1" t="str">
        <f>"THORNAPPLE ASSOCIATION INC"</f>
        <v>THORNAPPLE ASSOCIATION INC</v>
      </c>
      <c r="C12590" s="1" t="str">
        <f>"THE VILLAGE AT THORNAPPLE SECTION 2 RESERVE A .619AC"</f>
        <v>THE VILLAGE AT THORNAPPLE SECTION 2 RESERVE A .619AC</v>
      </c>
      <c r="D12590" s="1">
        <v>218.76</v>
      </c>
    </row>
    <row r="12591" spans="1:4" x14ac:dyDescent="0.3">
      <c r="A12591" s="1" t="str">
        <f>"07001370700"</f>
        <v>07001370700</v>
      </c>
      <c r="B12591" s="1" t="str">
        <f>"THORNBURGH MELANIE J, THORNBURGH AMY E"</f>
        <v>THORNBURGH MELANIE J, THORNBURGH AMY E</v>
      </c>
      <c r="C12591" s="1" t="str">
        <f>"ARLINGATE CONDO 4 AM UNIT 4548 BLDG 6 "</f>
        <v xml:space="preserve">ARLINGATE CONDO 4 AM UNIT 4548 BLDG 6 </v>
      </c>
      <c r="D12591" s="1">
        <v>4217.51</v>
      </c>
    </row>
    <row r="12592" spans="1:4" x14ac:dyDescent="0.3">
      <c r="A12592" s="1" t="str">
        <f>"01007336300"</f>
        <v>01007336300</v>
      </c>
      <c r="B12592" s="1" t="str">
        <f>"THORNHILL BOBBY JR TTEE"</f>
        <v>THORNHILL BOBBY JR TTEE</v>
      </c>
      <c r="C12592" s="1" t="str">
        <f>"MITHOFF ST BERKELEY SQUARE LOT 2"</f>
        <v>MITHOFF ST BERKELEY SQUARE LOT 2</v>
      </c>
      <c r="D12592" s="1">
        <v>1185.79</v>
      </c>
    </row>
    <row r="12593" spans="1:4" x14ac:dyDescent="0.3">
      <c r="A12593" s="1" t="str">
        <f>"01011870400"</f>
        <v>01011870400</v>
      </c>
      <c r="B12593" s="1" t="str">
        <f>"THORNHILL TAMMY"</f>
        <v>THORNHILL TAMMY</v>
      </c>
      <c r="C12593" s="1" t="str">
        <f>"ARBOR DRIVE CATALPA PARK LOT 34"</f>
        <v>ARBOR DRIVE CATALPA PARK LOT 34</v>
      </c>
      <c r="D12593" s="1">
        <v>61.59</v>
      </c>
    </row>
    <row r="12594" spans="1:4" x14ac:dyDescent="0.3">
      <c r="A12594" s="1" t="str">
        <f>"01008172600"</f>
        <v>01008172600</v>
      </c>
      <c r="B12594" s="1" t="str">
        <f>"THORNHILL VERA R TR"</f>
        <v>THORNHILL VERA R TR</v>
      </c>
      <c r="C12594" s="1" t="str">
        <f>"531 S TERRACE AVE HEFFNER HTS ANNEX LOT 158"</f>
        <v>531 S TERRACE AVE HEFFNER HTS ANNEX LOT 158</v>
      </c>
      <c r="D12594" s="1">
        <v>29.48</v>
      </c>
    </row>
    <row r="12595" spans="1:4" x14ac:dyDescent="0.3">
      <c r="A12595" s="1" t="str">
        <f>"01014101000"</f>
        <v>01014101000</v>
      </c>
      <c r="B12595" s="1" t="str">
        <f>"THORNTON JOAN E TR"</f>
        <v>THORNTON JOAN E TR</v>
      </c>
      <c r="C12595" s="1" t="str">
        <f>"LONGDALE RD BERWICK EST LOT 91"</f>
        <v>LONGDALE RD BERWICK EST LOT 91</v>
      </c>
      <c r="D12595" s="1">
        <v>2719.67</v>
      </c>
    </row>
    <row r="12596" spans="1:4" x14ac:dyDescent="0.3">
      <c r="A12596" s="1" t="str">
        <f>"01008406600"</f>
        <v>01008406600</v>
      </c>
      <c r="B12596" s="1" t="str">
        <f>"THORNTON JOAN M"</f>
        <v>THORNTON JOAN M</v>
      </c>
      <c r="C12596" s="1" t="str">
        <f>"E BEECHWOLD BLVD ZOOLAND LOT 90"</f>
        <v>E BEECHWOLD BLVD ZOOLAND LOT 90</v>
      </c>
      <c r="D12596" s="1">
        <v>2485.3200000000002</v>
      </c>
    </row>
    <row r="12597" spans="1:4" x14ac:dyDescent="0.3">
      <c r="A12597" s="1" t="str">
        <f>"02500691900"</f>
        <v>02500691900</v>
      </c>
      <c r="B12597" s="1" t="str">
        <f>"THORNTON MELISSA J"</f>
        <v>THORNTON MELISSA J</v>
      </c>
      <c r="C12597" s="1" t="str">
        <f>"875 WINDBOURNE STREE WOODSIDE GREEN 4B LOT 94"</f>
        <v>875 WINDBOURNE STREE WOODSIDE GREEN 4B LOT 94</v>
      </c>
      <c r="D12597" s="1">
        <v>1196.51</v>
      </c>
    </row>
    <row r="12598" spans="1:4" x14ac:dyDescent="0.3">
      <c r="A12598" s="1" t="str">
        <f>"01010201600"</f>
        <v>01010201600</v>
      </c>
      <c r="B12598" s="1" t="str">
        <f>"THORNTON MICHAEL M"</f>
        <v>THORNTON MICHAEL M</v>
      </c>
      <c r="C12598" s="1" t="str">
        <f>"SCOTTWOOD RD SCOTTWOOD LOT 83"</f>
        <v>SCOTTWOOD RD SCOTTWOOD LOT 83</v>
      </c>
      <c r="D12598" s="1">
        <v>104.33</v>
      </c>
    </row>
    <row r="12599" spans="1:4" x14ac:dyDescent="0.3">
      <c r="A12599" s="1" t="str">
        <f>"18000403100"</f>
        <v>18000403100</v>
      </c>
      <c r="B12599" s="1" t="str">
        <f>"THORNTON TRACI L"</f>
        <v>THORNTON TRACI L</v>
      </c>
      <c r="C12599" s="1" t="str">
        <f>"ARNSBY RD BLACKLICK ESTATES 6 1262 "</f>
        <v xml:space="preserve">ARNSBY RD BLACKLICK ESTATES 6 1262 </v>
      </c>
      <c r="D12599" s="1">
        <v>1079.94</v>
      </c>
    </row>
    <row r="12600" spans="1:4" x14ac:dyDescent="0.3">
      <c r="A12600" s="1" t="str">
        <f>"01013490100"</f>
        <v>01013490100</v>
      </c>
      <c r="B12600" s="1" t="str">
        <f>"THORP MATTHEW M"</f>
        <v>THORP MATTHEW M</v>
      </c>
      <c r="C12600" s="1" t="str">
        <f>"GLENDON RD MORSE RD MANOR LOT 39"</f>
        <v>GLENDON RD MORSE RD MANOR LOT 39</v>
      </c>
      <c r="D12600" s="1">
        <v>1261.4100000000001</v>
      </c>
    </row>
    <row r="12601" spans="1:4" x14ac:dyDescent="0.3">
      <c r="A12601" s="1" t="str">
        <f>"01005769700"</f>
        <v>01005769700</v>
      </c>
      <c r="B12601" s="1" t="str">
        <f>"THORPE TADEECHEE"</f>
        <v>THORPE TADEECHEE</v>
      </c>
      <c r="C12601" s="1" t="str">
        <f>"1097 FOREST ST AUBURNDALE LOT 161-2"</f>
        <v>1097 FOREST ST AUBURNDALE LOT 161-2</v>
      </c>
      <c r="D12601" s="1">
        <v>2584.2199999999998</v>
      </c>
    </row>
    <row r="12602" spans="1:4" x14ac:dyDescent="0.3">
      <c r="A12602" s="1" t="str">
        <f>"01000308300"</f>
        <v>01000308300</v>
      </c>
      <c r="B12602" s="1" t="str">
        <f>"THURMOND IVERIE"</f>
        <v>THURMOND IVERIE</v>
      </c>
      <c r="C12602" s="1" t="str">
        <f>"606KELTONAVE A B COIT SUB 8"</f>
        <v>606KELTONAVE A B COIT SUB 8</v>
      </c>
      <c r="D12602" s="1">
        <v>1160.3399999999999</v>
      </c>
    </row>
    <row r="12603" spans="1:4" x14ac:dyDescent="0.3">
      <c r="A12603" s="1" t="str">
        <f>"25000001700"</f>
        <v>25000001700</v>
      </c>
      <c r="B12603" s="1" t="str">
        <f>"TI EQUITY LLC, RABER RAY"</f>
        <v>TI EQUITY LLC, RABER RAY</v>
      </c>
      <c r="C12603" s="1" t="str">
        <f>"PARK RD R18 T2 1/4T2 1.826 AC"</f>
        <v>PARK RD R18 T2 1/4T2 1.826 AC</v>
      </c>
      <c r="D12603" s="1">
        <v>1055.51</v>
      </c>
    </row>
    <row r="12604" spans="1:4" x14ac:dyDescent="0.3">
      <c r="A12604" s="1" t="str">
        <f>"02000192100"</f>
        <v>02000192100</v>
      </c>
      <c r="B12604" s="1" t="str">
        <f>"TIBBLES P K, TIBBLES W LANCE"</f>
        <v>TIBBLES P K, TIBBLES W LANCE</v>
      </c>
      <c r="C12604" s="1" t="str">
        <f>"762 GRANDON AVE LOT 142 EASTLAWN"</f>
        <v>762 GRANDON AVE LOT 142 EASTLAWN</v>
      </c>
      <c r="D12604" s="1">
        <v>30.44</v>
      </c>
    </row>
    <row r="12605" spans="1:4" x14ac:dyDescent="0.3">
      <c r="A12605" s="1" t="str">
        <f>"09000080200"</f>
        <v>09000080200</v>
      </c>
      <c r="B12605" s="1" t="str">
        <f>"TIDRICK RUSSELL TR, TIDRICK JULIE TR"</f>
        <v>TIDRICK RUSSELL TR, TIDRICK JULIE TR</v>
      </c>
      <c r="C12605" s="1" t="str">
        <f>"BROAD ST SEE DUP FOR      DESC LOWRIE BROS          11-12                    "</f>
        <v xml:space="preserve">BROAD ST SEE DUP FOR      DESC LOWRIE BROS          11-12                    </v>
      </c>
      <c r="D12605" s="1">
        <v>10079.75</v>
      </c>
    </row>
    <row r="12606" spans="1:4" x14ac:dyDescent="0.3">
      <c r="A12606" s="1" t="str">
        <f>"08001125300"</f>
        <v>08001125300</v>
      </c>
      <c r="B12606" s="1" t="str">
        <f>"TIENPRASID WALLOP, TIENPRASID CYNTHIA"</f>
        <v>TIENPRASID WALLOP, TIENPRASID CYNTHIA</v>
      </c>
      <c r="C12606" s="1" t="str">
        <f>"3046 E COLLEGE AVE LINNABARY HTS 2"</f>
        <v>3046 E COLLEGE AVE LINNABARY HTS 2</v>
      </c>
      <c r="D12606" s="1">
        <v>334.75</v>
      </c>
    </row>
    <row r="12607" spans="1:4" x14ac:dyDescent="0.3">
      <c r="A12607" s="1" t="str">
        <f>"07000120800"</f>
        <v>07000120800</v>
      </c>
      <c r="B12607" s="1" t="str">
        <f>"TIGGETT DAVID C, STALNAKER-TIGGETT TONYA R"</f>
        <v>TIGGETT DAVID C, STALNAKER-TIGGETT TONYA R</v>
      </c>
      <c r="C12607" s="1" t="str">
        <f>"2720 YORK RD GUILFORD PLACE LOT 77"</f>
        <v>2720 YORK RD GUILFORD PLACE LOT 77</v>
      </c>
      <c r="D12607" s="1">
        <v>668.87</v>
      </c>
    </row>
    <row r="12608" spans="1:4" x14ac:dyDescent="0.3">
      <c r="A12608" s="1" t="str">
        <f>"04000933700"</f>
        <v>04000933700</v>
      </c>
      <c r="B12608" s="1" t="str">
        <f>"TILLER MARK E, TILLER LORRIE A"</f>
        <v>TILLER MARK E, TILLER LORRIE A</v>
      </c>
      <c r="C12608" s="1" t="str">
        <f>"WINDROW DRIVE HOOVER PARK SEC 2 PART 1 LOT 49"</f>
        <v>WINDROW DRIVE HOOVER PARK SEC 2 PART 1 LOT 49</v>
      </c>
      <c r="D12608" s="1">
        <v>279.51</v>
      </c>
    </row>
    <row r="12609" spans="1:4" x14ac:dyDescent="0.3">
      <c r="A12609" s="1" t="str">
        <f>"01008228500"</f>
        <v>01008228500</v>
      </c>
      <c r="B12609" s="1" t="str">
        <f>"TILLMAN INVESTMENT GROUP LLC"</f>
        <v>TILLMAN INVESTMENT GROUP LLC</v>
      </c>
      <c r="C12609" s="1" t="str">
        <f>"MAIZE RD ENOCHS &amp; MCKEES N BROADWAY LOT 54"</f>
        <v>MAIZE RD ENOCHS &amp; MCKEES N BROADWAY LOT 54</v>
      </c>
      <c r="D12609" s="1">
        <v>3384.43</v>
      </c>
    </row>
    <row r="12610" spans="1:4" x14ac:dyDescent="0.3">
      <c r="A12610" s="1" t="str">
        <f>"13000200900"</f>
        <v>13000200900</v>
      </c>
      <c r="B12610" s="1" t="str">
        <f>"TILLMAN INVESTMENT GROUP LLC"</f>
        <v>TILLMAN INVESTMENT GROUP LLC</v>
      </c>
      <c r="C12610" s="1" t="str">
        <f>"FERRIS ROAD NORTH LINDEN 1 LOT 376"</f>
        <v>FERRIS ROAD NORTH LINDEN 1 LOT 376</v>
      </c>
      <c r="D12610" s="1">
        <v>2963.5</v>
      </c>
    </row>
    <row r="12611" spans="1:4" x14ac:dyDescent="0.3">
      <c r="A12611" s="1" t="str">
        <f>"01016181400"</f>
        <v>01016181400</v>
      </c>
      <c r="B12611" s="1" t="str">
        <f>"TILLMAN INVESTMENT GROUP LLC"</f>
        <v>TILLMAN INVESTMENT GROUP LLC</v>
      </c>
      <c r="C12611" s="1" t="str">
        <f>"BLENDON WOODS BLVD BLENDON PARK SEC 2 LOT 161"</f>
        <v>BLENDON WOODS BLVD BLENDON PARK SEC 2 LOT 161</v>
      </c>
      <c r="D12611" s="1">
        <v>4774.33</v>
      </c>
    </row>
    <row r="12612" spans="1:4" x14ac:dyDescent="0.3">
      <c r="A12612" s="1" t="str">
        <f>"01014859400"</f>
        <v>01014859400</v>
      </c>
      <c r="B12612" s="1" t="str">
        <f>"TILLMAN SHELIA"</f>
        <v>TILLMAN SHELIA</v>
      </c>
      <c r="C12612" s="1" t="str">
        <f>"BROCKTON COURT BRITTANY HILLS LOT 64"</f>
        <v>BROCKTON COURT BRITTANY HILLS LOT 64</v>
      </c>
      <c r="D12612" s="1">
        <v>694.83</v>
      </c>
    </row>
    <row r="12613" spans="1:4" x14ac:dyDescent="0.3">
      <c r="A12613" s="1" t="str">
        <f>"17000073200"</f>
        <v>17000073200</v>
      </c>
      <c r="B12613" s="1" t="str">
        <f>"TIMBERTOP INVESTMENTS III"</f>
        <v>TIMBERTOP INVESTMENTS III</v>
      </c>
      <c r="C12613" s="1" t="str">
        <f>"6320 DARLING RD R16 T1 1/4T2 5.00 ACRES"</f>
        <v>6320 DARLING RD R16 T1 1/4T2 5.00 ACRES</v>
      </c>
      <c r="D12613" s="1">
        <v>5542.2</v>
      </c>
    </row>
    <row r="12614" spans="1:4" x14ac:dyDescent="0.3">
      <c r="A12614" s="1" t="str">
        <f>"17000016600"</f>
        <v>17000016600</v>
      </c>
      <c r="B12614" s="1" t="str">
        <f>"TIMBERTOP INVESTMENTS IV LTD"</f>
        <v>TIMBERTOP INVESTMENTS IV LTD</v>
      </c>
      <c r="C12614" s="1" t="str">
        <f>"6400 DARLING RD 3.101 AC "</f>
        <v xml:space="preserve">6400 DARLING RD 3.101 AC </v>
      </c>
      <c r="D12614" s="1">
        <v>4230.82</v>
      </c>
    </row>
    <row r="12615" spans="1:4" x14ac:dyDescent="0.3">
      <c r="A12615" s="1" t="str">
        <f>"11000359500"</f>
        <v>11000359500</v>
      </c>
      <c r="B12615" s="1" t="str">
        <f>"TIMLER TODD A SR"</f>
        <v>TIMLER TODD A SR</v>
      </c>
      <c r="C12615" s="1" t="str">
        <f>"SANTIAGO DR H C HUBER PLAT 48 SEC 4 1658"</f>
        <v>SANTIAGO DR H C HUBER PLAT 48 SEC 4 1658</v>
      </c>
      <c r="D12615" s="1">
        <v>7543.72</v>
      </c>
    </row>
    <row r="12616" spans="1:4" x14ac:dyDescent="0.3">
      <c r="A12616" s="1" t="str">
        <f>"60016582200"</f>
        <v>60016582200</v>
      </c>
      <c r="B12616" s="1" t="str">
        <f>"TIMLER VICTOR A JR"</f>
        <v>TIMLER VICTOR A JR</v>
      </c>
      <c r="C12616" s="1" t="str">
        <f>"PICKAWILLANY CONDOMINIUM STAGE 3 BLDG 13 UNIT 6"</f>
        <v>PICKAWILLANY CONDOMINIUM STAGE 3 BLDG 13 UNIT 6</v>
      </c>
      <c r="D12616" s="1">
        <v>1486</v>
      </c>
    </row>
    <row r="12617" spans="1:4" x14ac:dyDescent="0.3">
      <c r="A12617" s="1" t="str">
        <f>"01000107600"</f>
        <v>01000107600</v>
      </c>
      <c r="B12617" s="1" t="str">
        <f>"TINKEL CHAD, TINKEL JODI LEE"</f>
        <v>TINKEL CHAD, TINKEL JODI LEE</v>
      </c>
      <c r="C12617" s="1" t="str">
        <f>"590 W 2ND AVE             WYOMING                   PT LOTS 42-43            "</f>
        <v xml:space="preserve">590 W 2ND AVE             WYOMING                   PT LOTS 42-43            </v>
      </c>
      <c r="D12617" s="1">
        <v>374.02</v>
      </c>
    </row>
    <row r="12618" spans="1:4" x14ac:dyDescent="0.3">
      <c r="A12618" s="1" t="str">
        <f>"01012502200"</f>
        <v>01012502200</v>
      </c>
      <c r="B12618" s="1" t="str">
        <f>"TINKER BRENDA"</f>
        <v>TINKER BRENDA</v>
      </c>
      <c r="C12618" s="1" t="str">
        <f>"HARWOOD DR HOLLY HILL LOT 149"</f>
        <v>HARWOOD DR HOLLY HILL LOT 149</v>
      </c>
      <c r="D12618" s="1">
        <v>76.92</v>
      </c>
    </row>
    <row r="12619" spans="1:4" x14ac:dyDescent="0.3">
      <c r="A12619" s="1" t="str">
        <f>"15200044200"</f>
        <v>15200044200</v>
      </c>
      <c r="B12619" s="1" t="str">
        <f>"TINNES JOSEPH D, TINNES ANGELA G"</f>
        <v>TINNES JOSEPH D, TINNES ANGELA G</v>
      </c>
      <c r="C12619" s="1" t="str">
        <f>"1725 CHILLICOTHE ST PT LOT 5 SCIOTO "</f>
        <v xml:space="preserve">1725 CHILLICOTHE ST PT LOT 5 SCIOTO </v>
      </c>
      <c r="D12619" s="1">
        <v>516.63</v>
      </c>
    </row>
    <row r="12620" spans="1:4" x14ac:dyDescent="0.3">
      <c r="A12620" s="1" t="str">
        <f>"01000902400"</f>
        <v>01000902400</v>
      </c>
      <c r="B12620" s="1" t="str">
        <f>"TINSKY WILLIAM C"</f>
        <v>TINSKY WILLIAM C</v>
      </c>
      <c r="C12620" s="1" t="str">
        <f>"692 MOON RD R28 T1 1/4T1 .449 ACRE LOT 6"</f>
        <v>692 MOON RD R28 T1 1/4T1 .449 ACRE LOT 6</v>
      </c>
      <c r="D12620" s="1">
        <v>133.66</v>
      </c>
    </row>
    <row r="12621" spans="1:4" x14ac:dyDescent="0.3">
      <c r="A12621" s="1" t="str">
        <f>"57017013600"</f>
        <v>57017013600</v>
      </c>
      <c r="B12621" s="1" t="str">
        <f>"TIPPETT TERRITORY LLC"</f>
        <v>TIPPETT TERRITORY LLC</v>
      </c>
      <c r="C12621" s="1" t="str">
        <f>"WESTBRANCH ROAD WILLOW CREEK SEC 2 LOT 134"</f>
        <v>WESTBRANCH ROAD WILLOW CREEK SEC 2 LOT 134</v>
      </c>
      <c r="D12621" s="1">
        <v>3240.22</v>
      </c>
    </row>
    <row r="12622" spans="1:4" x14ac:dyDescent="0.3">
      <c r="A12622" s="1" t="str">
        <f>"01027863000"</f>
        <v>01027863000</v>
      </c>
      <c r="B12622" s="1" t="str">
        <f>"TIPPLE LUKE A"</f>
        <v>TIPPLE LUKE A</v>
      </c>
      <c r="C12622" s="1" t="str">
        <f>"5408 WINTERS RUN ROAD     HAYDEN CROSSING SECTION 5 PART 1 LOT 224           "</f>
        <v xml:space="preserve">5408 WINTERS RUN ROAD     HAYDEN CROSSING SECTION 5 PART 1 LOT 224           </v>
      </c>
      <c r="D12622" s="1">
        <v>27.67</v>
      </c>
    </row>
    <row r="12623" spans="1:4" x14ac:dyDescent="0.3">
      <c r="A12623" s="1" t="str">
        <f>"04000856700"</f>
        <v>04000856700</v>
      </c>
      <c r="B12623" s="1" t="str">
        <f>"TIPTON JODI"</f>
        <v>TIPTON JODI</v>
      </c>
      <c r="C12623" s="1" t="str">
        <f>"THE WILLOWS AT QUAIL CREEK CONDO 1ST AMD BLDG 10 UNIT 2395"</f>
        <v>THE WILLOWS AT QUAIL CREEK CONDO 1ST AMD BLDG 10 UNIT 2395</v>
      </c>
      <c r="D12623" s="1">
        <v>172.93</v>
      </c>
    </row>
    <row r="12624" spans="1:4" x14ac:dyDescent="0.3">
      <c r="A12624" s="1" t="str">
        <f>"02000342100"</f>
        <v>02000342100</v>
      </c>
      <c r="B12624" s="1" t="str">
        <f>"TIPTON KATHERINE S"</f>
        <v>TIPTON KATHERINE S</v>
      </c>
      <c r="C12624" s="1" t="str">
        <f>"988 CASSINGHAM RD LIVINGSTON HGHTS LOT 24"</f>
        <v>988 CASSINGHAM RD LIVINGSTON HGHTS LOT 24</v>
      </c>
      <c r="D12624" s="1">
        <v>5296.76</v>
      </c>
    </row>
    <row r="12625" spans="1:4" x14ac:dyDescent="0.3">
      <c r="A12625" s="1" t="str">
        <f>"56023246600"</f>
        <v>56023246600</v>
      </c>
      <c r="B12625" s="1" t="str">
        <f>"TIRELESS LP"</f>
        <v>TIRELESS LP</v>
      </c>
      <c r="C12625" s="1" t="str">
        <f>"CHARTER STREET WESTBELT BUS PK 3.064 ACRES"</f>
        <v>CHARTER STREET WESTBELT BUS PK 3.064 ACRES</v>
      </c>
      <c r="D12625" s="1">
        <v>3699.23</v>
      </c>
    </row>
    <row r="12626" spans="1:4" x14ac:dyDescent="0.3">
      <c r="A12626" s="1" t="str">
        <f>"14000285700"</f>
        <v>14000285700</v>
      </c>
      <c r="B12626" s="1" t="str">
        <f>"TIREY CHARLES"</f>
        <v>TIREY CHARLES</v>
      </c>
      <c r="C12626" s="1" t="str">
        <f>"39 VOLNEY AVE BROADLAWN LOT 146 "</f>
        <v xml:space="preserve">39 VOLNEY AVE BROADLAWN LOT 146 </v>
      </c>
      <c r="D12626" s="1">
        <v>1189.72</v>
      </c>
    </row>
    <row r="12627" spans="1:4" x14ac:dyDescent="0.3">
      <c r="A12627" s="1" t="str">
        <f>"01003464700"</f>
        <v>01003464700</v>
      </c>
      <c r="B12627" s="1" t="str">
        <f>"TIREY CHARLES E"</f>
        <v>TIREY CHARLES E</v>
      </c>
      <c r="C12627" s="1" t="str">
        <f>"2541 W BROAD ST LANDSCAPE LOT 7 &amp; 20.25'N&amp;S LN EE LT 6"</f>
        <v>2541 W BROAD ST LANDSCAPE LOT 7 &amp; 20.25'N&amp;S LN EE LT 6</v>
      </c>
      <c r="D12627" s="1">
        <v>2213.29</v>
      </c>
    </row>
    <row r="12628" spans="1:4" x14ac:dyDescent="0.3">
      <c r="A12628" s="1" t="str">
        <f>"56027340500"</f>
        <v>56027340500</v>
      </c>
      <c r="B12628" s="1" t="str">
        <f>"TIRPAK MEREDITH L"</f>
        <v>TIRPAK MEREDITH L</v>
      </c>
      <c r="C12628" s="1" t="str">
        <f>"MILLINGTON CONDOMINIUM AT MILL RUN 2ND AMD BLDG G UNIT 69 (GARAGE)"</f>
        <v>MILLINGTON CONDOMINIUM AT MILL RUN 2ND AMD BLDG G UNIT 69 (GARAGE)</v>
      </c>
      <c r="D12628" s="1">
        <v>10.1</v>
      </c>
    </row>
    <row r="12629" spans="1:4" x14ac:dyDescent="0.3">
      <c r="A12629" s="1" t="str">
        <f>"02500483600"</f>
        <v>02500483600</v>
      </c>
      <c r="B12629" s="1" t="str">
        <f>"TISONE CARL TOD"</f>
        <v>TISONE CARL TOD</v>
      </c>
      <c r="C12629" s="1" t="str">
        <f>"585 WICKHAM WAY FOXBORO NO 4 LOT 159"</f>
        <v>585 WICKHAM WAY FOXBORO NO 4 LOT 159</v>
      </c>
      <c r="D12629" s="1">
        <v>660</v>
      </c>
    </row>
    <row r="12630" spans="1:4" x14ac:dyDescent="0.3">
      <c r="A12630" s="1" t="str">
        <f>"01010874100"</f>
        <v>01010874100</v>
      </c>
      <c r="B12630" s="1" t="str">
        <f>"TITTLE PAUL M"</f>
        <v>TITTLE PAUL M</v>
      </c>
      <c r="C12630" s="1" t="str">
        <f>"2106 PARKWOOD AVE GREENDALE PLACE ANNEX LOT 16"</f>
        <v>2106 PARKWOOD AVE GREENDALE PLACE ANNEX LOT 16</v>
      </c>
      <c r="D12630" s="1">
        <v>742.05</v>
      </c>
    </row>
    <row r="12631" spans="1:4" x14ac:dyDescent="0.3">
      <c r="A12631" s="1" t="str">
        <f>"01027121500"</f>
        <v>01027121500</v>
      </c>
      <c r="B12631" s="1" t="str">
        <f>"TJB INVESTMENTS LLC"</f>
        <v>TJB INVESTMENTS LLC</v>
      </c>
      <c r="C12631" s="1" t="str">
        <f>"5478 HAMILTON RD R16 T1 S3 1.495 ACRES"</f>
        <v>5478 HAMILTON RD R16 T1 S3 1.495 ACRES</v>
      </c>
      <c r="D12631" s="1">
        <v>22379.439999999999</v>
      </c>
    </row>
    <row r="12632" spans="1:4" x14ac:dyDescent="0.3">
      <c r="A12632" s="1" t="str">
        <f>"15000034900"</f>
        <v>15000034900</v>
      </c>
      <c r="B12632" s="1" t="str">
        <f>"TJS"</f>
        <v>TJS</v>
      </c>
      <c r="C12632" s="1" t="str">
        <f>"1735 BIXBY RD R22 T4 S26 5.005 ACRES"</f>
        <v>1735 BIXBY RD R22 T4 S26 5.005 ACRES</v>
      </c>
      <c r="D12632" s="1">
        <v>249.16</v>
      </c>
    </row>
    <row r="12633" spans="1:4" x14ac:dyDescent="0.3">
      <c r="A12633" s="1" t="str">
        <f>"15200013700"</f>
        <v>15200013700</v>
      </c>
      <c r="B12633" s="1" t="str">
        <f>"TJS"</f>
        <v>TJS</v>
      </c>
      <c r="C12633" s="1" t="str">
        <f>"1642 OBETZ AVE COLUMBUS TERRACE LOTS 48-49"</f>
        <v>1642 OBETZ AVE COLUMBUS TERRACE LOTS 48-49</v>
      </c>
      <c r="D12633" s="1">
        <v>139.94999999999999</v>
      </c>
    </row>
    <row r="12634" spans="1:4" x14ac:dyDescent="0.3">
      <c r="A12634" s="1" t="str">
        <f>"01009303000"</f>
        <v>01009303000</v>
      </c>
      <c r="B12634" s="1" t="str">
        <f>"TLA RESIDENTIAL LLC"</f>
        <v>TLA RESIDENTIAL LLC</v>
      </c>
      <c r="C12634" s="1" t="str">
        <f>"31-33 N WAVERLY ST BROADLAND PL LOT 104"</f>
        <v>31-33 N WAVERLY ST BROADLAND PL LOT 104</v>
      </c>
      <c r="D12634" s="1">
        <v>1563.78</v>
      </c>
    </row>
    <row r="12635" spans="1:4" x14ac:dyDescent="0.3">
      <c r="A12635" s="1" t="str">
        <f>"08000057500"</f>
        <v>08000057500</v>
      </c>
      <c r="B12635" s="1" t="str">
        <f>"TLC 99 LLC"</f>
        <v>TLC 99 LLC</v>
      </c>
      <c r="C12635" s="1" t="str">
        <f>"150S STATE ST BRIGHT OLD LOTS 2-4 NEW LOTS 107-109 &amp; PT AL"</f>
        <v>150S STATE ST BRIGHT OLD LOTS 2-4 NEW LOTS 107-109 &amp; PT AL</v>
      </c>
      <c r="D12635" s="1">
        <v>16843.79</v>
      </c>
    </row>
    <row r="12636" spans="1:4" x14ac:dyDescent="0.3">
      <c r="A12636" s="1" t="str">
        <f>"01007875400"</f>
        <v>01007875400</v>
      </c>
      <c r="B12636" s="1" t="str">
        <f>"TLC HOME GROUP LLC"</f>
        <v>TLC HOME GROUP LLC</v>
      </c>
      <c r="C12636" s="1" t="str">
        <f>"DEMOREST AVE WESTGATE PARK LOT 240"</f>
        <v>DEMOREST AVE WESTGATE PARK LOT 240</v>
      </c>
      <c r="D12636" s="1">
        <v>3437.91</v>
      </c>
    </row>
    <row r="12637" spans="1:4" x14ac:dyDescent="0.3">
      <c r="A12637" s="1" t="str">
        <f>"53028795600"</f>
        <v>53028795600</v>
      </c>
      <c r="B12637" s="1" t="str">
        <f>"TLC PROPERTIES INC"</f>
        <v>TLC PROPERTIES INC</v>
      </c>
      <c r="C12637" s="1" t="str">
        <f>"REFUGEE RD R21 T11 S4 0.746 ACRE"</f>
        <v>REFUGEE RD R21 T11 S4 0.746 ACRE</v>
      </c>
      <c r="D12637" s="1">
        <v>62.1</v>
      </c>
    </row>
    <row r="12638" spans="1:4" x14ac:dyDescent="0.3">
      <c r="A12638" s="1" t="str">
        <f>"01003450000"</f>
        <v>01003450000</v>
      </c>
      <c r="B12638" s="1" t="str">
        <f>"TLC PROPERTIES INC"</f>
        <v>TLC PROPERTIES INC</v>
      </c>
      <c r="C12638" s="1" t="str">
        <f>"SECOND ST LINDEMAN 14.3 FT PT 2ND ST VA"</f>
        <v>SECOND ST LINDEMAN 14.3 FT PT 2ND ST VA</v>
      </c>
      <c r="D12638" s="1">
        <v>6.64</v>
      </c>
    </row>
    <row r="12639" spans="1:4" x14ac:dyDescent="0.3">
      <c r="A12639" s="1" t="str">
        <f>"14000086600"</f>
        <v>14000086600</v>
      </c>
      <c r="B12639" s="1" t="str">
        <f>"TLC TRADING LTD"</f>
        <v>TLC TRADING LTD</v>
      </c>
      <c r="C12639" s="1" t="str">
        <f>"1579 GARLING AVE GARLINGS 24 "</f>
        <v xml:space="preserve">1579 GARLING AVE GARLINGS 24 </v>
      </c>
      <c r="D12639" s="1">
        <v>494.44</v>
      </c>
    </row>
    <row r="12640" spans="1:4" x14ac:dyDescent="0.3">
      <c r="A12640" s="1" t="str">
        <f>"57022259500"</f>
        <v>57022259500</v>
      </c>
      <c r="B12640" s="1" t="str">
        <f>"TLUANG JOHN H NUN, VAN MAWI SAW"</f>
        <v>TLUANG JOHN H NUN, VAN MAWI SAW</v>
      </c>
      <c r="C12640" s="1" t="str">
        <f>"0000 SUNDIAL DR WESTCHESTER SEC3 PT2 LOT 78"</f>
        <v>0000 SUNDIAL DR WESTCHESTER SEC3 PT2 LOT 78</v>
      </c>
      <c r="D12640" s="1">
        <v>3244.86</v>
      </c>
    </row>
    <row r="12641" spans="1:4" x14ac:dyDescent="0.3">
      <c r="A12641" s="1" t="str">
        <f>"01001600500"</f>
        <v>01001600500</v>
      </c>
      <c r="B12641" s="1" t="str">
        <f>"TMDW PROPERTIES LLC"</f>
        <v>TMDW PROPERTIES LLC</v>
      </c>
      <c r="C12641" s="1" t="str">
        <f>"239 N OAKLEY GLENVIEW HTS LOT 118"</f>
        <v>239 N OAKLEY GLENVIEW HTS LOT 118</v>
      </c>
      <c r="D12641" s="1">
        <v>2161.5100000000002</v>
      </c>
    </row>
    <row r="12642" spans="1:4" x14ac:dyDescent="0.3">
      <c r="A12642" s="1" t="str">
        <f>"01008110700"</f>
        <v>01008110700</v>
      </c>
      <c r="B12642" s="1" t="str">
        <f>"TMDW PROPERTIES LLC"</f>
        <v>TMDW PROPERTIES LLC</v>
      </c>
      <c r="C12642" s="1" t="str">
        <f>"1915 EDDYSTON AVE CLEVELAWN LOT 86"</f>
        <v>1915 EDDYSTON AVE CLEVELAWN LOT 86</v>
      </c>
      <c r="D12642" s="1">
        <v>2754.05</v>
      </c>
    </row>
    <row r="12643" spans="1:4" x14ac:dyDescent="0.3">
      <c r="A12643" s="1" t="str">
        <f>"01007952500"</f>
        <v>01007952500</v>
      </c>
      <c r="B12643" s="1" t="str">
        <f>"TMDW PROPERTIES LLC"</f>
        <v>TMDW PROPERTIES LLC</v>
      </c>
      <c r="C12643" s="1" t="str">
        <f>"24TH AVE CLEVEMONT LOT 23"</f>
        <v>24TH AVE CLEVEMONT LOT 23</v>
      </c>
      <c r="D12643" s="1">
        <v>1797.27</v>
      </c>
    </row>
    <row r="12644" spans="1:4" x14ac:dyDescent="0.3">
      <c r="A12644" s="1" t="str">
        <f>"01005126600"</f>
        <v>01005126600</v>
      </c>
      <c r="B12644" s="1" t="str">
        <f>"TMDW PROPERTIES LLC"</f>
        <v>TMDW PROPERTIES LLC</v>
      </c>
      <c r="C12644" s="1" t="str">
        <f>"398 S TERRACE AVE BRONX LOT 276"</f>
        <v>398 S TERRACE AVE BRONX LOT 276</v>
      </c>
      <c r="D12644" s="1">
        <v>8578.74</v>
      </c>
    </row>
    <row r="12645" spans="1:4" x14ac:dyDescent="0.3">
      <c r="A12645" s="1" t="str">
        <f>"01006532000"</f>
        <v>01006532000</v>
      </c>
      <c r="B12645" s="1" t="str">
        <f>"TMDW PROPERTIES LLC"</f>
        <v>TMDW PROPERTIES LLC</v>
      </c>
      <c r="C12645" s="1" t="str">
        <f>"UNION AVE LINKE LOT 42"</f>
        <v>UNION AVE LINKE LOT 42</v>
      </c>
      <c r="D12645" s="1">
        <v>2185.4</v>
      </c>
    </row>
    <row r="12646" spans="1:4" x14ac:dyDescent="0.3">
      <c r="A12646" s="1" t="str">
        <f>"01007489500"</f>
        <v>01007489500</v>
      </c>
      <c r="B12646" s="1" t="str">
        <f>"TMDW PROPERTIES LLC"</f>
        <v>TMDW PROPERTIES LLC</v>
      </c>
      <c r="C12646" s="1" t="str">
        <f>"LEXINGTON AVE GRASMERE GARDENS LOT 129"</f>
        <v>LEXINGTON AVE GRASMERE GARDENS LOT 129</v>
      </c>
      <c r="D12646" s="1">
        <v>1397.99</v>
      </c>
    </row>
    <row r="12647" spans="1:4" x14ac:dyDescent="0.3">
      <c r="A12647" s="1" t="str">
        <f>"01002023300"</f>
        <v>01002023300</v>
      </c>
      <c r="B12647" s="1" t="str">
        <f>"TMDW PROPERTIES LLC"</f>
        <v>TMDW PROPERTIES LLC</v>
      </c>
      <c r="C12647" s="1" t="str">
        <f>"254 S OGDEN AVE S1/2 OF 70&amp;22.5FT NS OF 71 WICKLOW"</f>
        <v>254 S OGDEN AVE S1/2 OF 70&amp;22.5FT NS OF 71 WICKLOW</v>
      </c>
      <c r="D12647" s="1">
        <v>2238.6</v>
      </c>
    </row>
    <row r="12648" spans="1:4" x14ac:dyDescent="0.3">
      <c r="A12648" s="1" t="str">
        <f>"01002618500"</f>
        <v>01002618500</v>
      </c>
      <c r="B12648" s="1" t="str">
        <f>"TMDW PROPERTIES LLC"</f>
        <v>TMDW PROPERTIES LLC</v>
      </c>
      <c r="C12648" s="1" t="str">
        <f>"406 S HARRIS AVE WICKLOW EXT LOT 574"</f>
        <v>406 S HARRIS AVE WICKLOW EXT LOT 574</v>
      </c>
      <c r="D12648" s="1">
        <v>2724.94</v>
      </c>
    </row>
    <row r="12649" spans="1:4" x14ac:dyDescent="0.3">
      <c r="A12649" s="1" t="str">
        <f>"01005942800"</f>
        <v>01005942800</v>
      </c>
      <c r="B12649" s="1" t="str">
        <f>"TMDW PROPERTIES LLC"</f>
        <v>TMDW PROPERTIES LLC</v>
      </c>
      <c r="C12649" s="1" t="str">
        <f>"GENESEE AVE 1673 LINDEN LOT 908"</f>
        <v>GENESEE AVE 1673 LINDEN LOT 908</v>
      </c>
      <c r="D12649" s="1">
        <v>2293.06</v>
      </c>
    </row>
    <row r="12650" spans="1:4" x14ac:dyDescent="0.3">
      <c r="A12650" s="1" t="str">
        <f>"01004404000"</f>
        <v>01004404000</v>
      </c>
      <c r="B12650" s="1" t="str">
        <f>"TMDW PROPERTIES LLC"</f>
        <v>TMDW PROPERTIES LLC</v>
      </c>
      <c r="C12650" s="1" t="str">
        <f>"202 N OGDEN AVE HILL CREST LOT 217"</f>
        <v>202 N OGDEN AVE HILL CREST LOT 217</v>
      </c>
      <c r="D12650" s="1">
        <v>2340.5</v>
      </c>
    </row>
    <row r="12651" spans="1:4" x14ac:dyDescent="0.3">
      <c r="A12651" s="1" t="str">
        <f>"01006021100"</f>
        <v>01006021100</v>
      </c>
      <c r="B12651" s="1" t="str">
        <f>"TMDW PROPERTIES LLC"</f>
        <v>TMDW PROPERTIES LLC</v>
      </c>
      <c r="C12651" s="1" t="str">
        <f>"1541 E BLAKE AVE INNIS CREST LOT 241"</f>
        <v>1541 E BLAKE AVE INNIS CREST LOT 241</v>
      </c>
      <c r="D12651" s="1">
        <v>1264.99</v>
      </c>
    </row>
    <row r="12652" spans="1:4" x14ac:dyDescent="0.3">
      <c r="A12652" s="1" t="str">
        <f>"01006021200"</f>
        <v>01006021200</v>
      </c>
      <c r="B12652" s="1" t="str">
        <f>"TMDW PROPERTIES LLC"</f>
        <v>TMDW PROPERTIES LLC</v>
      </c>
      <c r="C12652" s="1" t="str">
        <f>"22ND AVE WALDMERE LOT 172"</f>
        <v>22ND AVE WALDMERE LOT 172</v>
      </c>
      <c r="D12652" s="1">
        <v>1591</v>
      </c>
    </row>
    <row r="12653" spans="1:4" x14ac:dyDescent="0.3">
      <c r="A12653" s="1" t="str">
        <f>"01005952600"</f>
        <v>01005952600</v>
      </c>
      <c r="B12653" s="1" t="str">
        <f>"TMDW PROPERTIES LLC"</f>
        <v>TMDW PROPERTIES LLC</v>
      </c>
      <c r="C12653" s="1" t="str">
        <f>"ABERDEEN AVE LINDEN LOT 403"</f>
        <v>ABERDEEN AVE LINDEN LOT 403</v>
      </c>
      <c r="D12653" s="1">
        <v>1780.97</v>
      </c>
    </row>
    <row r="12654" spans="1:4" x14ac:dyDescent="0.3">
      <c r="A12654" s="1" t="str">
        <f>"01007453500"</f>
        <v>01007453500</v>
      </c>
      <c r="B12654" s="1" t="str">
        <f>"TMDW PROPERTIES LLC"</f>
        <v>TMDW PROPERTIES LLC</v>
      </c>
      <c r="C12654" s="1" t="str">
        <f>"LORETTA AVE HIGHWAY PARK LOT 137"</f>
        <v>LORETTA AVE HIGHWAY PARK LOT 137</v>
      </c>
      <c r="D12654" s="1">
        <v>2221.65</v>
      </c>
    </row>
    <row r="12655" spans="1:4" x14ac:dyDescent="0.3">
      <c r="A12655" s="1" t="str">
        <f>"01001991000"</f>
        <v>01001991000</v>
      </c>
      <c r="B12655" s="1" t="str">
        <f>"TMDW PROPERTIES LLC"</f>
        <v>TMDW PROPERTIES LLC</v>
      </c>
      <c r="C12655" s="1" t="str">
        <f>"1022 E 16TH AVE LOUIS HTS LOT 346"</f>
        <v>1022 E 16TH AVE LOUIS HTS LOT 346</v>
      </c>
      <c r="D12655" s="1">
        <v>2018.16</v>
      </c>
    </row>
    <row r="12656" spans="1:4" x14ac:dyDescent="0.3">
      <c r="A12656" s="1" t="str">
        <f>"01004267400"</f>
        <v>01004267400</v>
      </c>
      <c r="B12656" s="1" t="str">
        <f>"TMDW PROPERTIES LLC"</f>
        <v>TMDW PROPERTIES LLC</v>
      </c>
      <c r="C12656" s="1" t="str">
        <f>"117 BURGESS AVE CLAHANE HIGH PARK LOT 57"</f>
        <v>117 BURGESS AVE CLAHANE HIGH PARK LOT 57</v>
      </c>
      <c r="D12656" s="1">
        <v>2683.44</v>
      </c>
    </row>
    <row r="12657" spans="1:4" x14ac:dyDescent="0.3">
      <c r="A12657" s="1" t="str">
        <f>"01006115400"</f>
        <v>01006115400</v>
      </c>
      <c r="B12657" s="1" t="str">
        <f>"TMDW PROPERTIES LLC"</f>
        <v>TMDW PROPERTIES LLC</v>
      </c>
      <c r="C12657" s="1" t="str">
        <f>"1621 KOHR PL INNIS CREST LOT 354"</f>
        <v>1621 KOHR PL INNIS CREST LOT 354</v>
      </c>
      <c r="D12657" s="1">
        <v>1208.6099999999999</v>
      </c>
    </row>
    <row r="12658" spans="1:4" x14ac:dyDescent="0.3">
      <c r="A12658" s="1" t="str">
        <f>"01006627200"</f>
        <v>01006627200</v>
      </c>
      <c r="B12658" s="1" t="str">
        <f>"TMDW PROPERTIES LLC"</f>
        <v>TMDW PROPERTIES LLC</v>
      </c>
      <c r="C12658" s="1" t="str">
        <f>"1324 ABERDEEN AVE LINDEN LOT 391"</f>
        <v>1324 ABERDEEN AVE LINDEN LOT 391</v>
      </c>
      <c r="D12658" s="1">
        <v>2620.9299999999998</v>
      </c>
    </row>
    <row r="12659" spans="1:4" x14ac:dyDescent="0.3">
      <c r="A12659" s="1" t="str">
        <f>"01004430700"</f>
        <v>01004430700</v>
      </c>
      <c r="B12659" s="1" t="str">
        <f>"TMDW PROPERTIES LLC"</f>
        <v>TMDW PROPERTIES LLC</v>
      </c>
      <c r="C12659" s="1" t="str">
        <f>"366 S OGDEN AVE WICKLOW LOT 97"</f>
        <v>366 S OGDEN AVE WICKLOW LOT 97</v>
      </c>
      <c r="D12659" s="1">
        <v>2024</v>
      </c>
    </row>
    <row r="12660" spans="1:4" x14ac:dyDescent="0.3">
      <c r="A12660" s="1" t="str">
        <f>"01005496600"</f>
        <v>01005496600</v>
      </c>
      <c r="B12660" s="1" t="str">
        <f>"TMDW PROPERTIES LLC"</f>
        <v>TMDW PROPERTIES LLC</v>
      </c>
      <c r="C12660" s="1" t="str">
        <f>"273 S OAKLEY AVE ARLINGTON LOT 46"</f>
        <v>273 S OAKLEY AVE ARLINGTON LOT 46</v>
      </c>
      <c r="D12660" s="1">
        <v>1726.66</v>
      </c>
    </row>
    <row r="12661" spans="1:4" x14ac:dyDescent="0.3">
      <c r="A12661" s="1" t="str">
        <f>"01006044400"</f>
        <v>01006044400</v>
      </c>
      <c r="B12661" s="1" t="str">
        <f>"TMDW PROPERTIES LLC"</f>
        <v>TMDW PROPERTIES LLC</v>
      </c>
      <c r="C12661" s="1" t="str">
        <f>"1396 22ND AVE WALDEMERE LOT 191"</f>
        <v>1396 22ND AVE WALDEMERE LOT 191</v>
      </c>
      <c r="D12661" s="1">
        <v>1676.9</v>
      </c>
    </row>
    <row r="12662" spans="1:4" x14ac:dyDescent="0.3">
      <c r="A12662" s="1" t="str">
        <f>"01006941900"</f>
        <v>01006941900</v>
      </c>
      <c r="B12662" s="1" t="str">
        <f>"TMDW PROPERTIES LLC"</f>
        <v>TMDW PROPERTIES LLC</v>
      </c>
      <c r="C12662" s="1" t="str">
        <f>"1966 GENESEE AVE LINDEN VIEW 3RD ACRE LOT 35"</f>
        <v>1966 GENESEE AVE LINDEN VIEW 3RD ACRE LOT 35</v>
      </c>
      <c r="D12662" s="1">
        <v>2524.14</v>
      </c>
    </row>
    <row r="12663" spans="1:4" x14ac:dyDescent="0.3">
      <c r="A12663" s="1" t="str">
        <f>"01006070000"</f>
        <v>01006070000</v>
      </c>
      <c r="B12663" s="1" t="str">
        <f>"TMDW PROPERTIES LLC"</f>
        <v>TMDW PROPERTIES LLC</v>
      </c>
      <c r="C12663" s="1" t="str">
        <f>"1468 BLAKE AVE WEYANTS CLEV AVE PLC LOT 102"</f>
        <v>1468 BLAKE AVE WEYANTS CLEV AVE PLC LOT 102</v>
      </c>
      <c r="D12663" s="1">
        <v>2014.97</v>
      </c>
    </row>
    <row r="12664" spans="1:4" x14ac:dyDescent="0.3">
      <c r="A12664" s="1" t="str">
        <f>"01001612900"</f>
        <v>01001612900</v>
      </c>
      <c r="B12664" s="1" t="str">
        <f>"TMDW PROPERTIES LLC"</f>
        <v>TMDW PROPERTIES LLC</v>
      </c>
      <c r="C12664" s="1" t="str">
        <f>"479 S OGDEN AVE WICKLOW LOT 144"</f>
        <v>479 S OGDEN AVE WICKLOW LOT 144</v>
      </c>
      <c r="D12664" s="1">
        <v>1496.21</v>
      </c>
    </row>
    <row r="12665" spans="1:4" x14ac:dyDescent="0.3">
      <c r="A12665" s="1" t="str">
        <f>"01005783900"</f>
        <v>01005783900</v>
      </c>
      <c r="B12665" s="1" t="str">
        <f>"TMDW PROPERTIES LLC"</f>
        <v>TMDW PROPERTIES LLC</v>
      </c>
      <c r="C12665" s="1" t="str">
        <f>"125 N HARRIS AVE ALL LOT 8 VAN SICKLE LOT 8"</f>
        <v>125 N HARRIS AVE ALL LOT 8 VAN SICKLE LOT 8</v>
      </c>
      <c r="D12665" s="1">
        <v>3670.88</v>
      </c>
    </row>
    <row r="12666" spans="1:4" x14ac:dyDescent="0.3">
      <c r="A12666" s="1" t="str">
        <f>"01006382500"</f>
        <v>01006382500</v>
      </c>
      <c r="B12666" s="1" t="str">
        <f>"TMDW PROPERTIES LLC"</f>
        <v>TMDW PROPERTIES LLC</v>
      </c>
      <c r="C12666" s="1" t="str">
        <f>"DELBERT RD 2453 MULBUR PK LOT 9"</f>
        <v>DELBERT RD 2453 MULBUR PK LOT 9</v>
      </c>
      <c r="D12666" s="1">
        <v>2338.48</v>
      </c>
    </row>
    <row r="12667" spans="1:4" x14ac:dyDescent="0.3">
      <c r="A12667" s="1" t="str">
        <f>"01007018500"</f>
        <v>01007018500</v>
      </c>
      <c r="B12667" s="1" t="str">
        <f>"TMDW PROPERTIES LLC"</f>
        <v>TMDW PROPERTIES LLC</v>
      </c>
      <c r="C12667" s="1" t="str">
        <f>"DELBERT RD MULBUR PARK LOT 131"</f>
        <v>DELBERT RD MULBUR PARK LOT 131</v>
      </c>
      <c r="D12667" s="1">
        <v>1962.92</v>
      </c>
    </row>
    <row r="12668" spans="1:4" x14ac:dyDescent="0.3">
      <c r="A12668" s="1" t="str">
        <f>"01005285900"</f>
        <v>01005285900</v>
      </c>
      <c r="B12668" s="1" t="str">
        <f>"TMDW PROPERTIES LLC"</f>
        <v>TMDW PROPERTIES LLC</v>
      </c>
      <c r="C12668" s="1" t="str">
        <f>"DEVON LOT 50 "</f>
        <v xml:space="preserve">DEVON LOT 50 </v>
      </c>
      <c r="D12668" s="1">
        <v>1544.53</v>
      </c>
    </row>
    <row r="12669" spans="1:4" x14ac:dyDescent="0.3">
      <c r="A12669" s="1" t="str">
        <f>"01009731500"</f>
        <v>01009731500</v>
      </c>
      <c r="B12669" s="1" t="str">
        <f>"TMG FAIRFIELD OHIO LLC"</f>
        <v>TMG FAIRFIELD OHIO LLC</v>
      </c>
      <c r="C12669" s="1" t="str">
        <f>"REPUBLIC AVE LORETTA LOT 42"</f>
        <v>REPUBLIC AVE LORETTA LOT 42</v>
      </c>
      <c r="D12669" s="1">
        <v>1439.05</v>
      </c>
    </row>
    <row r="12670" spans="1:4" x14ac:dyDescent="0.3">
      <c r="A12670" s="1" t="str">
        <f>"19000385500"</f>
        <v>19000385500</v>
      </c>
      <c r="B12670" s="1" t="str">
        <f>"TMP ENTERPRISE LLC"</f>
        <v>TMP ENTERPRISE LLC</v>
      </c>
      <c r="C12670" s="1" t="str">
        <f>"NORTHGLEN DR NORTHGLEN 95 "</f>
        <v xml:space="preserve">NORTHGLEN DR NORTHGLEN 95 </v>
      </c>
      <c r="D12670" s="1">
        <v>124.2</v>
      </c>
    </row>
    <row r="12671" spans="1:4" x14ac:dyDescent="0.3">
      <c r="A12671" s="1" t="str">
        <f>"01010011200"</f>
        <v>01010011200</v>
      </c>
      <c r="B12671" s="1" t="str">
        <f>"TMP ENTERPRISES LLC"</f>
        <v>TMP ENTERPRISES LLC</v>
      </c>
      <c r="C12671" s="1" t="str">
        <f>"ERRINGTON RD SHADY LANE PARK LOT 35"</f>
        <v>ERRINGTON RD SHADY LANE PARK LOT 35</v>
      </c>
      <c r="D12671" s="1">
        <v>156.87</v>
      </c>
    </row>
    <row r="12672" spans="1:4" x14ac:dyDescent="0.3">
      <c r="A12672" s="1" t="str">
        <f>"01012156000"</f>
        <v>01012156000</v>
      </c>
      <c r="B12672" s="1" t="str">
        <f>"TNT PROPERTY INVESTIMENTS LLC"</f>
        <v>TNT PROPERTY INVESTIMENTS LLC</v>
      </c>
      <c r="C12672" s="1" t="str">
        <f>"ELLERY DRIVE THUNDERBIRD ACRES 2 LOT 292"</f>
        <v>ELLERY DRIVE THUNDERBIRD ACRES 2 LOT 292</v>
      </c>
      <c r="D12672" s="1">
        <v>103.81</v>
      </c>
    </row>
    <row r="12673" spans="1:4" x14ac:dyDescent="0.3">
      <c r="A12673" s="1" t="str">
        <f>"01012158600"</f>
        <v>01012158600</v>
      </c>
      <c r="B12673" s="1" t="str">
        <f>"TNT PROPERTY INVESTMENTS LLC"</f>
        <v>TNT PROPERTY INVESTMENTS LLC</v>
      </c>
      <c r="C12673" s="1" t="str">
        <f>"DUNDEE PLACE THUNDERBIRD ACRES 2 LOT 318"</f>
        <v>DUNDEE PLACE THUNDERBIRD ACRES 2 LOT 318</v>
      </c>
      <c r="D12673" s="1">
        <v>114.01</v>
      </c>
    </row>
    <row r="12674" spans="1:4" x14ac:dyDescent="0.3">
      <c r="A12674" s="1" t="str">
        <f>"27300839200"</f>
        <v>27300839200</v>
      </c>
      <c r="B12674" s="1" t="str">
        <f>"TOBIAS PAUL, TOBIAS AUDREY"</f>
        <v>TOBIAS PAUL, TOBIAS AUDREY</v>
      </c>
      <c r="C12674" s="1" t="str">
        <f>"3910SUMMIT VIEW PIKE R19 T2 1/4T2 6.066 ACRES"</f>
        <v>3910SUMMIT VIEW PIKE R19 T2 1/4T2 6.066 ACRES</v>
      </c>
      <c r="D12674" s="1">
        <v>253.1</v>
      </c>
    </row>
    <row r="12675" spans="1:4" x14ac:dyDescent="0.3">
      <c r="A12675" s="1" t="str">
        <f>"61020978400"</f>
        <v>61020978400</v>
      </c>
      <c r="B12675" s="1" t="str">
        <f>"TODARO THOMAS A"</f>
        <v>TODARO THOMAS A</v>
      </c>
      <c r="C12675" s="1" t="str">
        <f>"MENTOR DR WORTH. SCHOOLSIDE VIL SEC 2  LOT 72"</f>
        <v>MENTOR DR WORTH. SCHOOLSIDE VIL SEC 2  LOT 72</v>
      </c>
      <c r="D12675" s="1">
        <v>861.54</v>
      </c>
    </row>
    <row r="12676" spans="1:4" x14ac:dyDescent="0.3">
      <c r="A12676" s="1" t="str">
        <f>"01000102200"</f>
        <v>01000102200</v>
      </c>
      <c r="B12676" s="1" t="str">
        <f>"TODD DIANE S"</f>
        <v>TODD DIANE S</v>
      </c>
      <c r="C12676" s="1" t="str">
        <f>"175-7 S TERRACE LOT 99-100 LANDSCAPE"</f>
        <v>175-7 S TERRACE LOT 99-100 LANDSCAPE</v>
      </c>
      <c r="D12676" s="1">
        <v>1283.67</v>
      </c>
    </row>
    <row r="12677" spans="1:4" x14ac:dyDescent="0.3">
      <c r="A12677" s="1" t="str">
        <f>"02500549600"</f>
        <v>02500549600</v>
      </c>
      <c r="B12677" s="1" t="str">
        <f>"TOERPE CAROLYN M, TOERPE FRED C"</f>
        <v>TOERPE CAROLYN M, TOERPE FRED C</v>
      </c>
      <c r="C12677" s="1" t="str">
        <f>"150 WALCREEK DRIVE CHERRY RUN LOT 10"</f>
        <v>150 WALCREEK DRIVE CHERRY RUN LOT 10</v>
      </c>
      <c r="D12677" s="1">
        <v>420.86</v>
      </c>
    </row>
    <row r="12678" spans="1:4" x14ac:dyDescent="0.3">
      <c r="A12678" s="1" t="str">
        <f>"16100036300"</f>
        <v>16100036300</v>
      </c>
      <c r="B12678" s="1" t="str">
        <f>"TOLES STEVEN"</f>
        <v>TOLES STEVEN</v>
      </c>
      <c r="C12678" s="1" t="str">
        <f>"2ND AVE URBANCREST 25-26 BLK 15"</f>
        <v>2ND AVE URBANCREST 25-26 BLK 15</v>
      </c>
      <c r="D12678" s="1">
        <v>780.67</v>
      </c>
    </row>
    <row r="12679" spans="1:4" x14ac:dyDescent="0.3">
      <c r="A12679" s="1" t="str">
        <f>"16100067700"</f>
        <v>16100067700</v>
      </c>
      <c r="B12679" s="1" t="str">
        <f>"TOLES STEVEN, TOLES SYLVIA"</f>
        <v>TOLES STEVEN, TOLES SYLVIA</v>
      </c>
      <c r="C12679" s="1" t="str">
        <f>"CENTRAL AVE URBANCREST 71-2 BLK 4"</f>
        <v>CENTRAL AVE URBANCREST 71-2 BLK 4</v>
      </c>
      <c r="D12679" s="1">
        <v>78.06</v>
      </c>
    </row>
    <row r="12680" spans="1:4" x14ac:dyDescent="0.3">
      <c r="A12680" s="1" t="str">
        <f>"04001549200"</f>
        <v>04001549200</v>
      </c>
      <c r="B12680" s="1" t="str">
        <f>"TOLLER KATHLEEN, TOLLER STEVEN"</f>
        <v>TOLLER KATHLEEN, TOLLER STEVEN</v>
      </c>
      <c r="C12680" s="1" t="str">
        <f>"CHESTNUT FARMS CONDOMINIUM 5TH AMD PHASE 6 BLDG 7 7-1655"</f>
        <v>CHESTNUT FARMS CONDOMINIUM 5TH AMD PHASE 6 BLDG 7 7-1655</v>
      </c>
      <c r="D12680" s="1">
        <v>261.38</v>
      </c>
    </row>
    <row r="12681" spans="1:4" x14ac:dyDescent="0.3">
      <c r="A12681" s="1" t="str">
        <f>"04001578800"</f>
        <v>04001578800</v>
      </c>
      <c r="B12681" s="1" t="str">
        <f>"TOLLER STEVE, TOLLER KATHLEEN"</f>
        <v>TOLLER STEVE, TOLLER KATHLEEN</v>
      </c>
      <c r="C12681" s="1" t="str">
        <f>"COURTYARDS ON HOOVER CONDOMINIUM 9TH AMD UNIT 50-2623"</f>
        <v>COURTYARDS ON HOOVER CONDOMINIUM 9TH AMD UNIT 50-2623</v>
      </c>
      <c r="D12681" s="1">
        <v>258.93</v>
      </c>
    </row>
    <row r="12682" spans="1:4" x14ac:dyDescent="0.3">
      <c r="A12682" s="1" t="str">
        <f>"04001575100"</f>
        <v>04001575100</v>
      </c>
      <c r="B12682" s="1" t="str">
        <f>"TOLLER STEVEN M, PSENICKA KATHLEEN L"</f>
        <v>TOLLER STEVEN M, PSENICKA KATHLEEN L</v>
      </c>
      <c r="C12682" s="1" t="str">
        <f>"COURTYARDS ON HOOVER CONDOMINIUM 5TH AMD UNIT 13-2730"</f>
        <v>COURTYARDS ON HOOVER CONDOMINIUM 5TH AMD UNIT 13-2730</v>
      </c>
      <c r="D12682" s="1">
        <v>279.75</v>
      </c>
    </row>
    <row r="12683" spans="1:4" x14ac:dyDescent="0.3">
      <c r="A12683" s="1" t="str">
        <f>"04001569700"</f>
        <v>04001569700</v>
      </c>
      <c r="B12683" s="1" t="str">
        <f>"TOLLER STEVEN, TOLLER KATHLEEN"</f>
        <v>TOLLER STEVEN, TOLLER KATHLEEN</v>
      </c>
      <c r="C12683" s="1" t="str">
        <f>"COURTYARDS ON HOOVER CONDOMINIUM 2ND AMD UNIT 63-2574"</f>
        <v>COURTYARDS ON HOOVER CONDOMINIUM 2ND AMD UNIT 63-2574</v>
      </c>
      <c r="D12683" s="1">
        <v>278.79000000000002</v>
      </c>
    </row>
    <row r="12684" spans="1:4" x14ac:dyDescent="0.3">
      <c r="A12684" s="1" t="str">
        <f>"01014866400"</f>
        <v>01014866400</v>
      </c>
      <c r="B12684" s="1" t="str">
        <f>"TOLLIVER JOSHUA M"</f>
        <v>TOLLIVER JOSHUA M</v>
      </c>
      <c r="C12684" s="1" t="str">
        <f>"844 OLD FARM RD GREENBRIER FARM 4 LOT 25"</f>
        <v>844 OLD FARM RD GREENBRIER FARM 4 LOT 25</v>
      </c>
      <c r="D12684" s="1">
        <v>4546.08</v>
      </c>
    </row>
    <row r="12685" spans="1:4" x14ac:dyDescent="0.3">
      <c r="A12685" s="1" t="str">
        <f>"01007080400"</f>
        <v>01007080400</v>
      </c>
      <c r="B12685" s="1" t="str">
        <f>"TOMCO CONSTRUCTION CO INC"</f>
        <v>TOMCO CONSTRUCTION CO INC</v>
      </c>
      <c r="C12685" s="1" t="str">
        <f>"MUL-BUR HTS AMD LOT 36 "</f>
        <v xml:space="preserve">MUL-BUR HTS AMD LOT 36 </v>
      </c>
      <c r="D12685" s="1">
        <v>474.16</v>
      </c>
    </row>
    <row r="12686" spans="1:4" x14ac:dyDescent="0.3">
      <c r="A12686" s="1" t="str">
        <f>"02500076500"</f>
        <v>02500076500</v>
      </c>
      <c r="B12686" s="1" t="str">
        <f>"TOMINACK ZACK R, TOMINACK MELISSA A"</f>
        <v>TOMINACK ZACK R, TOMINACK MELISSA A</v>
      </c>
      <c r="C12686" s="1" t="str">
        <f>"187 SIERRA DR ROCKY FORK HTS 67 "</f>
        <v xml:space="preserve">187 SIERRA DR ROCKY FORK HTS 67 </v>
      </c>
      <c r="D12686" s="1">
        <v>2970.81</v>
      </c>
    </row>
    <row r="12687" spans="1:4" x14ac:dyDescent="0.3">
      <c r="A12687" s="1" t="str">
        <f>"08000464900"</f>
        <v>08000464900</v>
      </c>
      <c r="B12687" s="1" t="str">
        <f>"TOMPKINS CORY W"</f>
        <v>TOMPKINS CORY W</v>
      </c>
      <c r="C12687" s="1" t="str">
        <f>"552 OTTERBEIN AV CARRIAGE SQUARE CON DOMINIUM UNIT 4-B"</f>
        <v>552 OTTERBEIN AV CARRIAGE SQUARE CON DOMINIUM UNIT 4-B</v>
      </c>
      <c r="D12687" s="1">
        <v>171.02</v>
      </c>
    </row>
    <row r="12688" spans="1:4" x14ac:dyDescent="0.3">
      <c r="A12688" s="1" t="str">
        <f>"01005910800"</f>
        <v>01005910800</v>
      </c>
      <c r="B12688" s="1" t="str">
        <f>"TOMPKINS FELICHIA"</f>
        <v>TOMPKINS FELICHIA</v>
      </c>
      <c r="C12688" s="1" t="str">
        <f>"1528 BRIARWOOD WALDON LOT 244"</f>
        <v>1528 BRIARWOOD WALDON LOT 244</v>
      </c>
      <c r="D12688" s="1">
        <v>1535.61</v>
      </c>
    </row>
    <row r="12689" spans="1:4" x14ac:dyDescent="0.3">
      <c r="A12689" s="1" t="str">
        <f>"27400156100"</f>
        <v>27400156100</v>
      </c>
      <c r="B12689" s="1" t="str">
        <f>"TONG RICKY, HO NGA"</f>
        <v>TONG RICKY, HO NGA</v>
      </c>
      <c r="C12689" s="1" t="str">
        <f>"BALLANTRAE SECTION 9 PART 1 FINAL PLAT LOT 649"</f>
        <v>BALLANTRAE SECTION 9 PART 1 FINAL PLAT LOT 649</v>
      </c>
      <c r="D12689" s="1">
        <v>661.2</v>
      </c>
    </row>
    <row r="12690" spans="1:4" x14ac:dyDescent="0.3">
      <c r="A12690" s="1" t="str">
        <f>"10000561600"</f>
        <v>10000561600</v>
      </c>
      <c r="B12690" s="1" t="str">
        <f>"TONTI R CHARLES TR"</f>
        <v>TONTI R CHARLES TR</v>
      </c>
      <c r="C12690" s="1" t="str">
        <f>"200 MARLOW DR BAINBRIDGE COND UNIT 20"</f>
        <v>200 MARLOW DR BAINBRIDGE COND UNIT 20</v>
      </c>
      <c r="D12690" s="1">
        <v>5054.68</v>
      </c>
    </row>
    <row r="12691" spans="1:4" x14ac:dyDescent="0.3">
      <c r="A12691" s="1" t="str">
        <f>"15200055700"</f>
        <v>15200055700</v>
      </c>
      <c r="B12691" s="1" t="str">
        <f>"TONY DARK LLC"</f>
        <v>TONY DARK LLC</v>
      </c>
      <c r="C12691" s="1" t="str">
        <f>"OBETZ AVE COLUMBUS TERRACE 70 "</f>
        <v xml:space="preserve">OBETZ AVE COLUMBUS TERRACE 70 </v>
      </c>
      <c r="D12691" s="1">
        <v>340.03</v>
      </c>
    </row>
    <row r="12692" spans="1:4" x14ac:dyDescent="0.3">
      <c r="A12692" s="1" t="str">
        <f>"61020377800"</f>
        <v>61020377800</v>
      </c>
      <c r="B12692" s="1" t="str">
        <f>"TOOPS VALENCIA"</f>
        <v>TOOPS VALENCIA</v>
      </c>
      <c r="C12692" s="1" t="str">
        <f>"WORTHINGTON WOODS WEST CONDO 8 1ST AMD UNIT 11-D"</f>
        <v>WORTHINGTON WOODS WEST CONDO 8 1ST AMD UNIT 11-D</v>
      </c>
      <c r="D12692" s="1">
        <v>2431.63</v>
      </c>
    </row>
    <row r="12693" spans="1:4" x14ac:dyDescent="0.3">
      <c r="A12693" s="1" t="str">
        <f>"07001082500"</f>
        <v>07001082500</v>
      </c>
      <c r="B12693" s="1" t="str">
        <f>"TOOTHMAN SUSAN"</f>
        <v>TOOTHMAN SUSAN</v>
      </c>
      <c r="C12693" s="1" t="str">
        <f>"2160 HAVERFORD RD LANE ACRES LOT 30 "</f>
        <v xml:space="preserve">2160 HAVERFORD RD LANE ACRES LOT 30 </v>
      </c>
      <c r="D12693" s="1">
        <v>5854.91</v>
      </c>
    </row>
    <row r="12694" spans="1:4" x14ac:dyDescent="0.3">
      <c r="A12694" s="1" t="str">
        <f>"01001341800"</f>
        <v>01001341800</v>
      </c>
      <c r="B12694" s="1" t="str">
        <f>"TOPE CATHLEEN"</f>
        <v>TOPE CATHLEEN</v>
      </c>
      <c r="C12694" s="1" t="str">
        <f>"115 N WHEATLAND HIGHLAND PK LOT 32"</f>
        <v>115 N WHEATLAND HIGHLAND PK LOT 32</v>
      </c>
      <c r="D12694" s="1">
        <v>1505.99</v>
      </c>
    </row>
    <row r="12695" spans="1:4" x14ac:dyDescent="0.3">
      <c r="A12695" s="1" t="str">
        <f>"15200216500"</f>
        <v>15200216500</v>
      </c>
      <c r="B12695" s="1" t="str">
        <f>"TOPE EDWIN GREGORY"</f>
        <v>TOPE EDWIN GREGORY</v>
      </c>
      <c r="C12695" s="1" t="str">
        <f>"DARLING ESTATES LOT 200 0.363 ACRE"</f>
        <v>DARLING ESTATES LOT 200 0.363 ACRE</v>
      </c>
      <c r="D12695" s="1">
        <v>6046.7</v>
      </c>
    </row>
    <row r="12696" spans="1:4" x14ac:dyDescent="0.3">
      <c r="A12696" s="1" t="str">
        <f>"01013236600"</f>
        <v>01013236600</v>
      </c>
      <c r="B12696" s="1" t="str">
        <f>"TOPIARY PARK APARTMENTS LLC"</f>
        <v>TOPIARY PARK APARTMENTS LLC</v>
      </c>
      <c r="C12696" s="1" t="str">
        <f>"TOWN ST SEE DUP FOR DESC TRUSTEE CAPITAL UNIVERSITY 1-2"</f>
        <v>TOWN ST SEE DUP FOR DESC TRUSTEE CAPITAL UNIVERSITY 1-2</v>
      </c>
      <c r="D12696" s="1">
        <v>108.12</v>
      </c>
    </row>
    <row r="12697" spans="1:4" x14ac:dyDescent="0.3">
      <c r="A12697" s="1" t="str">
        <f>"01027305700"</f>
        <v>01027305700</v>
      </c>
      <c r="B12697" s="1" t="str">
        <f>"TORGERSON DAVID E"</f>
        <v>TORGERSON DAVID E</v>
      </c>
      <c r="C12697" s="1" t="str">
        <f>"HAMPTONS AT NEW ALBANY    PARK CONDOMINIUM 6TH AMD  BLDG 6 UNIT 6-7194       "</f>
        <v xml:space="preserve">HAMPTONS AT NEW ALBANY    PARK CONDOMINIUM 6TH AMD  BLDG 6 UNIT 6-7194       </v>
      </c>
      <c r="D12697" s="1">
        <v>1934.5</v>
      </c>
    </row>
    <row r="12698" spans="1:4" x14ac:dyDescent="0.3">
      <c r="A12698" s="1" t="str">
        <f>"04001380800"</f>
        <v>04001380800</v>
      </c>
      <c r="B12698" s="1" t="str">
        <f>"TORONTO MICHAEL J"</f>
        <v>TORONTO MICHAEL J</v>
      </c>
      <c r="C12698" s="1" t="str">
        <f>"1709 HARTIG DRIVE         PINNACLE CLUB SECTION 5   LOT 490                  "</f>
        <v xml:space="preserve">1709 HARTIG DRIVE         PINNACLE CLUB SECTION 5   LOT 490                  </v>
      </c>
      <c r="D12698" s="1">
        <v>6000.1</v>
      </c>
    </row>
    <row r="12699" spans="1:4" x14ac:dyDescent="0.3">
      <c r="A12699" s="1" t="str">
        <f>"01007486800"</f>
        <v>01007486800</v>
      </c>
      <c r="B12699" s="1" t="str">
        <f>"TORPID LLC"</f>
        <v>TORPID LLC</v>
      </c>
      <c r="C12699" s="1" t="str">
        <f>"HAMILTON AVE GRASMERE GARDENS LOT 102-103"</f>
        <v>HAMILTON AVE GRASMERE GARDENS LOT 102-103</v>
      </c>
      <c r="D12699" s="1">
        <v>775.3</v>
      </c>
    </row>
    <row r="12700" spans="1:4" x14ac:dyDescent="0.3">
      <c r="A12700" s="1" t="str">
        <f>"01016111700"</f>
        <v>01016111700</v>
      </c>
      <c r="B12700" s="1" t="str">
        <f>"TORRES ANGELO"</f>
        <v>TORRES ANGELO</v>
      </c>
      <c r="C12700" s="1" t="str">
        <f>"WOODBROOK CR S WOODBROOK VILLAGE CONDO UNIT 151"</f>
        <v>WOODBROOK CR S WOODBROOK VILLAGE CONDO UNIT 151</v>
      </c>
      <c r="D12700" s="1">
        <v>793.98</v>
      </c>
    </row>
    <row r="12701" spans="1:4" x14ac:dyDescent="0.3">
      <c r="A12701" s="1" t="str">
        <f>"01005304900"</f>
        <v>01005304900</v>
      </c>
      <c r="B12701" s="1" t="str">
        <f>"TORRES JONES ROSITA"</f>
        <v>TORRES JONES ROSITA</v>
      </c>
      <c r="C12701" s="1" t="str">
        <f>"220 HINMAN AVE MORRELL AVE SUB LOT 39"</f>
        <v>220 HINMAN AVE MORRELL AVE SUB LOT 39</v>
      </c>
      <c r="D12701" s="1">
        <v>169.9</v>
      </c>
    </row>
    <row r="12702" spans="1:4" x14ac:dyDescent="0.3">
      <c r="A12702" s="1" t="str">
        <f>"01007811400"</f>
        <v>01007811400</v>
      </c>
      <c r="B12702" s="1" t="str">
        <f>"TORRES LEONARDO, MARTINEZ PADILLA MARINA"</f>
        <v>TORRES LEONARDO, MARTINEZ PADILLA MARINA</v>
      </c>
      <c r="C12702" s="1" t="str">
        <f>"WESTLAND LOT 139 "</f>
        <v xml:space="preserve">WESTLAND LOT 139 </v>
      </c>
      <c r="D12702" s="1">
        <v>2188.2199999999998</v>
      </c>
    </row>
    <row r="12703" spans="1:4" x14ac:dyDescent="0.3">
      <c r="A12703" s="1" t="str">
        <f>"01016128700"</f>
        <v>01016128700</v>
      </c>
      <c r="B12703" s="1" t="str">
        <f>"TORRES LIEVANO ANGELO M"</f>
        <v>TORRES LIEVANO ANGELO M</v>
      </c>
      <c r="C12703" s="1" t="str">
        <f>"WOODBROOK LANE WOODBROOK VILLAGE CONDO UNIT 321"</f>
        <v>WOODBROOK LANE WOODBROOK VILLAGE CONDO UNIT 321</v>
      </c>
      <c r="D12703" s="1">
        <v>778.05</v>
      </c>
    </row>
    <row r="12704" spans="1:4" x14ac:dyDescent="0.3">
      <c r="A12704" s="1" t="str">
        <f>"01004383700"</f>
        <v>01004383700</v>
      </c>
      <c r="B12704" s="1" t="str">
        <f>"TORRES LINDA JANERA, STUCKMAN JAY THOMAS"</f>
        <v>TORRES LINDA JANERA, STUCKMAN JAY THOMAS</v>
      </c>
      <c r="C12704" s="1" t="str">
        <f>"186 S GIFT ST SCHART LOTS 5-7"</f>
        <v>186 S GIFT ST SCHART LOTS 5-7</v>
      </c>
      <c r="D12704" s="1">
        <v>1486.06</v>
      </c>
    </row>
    <row r="12705" spans="1:4" x14ac:dyDescent="0.3">
      <c r="A12705" s="1" t="str">
        <f>"01013057900"</f>
        <v>01013057900</v>
      </c>
      <c r="B12705" s="1" t="str">
        <f>"TORRES MENDEZ VICTOR M"</f>
        <v>TORRES MENDEZ VICTOR M</v>
      </c>
      <c r="C12705" s="1" t="str">
        <f>"BELDEN RD KAR-MEL VILL 3 LOT 258"</f>
        <v>BELDEN RD KAR-MEL VILL 3 LOT 258</v>
      </c>
      <c r="D12705" s="1">
        <v>4049.5</v>
      </c>
    </row>
    <row r="12706" spans="1:4" x14ac:dyDescent="0.3">
      <c r="A12706" s="1" t="str">
        <f>"01005113200"</f>
        <v>01005113200</v>
      </c>
      <c r="B12706" s="1" t="str">
        <f>"TORRES PENATE WALTER M"</f>
        <v>TORRES PENATE WALTER M</v>
      </c>
      <c r="C12706" s="1" t="str">
        <f>"486 S BURGESS AVE BRONX LOT 101-102"</f>
        <v>486 S BURGESS AVE BRONX LOT 101-102</v>
      </c>
      <c r="D12706" s="1">
        <v>2527.7199999999998</v>
      </c>
    </row>
    <row r="12707" spans="1:4" x14ac:dyDescent="0.3">
      <c r="A12707" s="1" t="str">
        <f>"01005119100"</f>
        <v>01005119100</v>
      </c>
      <c r="B12707" s="1" t="str">
        <f>"TORRES SANJUANITA"</f>
        <v>TORRES SANJUANITA</v>
      </c>
      <c r="C12707" s="1" t="str">
        <f>"398 S RICHARDSON BRONX LOT 181"</f>
        <v>398 S RICHARDSON BRONX LOT 181</v>
      </c>
      <c r="D12707" s="1">
        <v>1946.83</v>
      </c>
    </row>
    <row r="12708" spans="1:4" x14ac:dyDescent="0.3">
      <c r="A12708" s="1" t="str">
        <f>"18100064800"</f>
        <v>18100064800</v>
      </c>
      <c r="B12708" s="1" t="str">
        <f>"TORREZ ESPINOSA JAVIER"</f>
        <v>TORREZ ESPINOSA JAVIER</v>
      </c>
      <c r="C12708" s="1" t="str">
        <f>"HAYES RD R21 T10 S2 5.007 ACRES"</f>
        <v>HAYES RD R21 T10 S2 5.007 ACRES</v>
      </c>
      <c r="D12708" s="1">
        <v>4425.66</v>
      </c>
    </row>
    <row r="12709" spans="1:4" x14ac:dyDescent="0.3">
      <c r="A12709" s="1" t="str">
        <f>"05001053800"</f>
        <v>05001053800</v>
      </c>
      <c r="B12709" s="1" t="str">
        <f>"TORTILLA HOLDINGS LLC"</f>
        <v>TORTILLA HOLDINGS LLC</v>
      </c>
      <c r="C12709" s="1" t="str">
        <f>"GRANT ST VMS 3453 PT VAC ST=0.115 ACRE"</f>
        <v>GRANT ST VMS 3453 PT VAC ST=0.115 ACRE</v>
      </c>
      <c r="D12709" s="1">
        <v>103.08</v>
      </c>
    </row>
    <row r="12710" spans="1:4" x14ac:dyDescent="0.3">
      <c r="A12710" s="1" t="str">
        <f>"01009519800"</f>
        <v>01009519800</v>
      </c>
      <c r="B12710" s="1" t="str">
        <f>"TOTH ISABEL H TR, MCCAFFREY THOMAS R TR (THOMAS R MCCAFFREY TRUST DATED THE 13TH DAY OF APRIL 1995)"</f>
        <v>TOTH ISABEL H TR, MCCAFFREY THOMAS R TR (THOMAS R MCCAFFREY TRUST DATED THE 13TH DAY OF APRIL 1995)</v>
      </c>
      <c r="C12710" s="1" t="str">
        <f>"W WEISHEIMER RD .841 ACRE LOT 2"</f>
        <v>W WEISHEIMER RD .841 ACRE LOT 2</v>
      </c>
      <c r="D12710" s="1">
        <v>394.31</v>
      </c>
    </row>
    <row r="12711" spans="1:4" x14ac:dyDescent="0.3">
      <c r="A12711" s="1" t="str">
        <f>"14000166200"</f>
        <v>14000166200</v>
      </c>
      <c r="B12711" s="1" t="str">
        <f>"TOTMAN CHRISTINA"</f>
        <v>TOTMAN CHRISTINA</v>
      </c>
      <c r="C12711" s="1" t="str">
        <f>"1701 JACKSON CITY FARM LOT 53"</f>
        <v>1701 JACKSON CITY FARM LOT 53</v>
      </c>
      <c r="D12711" s="1">
        <v>180.65</v>
      </c>
    </row>
    <row r="12712" spans="1:4" x14ac:dyDescent="0.3">
      <c r="A12712" s="1" t="str">
        <f>"57017067300"</f>
        <v>57017067300</v>
      </c>
      <c r="B12712" s="1" t="str">
        <f>"TOWFIQ HOME OWNERSHIP COMPANY LLC, MOHAMMED SHARIFF, ALI DEKA"</f>
        <v>TOWFIQ HOME OWNERSHIP COMPANY LLC, MOHAMMED SHARIFF, ALI DEKA</v>
      </c>
      <c r="C12712" s="1" t="str">
        <f>"SAFFRON PL LAUREL GREENE SEC 3 PHASE 1 LOT 271"</f>
        <v>SAFFRON PL LAUREL GREENE SEC 3 PHASE 1 LOT 271</v>
      </c>
      <c r="D12712" s="1">
        <v>2442.5100000000002</v>
      </c>
    </row>
    <row r="12713" spans="1:4" x14ac:dyDescent="0.3">
      <c r="A12713" s="1" t="str">
        <f>"16000311600"</f>
        <v>16000311600</v>
      </c>
      <c r="B12713" s="1" t="str">
        <f>"TOWLEASE PROPERTIES III LLC"</f>
        <v>TOWLEASE PROPERTIES III LLC</v>
      </c>
      <c r="C12713" s="1" t="str">
        <f>"HAUGHN RD ENTRY 1434 3.369 ACRES (0.110 ACRE IN R/W)"</f>
        <v>HAUGHN RD ENTRY 1434 3.369 ACRES (0.110 ACRE IN R/W)</v>
      </c>
      <c r="D12713" s="1">
        <v>52061.86</v>
      </c>
    </row>
    <row r="12714" spans="1:4" x14ac:dyDescent="0.3">
      <c r="A12714" s="1" t="str">
        <f>"56021920100"</f>
        <v>56021920100</v>
      </c>
      <c r="B12714" s="1" t="str">
        <f>"TOWLEASE PROPERTIES LLC"</f>
        <v>TOWLEASE PROPERTIES LLC</v>
      </c>
      <c r="C12714" s="1" t="str">
        <f>"MILEPOST COURT E J B WAREHOUSE PARK LOT 4"</f>
        <v>MILEPOST COURT E J B WAREHOUSE PARK LOT 4</v>
      </c>
      <c r="D12714" s="1">
        <v>68594.34</v>
      </c>
    </row>
    <row r="12715" spans="1:4" x14ac:dyDescent="0.3">
      <c r="A12715" s="1" t="str">
        <f>"01009847400"</f>
        <v>01009847400</v>
      </c>
      <c r="B12715" s="1" t="str">
        <f>"TOWNS FRANK M"</f>
        <v>TOWNS FRANK M</v>
      </c>
      <c r="C12715" s="1" t="str">
        <f>"BANCROFT ST NORLEA PK LOT 214 215"</f>
        <v>BANCROFT ST NORLEA PK LOT 214 215</v>
      </c>
      <c r="D12715" s="1">
        <v>500.26</v>
      </c>
    </row>
    <row r="12716" spans="1:4" x14ac:dyDescent="0.3">
      <c r="A12716" s="1" t="str">
        <f>"49024300600"</f>
        <v>49024300600</v>
      </c>
      <c r="B12716" s="1" t="str">
        <f>"TOWNS LEANDRA D"</f>
        <v>TOWNS LEANDRA D</v>
      </c>
      <c r="C12716" s="1" t="str">
        <f>"MEADOWS AT WINCHESTER SECTION 2 LOT 85"</f>
        <v>MEADOWS AT WINCHESTER SECTION 2 LOT 85</v>
      </c>
      <c r="D12716" s="1">
        <v>413.54</v>
      </c>
    </row>
    <row r="12717" spans="1:4" x14ac:dyDescent="0.3">
      <c r="A12717" s="1" t="str">
        <f>"01006583700"</f>
        <v>01006583700</v>
      </c>
      <c r="B12717" s="1" t="str">
        <f>"TOWNSEND BARIA"</f>
        <v>TOWNSEND BARIA</v>
      </c>
      <c r="C12717" s="1" t="str">
        <f>"2195 SPRINGMONT AVE HAZELWOOD LOT 38 &amp; RES E"</f>
        <v>2195 SPRINGMONT AVE HAZELWOOD LOT 38 &amp; RES E</v>
      </c>
      <c r="D12717" s="1">
        <v>2119.19</v>
      </c>
    </row>
    <row r="12718" spans="1:4" x14ac:dyDescent="0.3">
      <c r="A12718" s="1" t="str">
        <f>"24000210200"</f>
        <v>24000210200</v>
      </c>
      <c r="B12718" s="1" t="str">
        <f>"TOWNSEND JAMES K, TOWNSEND LINDA L"</f>
        <v>TOWNSEND JAMES K, TOWNSEND LINDA L</v>
      </c>
      <c r="C12718" s="1" t="str">
        <f>"EVERGREEN TERRACE ROME MANOR LOT 309-310"</f>
        <v>EVERGREEN TERRACE ROME MANOR LOT 309-310</v>
      </c>
      <c r="D12718" s="1">
        <v>79.22</v>
      </c>
    </row>
    <row r="12719" spans="1:4" x14ac:dyDescent="0.3">
      <c r="A12719" s="1" t="str">
        <f>"01007011100"</f>
        <v>01007011100</v>
      </c>
      <c r="B12719" s="1" t="str">
        <f>"TOWNSEND LALA"</f>
        <v>TOWNSEND LALA</v>
      </c>
      <c r="C12719" s="1" t="str">
        <f>"REPUBLIC AVE MULBUR PARK LOT 118"</f>
        <v>REPUBLIC AVE MULBUR PARK LOT 118</v>
      </c>
      <c r="D12719" s="1">
        <v>385.33</v>
      </c>
    </row>
    <row r="12720" spans="1:4" x14ac:dyDescent="0.3">
      <c r="A12720" s="1" t="str">
        <f>"15000050000"</f>
        <v>15000050000</v>
      </c>
      <c r="B12720" s="1" t="str">
        <f>"TOWNSEND SCOTT, TOWNSEND KATRINA M"</f>
        <v>TOWNSEND SCOTT, TOWNSEND KATRINA M</v>
      </c>
      <c r="C12720" s="1" t="str">
        <f>"LISLE AVE WALNUT HTS LOT 69 "</f>
        <v xml:space="preserve">LISLE AVE WALNUT HTS LOT 69 </v>
      </c>
      <c r="D12720" s="1">
        <v>507.51</v>
      </c>
    </row>
    <row r="12721" spans="1:4" x14ac:dyDescent="0.3">
      <c r="A12721" s="1" t="str">
        <f>"15000050100"</f>
        <v>15000050100</v>
      </c>
      <c r="B12721" s="1" t="str">
        <f>"TOWNSEND SCOTT, TOWNSEND KATRINA M"</f>
        <v>TOWNSEND SCOTT, TOWNSEND KATRINA M</v>
      </c>
      <c r="C12721" s="1" t="str">
        <f>"2028-030 LISLE AVE WALNUT HTS 70 "</f>
        <v xml:space="preserve">2028-030 LISLE AVE WALNUT HTS 70 </v>
      </c>
      <c r="D12721" s="1">
        <v>3075.47</v>
      </c>
    </row>
    <row r="12722" spans="1:4" x14ac:dyDescent="0.3">
      <c r="A12722" s="1" t="str">
        <f>"01012644200"</f>
        <v>01012644200</v>
      </c>
      <c r="B12722" s="1" t="str">
        <f>"TOWNVIEW PROPERTIES LLC"</f>
        <v>TOWNVIEW PROPERTIES LLC</v>
      </c>
      <c r="C12722" s="1" t="str">
        <f>"12TH AVE LEA CREST LOT 53"</f>
        <v>12TH AVE LEA CREST LOT 53</v>
      </c>
      <c r="D12722" s="1">
        <v>33.43</v>
      </c>
    </row>
    <row r="12723" spans="1:4" x14ac:dyDescent="0.3">
      <c r="A12723" s="1" t="str">
        <f>"01011670800"</f>
        <v>01011670800</v>
      </c>
      <c r="B12723" s="1" t="str">
        <f>"TOY DONNA"</f>
        <v>TOY DONNA</v>
      </c>
      <c r="C12723" s="1" t="str">
        <f>"BENSON DR LEA-WOOD GDNS 3 LOT 24"</f>
        <v>BENSON DR LEA-WOOD GDNS 3 LOT 24</v>
      </c>
      <c r="D12723" s="1">
        <v>3504.71</v>
      </c>
    </row>
    <row r="12724" spans="1:4" x14ac:dyDescent="0.3">
      <c r="A12724" s="1" t="str">
        <f>"59023688800"</f>
        <v>59023688800</v>
      </c>
      <c r="B12724" s="1" t="str">
        <f>"TR2 PROPERTIES LLC"</f>
        <v>TR2 PROPERTIES LLC</v>
      </c>
      <c r="C12724" s="1" t="str">
        <f>"DUBLIN GREEN CONDOMINIUM 7TH AMD UNIT 6705-103"</f>
        <v>DUBLIN GREEN CONDOMINIUM 7TH AMD UNIT 6705-103</v>
      </c>
      <c r="D12724" s="1">
        <v>2235.2399999999998</v>
      </c>
    </row>
    <row r="12725" spans="1:4" x14ac:dyDescent="0.3">
      <c r="A12725" s="1" t="str">
        <f>"21000349800"</f>
        <v>21000349800</v>
      </c>
      <c r="B12725" s="1" t="str">
        <f>"TRABUE TED K"</f>
        <v>TRABUE TED K</v>
      </c>
      <c r="C12725" s="1" t="str">
        <f>"ARLINGTON POINTE CONDOMINIUM UNIT K 2571"</f>
        <v>ARLINGTON POINTE CONDOMINIUM UNIT K 2571</v>
      </c>
      <c r="D12725" s="1">
        <v>263.81</v>
      </c>
    </row>
    <row r="12726" spans="1:4" x14ac:dyDescent="0.3">
      <c r="A12726" s="1" t="str">
        <f>"01014869800"</f>
        <v>01014869800</v>
      </c>
      <c r="B12726" s="1" t="str">
        <f>"TRADEINYOURHOUSE.COM LLC"</f>
        <v>TRADEINYOURHOUSE.COM LLC</v>
      </c>
      <c r="C12726" s="1" t="str">
        <f>"OLD FARM RD GREENBRIER FARM 4 LOT 59"</f>
        <v>OLD FARM RD GREENBRIER FARM 4 LOT 59</v>
      </c>
      <c r="D12726" s="1">
        <v>5077.99</v>
      </c>
    </row>
    <row r="12727" spans="1:4" x14ac:dyDescent="0.3">
      <c r="A12727" s="1" t="str">
        <f>"08001171400"</f>
        <v>08001171400</v>
      </c>
      <c r="B12727" s="1" t="str">
        <f>"TRADITIONS AT WESTERVILLE"</f>
        <v>TRADITIONS AT WESTERVILLE</v>
      </c>
      <c r="C12727" s="1" t="str">
        <f>"TOWN OF AMALTHEA PT LTS 51-57 &amp; PT STS 3.864 ACRES"</f>
        <v>TOWN OF AMALTHEA PT LTS 51-57 &amp; PT STS 3.864 ACRES</v>
      </c>
      <c r="D12727" s="1">
        <v>70887.179999999993</v>
      </c>
    </row>
    <row r="12728" spans="1:4" x14ac:dyDescent="0.3">
      <c r="A12728" s="1" t="str">
        <f>"59022368300"</f>
        <v>59022368300</v>
      </c>
      <c r="B12728" s="1" t="str">
        <f>"TRAGER ZOLOTAREV KRISTIN"</f>
        <v>TRAGER ZOLOTAREV KRISTIN</v>
      </c>
      <c r="C12728" s="1" t="str">
        <f>"BETHEL VILLAGE CONDOMINIUM 6TH AMD UNIT 67C"</f>
        <v>BETHEL VILLAGE CONDOMINIUM 6TH AMD UNIT 67C</v>
      </c>
      <c r="D12728" s="1">
        <v>635.53</v>
      </c>
    </row>
    <row r="12729" spans="1:4" x14ac:dyDescent="0.3">
      <c r="A12729" s="1" t="str">
        <f>"18000079000"</f>
        <v>18000079000</v>
      </c>
      <c r="B12729" s="1" t="str">
        <f>"TRAGO DENISE A"</f>
        <v>TRAGO DENISE A</v>
      </c>
      <c r="C12729" s="1" t="str">
        <f>"KATHERINE RD EDGE- WATER PK PARCELS S 198"</f>
        <v>KATHERINE RD EDGE- WATER PK PARCELS S 198</v>
      </c>
      <c r="D12729" s="1">
        <v>627.19000000000005</v>
      </c>
    </row>
    <row r="12730" spans="1:4" x14ac:dyDescent="0.3">
      <c r="A12730" s="1" t="str">
        <f>"18000079100"</f>
        <v>18000079100</v>
      </c>
      <c r="B12730" s="1" t="str">
        <f>"TRAGO DENISE A"</f>
        <v>TRAGO DENISE A</v>
      </c>
      <c r="C12730" s="1" t="str">
        <f>"KATHERINE RD EDGE- WATER PK PARCELS S 199"</f>
        <v>KATHERINE RD EDGE- WATER PK PARCELS S 199</v>
      </c>
      <c r="D12730" s="1">
        <v>1885.57</v>
      </c>
    </row>
    <row r="12731" spans="1:4" x14ac:dyDescent="0.3">
      <c r="A12731" s="1" t="str">
        <f>"27300883900"</f>
        <v>27300883900</v>
      </c>
      <c r="B12731" s="1" t="str">
        <f>"TRAILS END HOLDINGS LLC"</f>
        <v>TRAILS END HOLDINGS LLC</v>
      </c>
      <c r="C12731" s="1" t="str">
        <f>"SUMMIT VIEW PK R19 T2 1/4T2 1.532 ACRES"</f>
        <v>SUMMIT VIEW PK R19 T2 1/4T2 1.532 ACRES</v>
      </c>
      <c r="D12731" s="1">
        <v>12438.91</v>
      </c>
    </row>
    <row r="12732" spans="1:4" x14ac:dyDescent="0.3">
      <c r="A12732" s="1" t="str">
        <f>"27300905600"</f>
        <v>27300905600</v>
      </c>
      <c r="B12732" s="1" t="str">
        <f>"TRAILS END HOLDINGS LLC"</f>
        <v>TRAILS END HOLDINGS LLC</v>
      </c>
      <c r="C12732" s="1" t="str">
        <f>"SUMMIT VIEW PIKE R19 T2 1/4T2 1.856 ACRES"</f>
        <v>SUMMIT VIEW PIKE R19 T2 1/4T2 1.856 ACRES</v>
      </c>
      <c r="D12732" s="1">
        <v>2912.95</v>
      </c>
    </row>
    <row r="12733" spans="1:4" x14ac:dyDescent="0.3">
      <c r="A12733" s="1" t="str">
        <f>"01012994500"</f>
        <v>01012994500</v>
      </c>
      <c r="B12733" s="1" t="str">
        <f>"TRAN CHARLES KHUONG"</f>
        <v>TRAN CHARLES KHUONG</v>
      </c>
      <c r="C12733" s="1" t="str">
        <f>"KARL RD ALL LOT4&amp;20FT S S 5 FOREST PARK"</f>
        <v>KARL RD ALL LOT4&amp;20FT S S 5 FOREST PARK</v>
      </c>
      <c r="D12733" s="1">
        <v>2377.48</v>
      </c>
    </row>
    <row r="12734" spans="1:4" x14ac:dyDescent="0.3">
      <c r="A12734" s="1" t="str">
        <f>"60018037200"</f>
        <v>60018037200</v>
      </c>
      <c r="B12734" s="1" t="str">
        <f>"TRAN DUC H, NGUYEN NGOC T"</f>
        <v>TRAN DUC H, NGUYEN NGOC T</v>
      </c>
      <c r="C12734" s="1" t="str">
        <f>"GLENHAVEN DR BRANDYWINE MEADOWS 3 RESERVE C .183 ACRE"</f>
        <v>GLENHAVEN DR BRANDYWINE MEADOWS 3 RESERVE C .183 ACRE</v>
      </c>
      <c r="D12734" s="1">
        <v>119.68</v>
      </c>
    </row>
    <row r="12735" spans="1:4" x14ac:dyDescent="0.3">
      <c r="A12735" s="1" t="str">
        <f>"01004949900"</f>
        <v>01004949900</v>
      </c>
      <c r="B12735" s="1" t="str">
        <f>"TRAN KHANH C"</f>
        <v>TRAN KHANH C</v>
      </c>
      <c r="C12735" s="1" t="str">
        <f>"1432 N CLEVELAND AVE  35.25' X 175.50'"</f>
        <v>1432 N CLEVELAND AVE  35.25' X 175.50'</v>
      </c>
      <c r="D12735" s="1">
        <v>1340.68</v>
      </c>
    </row>
    <row r="12736" spans="1:4" x14ac:dyDescent="0.3">
      <c r="A12736" s="1" t="str">
        <f>"18000073200"</f>
        <v>18000073200</v>
      </c>
      <c r="B12736" s="1" t="str">
        <f>"TRAN KHANH HOA, NGUYEN XUAN THOA T"</f>
        <v>TRAN KHANH HOA, NGUYEN XUAN THOA T</v>
      </c>
      <c r="C12736" s="1" t="str">
        <f>"MADELINE DR 20FT WS EDGEWATER PK PARCELS S 140"</f>
        <v>MADELINE DR 20FT WS EDGEWATER PK PARCELS S 140</v>
      </c>
      <c r="D12736" s="1">
        <v>34.79</v>
      </c>
    </row>
    <row r="12737" spans="1:4" x14ac:dyDescent="0.3">
      <c r="A12737" s="1" t="str">
        <f>"18000073300"</f>
        <v>18000073300</v>
      </c>
      <c r="B12737" s="1" t="str">
        <f>"TRAN KHANH HOA, NGUYEN XUAN THOA T"</f>
        <v>TRAN KHANH HOA, NGUYEN XUAN THOA T</v>
      </c>
      <c r="C12737" s="1" t="str">
        <f>"MADELINE DR EDGEWATR PARK PARCELS SOUTH 141"</f>
        <v>MADELINE DR EDGEWATR PARK PARCELS SOUTH 141</v>
      </c>
      <c r="D12737" s="1">
        <v>109.74</v>
      </c>
    </row>
    <row r="12738" spans="1:4" x14ac:dyDescent="0.3">
      <c r="A12738" s="1" t="str">
        <f>"59018021500"</f>
        <v>59018021500</v>
      </c>
      <c r="B12738" s="1" t="str">
        <f>"TRAN LONG, JOHNSON HUNTER"</f>
        <v>TRAN LONG, JOHNSON HUNTER</v>
      </c>
      <c r="C12738" s="1" t="str">
        <f>"FRALEY CT MCKITRICK ESTATES 6 LOT 160"</f>
        <v>FRALEY CT MCKITRICK ESTATES 6 LOT 160</v>
      </c>
      <c r="D12738" s="1">
        <v>364.22</v>
      </c>
    </row>
    <row r="12739" spans="1:4" x14ac:dyDescent="0.3">
      <c r="A12739" s="1" t="str">
        <f>"23000004400"</f>
        <v>23000004400</v>
      </c>
      <c r="B12739" s="1" t="str">
        <f>"TRAPPER JOHNS REAL ESTATE LTD"</f>
        <v>TRAPPER JOHNS REAL ESTATE LTD</v>
      </c>
      <c r="C12739" s="1" t="str">
        <f>"7141 LONDON GROVEPORT RD 3.102 ACS ENTRY 978"</f>
        <v>7141 LONDON GROVEPORT RD 3.102 ACS ENTRY 978</v>
      </c>
      <c r="D12739" s="1">
        <v>286.23</v>
      </c>
    </row>
    <row r="12740" spans="1:4" x14ac:dyDescent="0.3">
      <c r="A12740" s="1" t="str">
        <f>"23000090500"</f>
        <v>23000090500</v>
      </c>
      <c r="B12740" s="1" t="str">
        <f>"TRAPPER JOHNS REAL ESTATE LTD"</f>
        <v>TRAPPER JOHNS REAL ESTATE LTD</v>
      </c>
      <c r="C12740" s="1" t="str">
        <f>"HARRIS PIKE 3.6548 ACRES ENTRY 2595"</f>
        <v>HARRIS PIKE 3.6548 ACRES ENTRY 2595</v>
      </c>
      <c r="D12740" s="1">
        <v>139.05000000000001</v>
      </c>
    </row>
    <row r="12741" spans="1:4" x14ac:dyDescent="0.3">
      <c r="A12741" s="1" t="str">
        <f>"23000012400"</f>
        <v>23000012400</v>
      </c>
      <c r="B12741" s="1" t="str">
        <f>"TRAPPER JOHN'S REAL ESTATE LTD"</f>
        <v>TRAPPER JOHN'S REAL ESTATE LTD</v>
      </c>
      <c r="C12741" s="1" t="str">
        <f>"7356 LONDON GROVEPORT RD ENTRY 978 33.973 ACRES"</f>
        <v>7356 LONDON GROVEPORT RD ENTRY 978 33.973 ACRES</v>
      </c>
      <c r="D12741" s="1">
        <v>229.03</v>
      </c>
    </row>
    <row r="12742" spans="1:4" x14ac:dyDescent="0.3">
      <c r="A12742" s="1" t="str">
        <f>"01012945000"</f>
        <v>01012945000</v>
      </c>
      <c r="B12742" s="1" t="str">
        <f>"TRASIN DONALD"</f>
        <v>TRASIN DONALD</v>
      </c>
      <c r="C12742" s="1" t="str">
        <f>"CRESTWOOD AVE SCOTTWOOD 2 LOT 140-141-142"</f>
        <v>CRESTWOOD AVE SCOTTWOOD 2 LOT 140-141-142</v>
      </c>
      <c r="D12742" s="1">
        <v>200.73</v>
      </c>
    </row>
    <row r="12743" spans="1:4" x14ac:dyDescent="0.3">
      <c r="A12743" s="1" t="str">
        <f>"01006572800"</f>
        <v>01006572800</v>
      </c>
      <c r="B12743" s="1" t="str">
        <f>"TRAVIS SAMMIE"</f>
        <v>TRAVIS SAMMIE</v>
      </c>
      <c r="C12743" s="1" t="str">
        <f>"1652-54 WALSH FOREST HILL LOT 87"</f>
        <v>1652-54 WALSH FOREST HILL LOT 87</v>
      </c>
      <c r="D12743" s="1">
        <v>1975.68</v>
      </c>
    </row>
    <row r="12744" spans="1:4" x14ac:dyDescent="0.3">
      <c r="A12744" s="1" t="str">
        <f>"61024780200"</f>
        <v>61024780200</v>
      </c>
      <c r="B12744" s="1" t="str">
        <f>"TRAX DOROTHY M"</f>
        <v>TRAX DOROTHY M</v>
      </c>
      <c r="C12744" s="1" t="str">
        <f>"MOUNT AIR CONDOMINIUM UNIT 8196 "</f>
        <v xml:space="preserve">MOUNT AIR CONDOMINIUM UNIT 8196 </v>
      </c>
      <c r="D12744" s="1">
        <v>1195.76</v>
      </c>
    </row>
    <row r="12745" spans="1:4" x14ac:dyDescent="0.3">
      <c r="A12745" s="1" t="str">
        <f>"61016668100"</f>
        <v>61016668100</v>
      </c>
      <c r="B12745" s="1" t="str">
        <f>"TRAYLOR ETHEL M"</f>
        <v>TRAYLOR ETHEL M</v>
      </c>
      <c r="C12745" s="1" t="str">
        <f>"663 PARK RD 1.086 ACRES LOT 7-8"</f>
        <v>663 PARK RD 1.086 ACRES LOT 7-8</v>
      </c>
      <c r="D12745" s="1">
        <v>343.62</v>
      </c>
    </row>
    <row r="12746" spans="1:4" x14ac:dyDescent="0.3">
      <c r="A12746" s="1" t="str">
        <f>"01030033200"</f>
        <v>01030033200</v>
      </c>
      <c r="B12746" s="1" t="str">
        <f>"TREBNICK LINDA K TTEE"</f>
        <v>TREBNICK LINDA K TTEE</v>
      </c>
      <c r="C12746" s="1" t="str">
        <f>"RESERVE AT EAGLE TRACE CONDOMINIUM 10TH AMD UNIT 57"</f>
        <v>RESERVE AT EAGLE TRACE CONDOMINIUM 10TH AMD UNIT 57</v>
      </c>
      <c r="D12746" s="1">
        <v>780.37</v>
      </c>
    </row>
    <row r="12747" spans="1:4" x14ac:dyDescent="0.3">
      <c r="A12747" s="1" t="str">
        <f>"01008407500"</f>
        <v>01008407500</v>
      </c>
      <c r="B12747" s="1" t="str">
        <f>"TREE OF LIFE CHRISTIAN SCHOOL INC"</f>
        <v>TREE OF LIFE CHRISTIAN SCHOOL INC</v>
      </c>
      <c r="C12747" s="1" t="str">
        <f>"MAIZE RD .247ACRES R18 T 1 1/4T 1 LOT 6"</f>
        <v>MAIZE RD .247ACRES R18 T 1 1/4T 1 LOT 6</v>
      </c>
      <c r="D12747" s="1">
        <v>3111.38</v>
      </c>
    </row>
    <row r="12748" spans="1:4" x14ac:dyDescent="0.3">
      <c r="A12748" s="1" t="str">
        <f>"01001461200"</f>
        <v>01001461200</v>
      </c>
      <c r="B12748" s="1" t="str">
        <f>"TREE OF LIFE CHRISTIAN SCHOOL INC"</f>
        <v>TREE OF LIFE CHRISTIAN SCHOOL INC</v>
      </c>
      <c r="C12748" s="1" t="str">
        <f>"MAIZE RD .5108 ACRE LOT 6"</f>
        <v>MAIZE RD .5108 ACRE LOT 6</v>
      </c>
      <c r="D12748" s="1">
        <v>299.45999999999998</v>
      </c>
    </row>
    <row r="12749" spans="1:4" x14ac:dyDescent="0.3">
      <c r="A12749" s="1" t="str">
        <f>"01009656600"</f>
        <v>01009656600</v>
      </c>
      <c r="B12749" s="1" t="str">
        <f>"TREE TOP PROPERTIES LLC"</f>
        <v>TREE TOP PROPERTIES LLC</v>
      </c>
      <c r="C12749" s="1" t="str">
        <f>"INDIAN SPRINGS SEE DUPLICATE "</f>
        <v xml:space="preserve">INDIAN SPRINGS SEE DUPLICATE </v>
      </c>
      <c r="D12749" s="1">
        <v>3688.61</v>
      </c>
    </row>
    <row r="12750" spans="1:4" x14ac:dyDescent="0.3">
      <c r="A12750" s="1" t="str">
        <f>"02000209300"</f>
        <v>02000209300</v>
      </c>
      <c r="B12750" s="1" t="str">
        <f>"TREINEN URSULA"</f>
        <v>TREINEN URSULA</v>
      </c>
      <c r="C12750" s="1" t="str">
        <f>"780 EUCLAIRE AVE BEXLEY PLAZA 42 "</f>
        <v xml:space="preserve">780 EUCLAIRE AVE BEXLEY PLAZA 42 </v>
      </c>
      <c r="D12750" s="1">
        <v>353.06</v>
      </c>
    </row>
    <row r="12751" spans="1:4" x14ac:dyDescent="0.3">
      <c r="A12751" s="1" t="str">
        <f>"17000125900"</f>
        <v>17000125900</v>
      </c>
      <c r="B12751" s="1" t="str">
        <f>"TREMANTE VINCENT J, TREMANTE AMY L"</f>
        <v>TREMANTE VINCENT J, TREMANTE AMY L</v>
      </c>
      <c r="C12751" s="1" t="str">
        <f>"3701 PAMELA DR ROCKY FORK ESTATES 2 LOT 37 &amp; 0.124 ACRE"</f>
        <v>3701 PAMELA DR ROCKY FORK ESTATES 2 LOT 37 &amp; 0.124 ACRE</v>
      </c>
      <c r="D12751" s="1">
        <v>767.08</v>
      </c>
    </row>
    <row r="12752" spans="1:4" x14ac:dyDescent="0.3">
      <c r="A12752" s="1" t="str">
        <f>"06000322000"</f>
        <v>06000322000</v>
      </c>
      <c r="B12752" s="1" t="str">
        <f>"TREND SETTER CONSULTING LLC"</f>
        <v>TREND SETTER CONSULTING LLC</v>
      </c>
      <c r="C12752" s="1" t="str">
        <f>"GILETTE DR H C HUBER PLAT 36 SEC 4 794"</f>
        <v>GILETTE DR H C HUBER PLAT 36 SEC 4 794</v>
      </c>
      <c r="D12752" s="1">
        <v>1982.28</v>
      </c>
    </row>
    <row r="12753" spans="1:4" x14ac:dyDescent="0.3">
      <c r="A12753" s="1" t="str">
        <f>"01019431800"</f>
        <v>01019431800</v>
      </c>
      <c r="B12753" s="1" t="str">
        <f>"TREPICONE JOE"</f>
        <v>TREPICONE JOE</v>
      </c>
      <c r="C12753" s="1" t="str">
        <f>"5315-102 PORTLAND ST NORTHAMPTON VILLAGE CONDO PH1 BLDG 3 UNIT 50"</f>
        <v>5315-102 PORTLAND ST NORTHAMPTON VILLAGE CONDO PH1 BLDG 3 UNIT 50</v>
      </c>
      <c r="D12753" s="1">
        <v>1122.1600000000001</v>
      </c>
    </row>
    <row r="12754" spans="1:4" x14ac:dyDescent="0.3">
      <c r="A12754" s="1" t="str">
        <f>"02500770100"</f>
        <v>02500770100</v>
      </c>
      <c r="B12754" s="1" t="str">
        <f>"TRESKUNOV IGOR, TRESKUNOVA INNA"</f>
        <v>TRESKUNOV IGOR, TRESKUNOVA INNA</v>
      </c>
      <c r="C12754" s="1" t="str">
        <f>"186 GREENBANK ROAD CHERRY BOTTOM GLADE LOT 107"</f>
        <v>186 GREENBANK ROAD CHERRY BOTTOM GLADE LOT 107</v>
      </c>
      <c r="D12754" s="1">
        <v>3329.15</v>
      </c>
    </row>
    <row r="12755" spans="1:4" x14ac:dyDescent="0.3">
      <c r="A12755" s="1" t="str">
        <f>"11000234000"</f>
        <v>11000234000</v>
      </c>
      <c r="B12755" s="1" t="str">
        <f>"TRETO ARMANDO, TRETO ARMANDO S"</f>
        <v>TRETO ARMANDO, TRETO ARMANDO S</v>
      </c>
      <c r="C12755" s="1" t="str">
        <f>"4628 CLEVELAND AVE ALL 4 &amp; 8FT NS 3 CLEVELAND HTS 3-4"</f>
        <v>4628 CLEVELAND AVE ALL 4 &amp; 8FT NS 3 CLEVELAND HTS 3-4</v>
      </c>
      <c r="D12755" s="1">
        <v>1810.59</v>
      </c>
    </row>
    <row r="12756" spans="1:4" x14ac:dyDescent="0.3">
      <c r="A12756" s="1" t="str">
        <f>"01006606400"</f>
        <v>01006606400</v>
      </c>
      <c r="B12756" s="1" t="str">
        <f>"TREVOR HOMES LLC"</f>
        <v>TREVOR HOMES LLC</v>
      </c>
      <c r="C12756" s="1" t="str">
        <f>"2872 E SIXTH AVE CASSADYS 5TH AVE LOT 159"</f>
        <v>2872 E SIXTH AVE CASSADYS 5TH AVE LOT 159</v>
      </c>
      <c r="D12756" s="1">
        <v>1993.24</v>
      </c>
    </row>
    <row r="12757" spans="1:4" x14ac:dyDescent="0.3">
      <c r="A12757" s="1" t="str">
        <f>"07000229900"</f>
        <v>07000229900</v>
      </c>
      <c r="B12757" s="1" t="str">
        <f>"TREVOR HOMES LLC"</f>
        <v>TREVOR HOMES LLC</v>
      </c>
      <c r="C12757" s="1" t="str">
        <f>"1951 COLLINGSWOOD RD UPPER ARLINGTON LOT 16 BLK 136"</f>
        <v>1951 COLLINGSWOOD RD UPPER ARLINGTON LOT 16 BLK 136</v>
      </c>
      <c r="D12757" s="1">
        <v>17950.18</v>
      </c>
    </row>
    <row r="12758" spans="1:4" x14ac:dyDescent="0.3">
      <c r="A12758" s="1" t="str">
        <f>"01032857900"</f>
        <v>01032857900</v>
      </c>
      <c r="B12758" s="1" t="str">
        <f>"TREVOR HOMES LLC"</f>
        <v>TREVOR HOMES LLC</v>
      </c>
      <c r="C12758" s="1" t="str">
        <f>"37 W 2ND AVE J R HUGHES PT LOT 1 &amp; PT AL VAC"</f>
        <v>37 W 2ND AVE J R HUGHES PT LOT 1 &amp; PT AL VAC</v>
      </c>
      <c r="D12758" s="1">
        <v>10051.459999999999</v>
      </c>
    </row>
    <row r="12759" spans="1:4" x14ac:dyDescent="0.3">
      <c r="A12759" s="1" t="str">
        <f>"01000333200"</f>
        <v>01000333200</v>
      </c>
      <c r="B12759" s="1" t="str">
        <f>"TRI FUTURE LLC"</f>
        <v>TRI FUTURE LLC</v>
      </c>
      <c r="C12759" s="1" t="str">
        <f>"994 SHOEMAKER AVE SHOEMAKER LOT 11"</f>
        <v>994 SHOEMAKER AVE SHOEMAKER LOT 11</v>
      </c>
      <c r="D12759" s="1">
        <v>59.04</v>
      </c>
    </row>
    <row r="12760" spans="1:4" x14ac:dyDescent="0.3">
      <c r="A12760" s="1" t="str">
        <f>"02500014800"</f>
        <v>02500014800</v>
      </c>
      <c r="B12760" s="1" t="str">
        <f>"TRI WATTERS LLC"</f>
        <v>TRI WATTERS LLC</v>
      </c>
      <c r="C12760" s="1" t="str">
        <f>"136 GRANVILLE ST 140 FT RES B "</f>
        <v xml:space="preserve">136 GRANVILLE ST 140 FT RES B </v>
      </c>
      <c r="D12760" s="1">
        <v>459.91</v>
      </c>
    </row>
    <row r="12761" spans="1:4" x14ac:dyDescent="0.3">
      <c r="A12761" s="1" t="str">
        <f>"02500001800"</f>
        <v>02500001800</v>
      </c>
      <c r="B12761" s="1" t="str">
        <f>"TRI WATTERS LLC"</f>
        <v>TRI WATTERS LLC</v>
      </c>
      <c r="C12761" s="1" t="str">
        <f>"00000 GRANVILLE ST  140FT RES B"</f>
        <v>00000 GRANVILLE ST  140FT RES B</v>
      </c>
      <c r="D12761" s="1">
        <v>93.28</v>
      </c>
    </row>
    <row r="12762" spans="1:4" x14ac:dyDescent="0.3">
      <c r="A12762" s="1" t="str">
        <f>"01005317200"</f>
        <v>01005317200</v>
      </c>
      <c r="B12762" s="1" t="str">
        <f>"TRIANFO SUSAN M, TRIANFO VICTOR A JR"</f>
        <v>TRIANFO SUSAN M, TRIANFO VICTOR A JR</v>
      </c>
      <c r="C12762" s="1" t="str">
        <f>"836 S 5TH ST S JAEGER LOT 12"</f>
        <v>836 S 5TH ST S JAEGER LOT 12</v>
      </c>
      <c r="D12762" s="1">
        <v>534.99</v>
      </c>
    </row>
    <row r="12763" spans="1:4" x14ac:dyDescent="0.3">
      <c r="A12763" s="1" t="str">
        <f>"01008547900"</f>
        <v>01008547900</v>
      </c>
      <c r="B12763" s="1" t="str">
        <f>"TRIBBIE MEGAN K"</f>
        <v>TRIBBIE MEGAN K</v>
      </c>
      <c r="C12763" s="1" t="str">
        <f>"0OMINION BLVD N1/2 LOT 12 DOMINION HTS 2 LOT 12"</f>
        <v>0OMINION BLVD N1/2 LOT 12 DOMINION HTS 2 LOT 12</v>
      </c>
      <c r="D12763" s="1">
        <v>955.69</v>
      </c>
    </row>
    <row r="12764" spans="1:4" x14ac:dyDescent="0.3">
      <c r="A12764" s="1" t="str">
        <f>"10000085100"</f>
        <v>10000085100</v>
      </c>
      <c r="B12764" s="1" t="str">
        <f>"TRIBBIE MEGAN K"</f>
        <v>TRIBBIE MEGAN K</v>
      </c>
      <c r="C12764" s="1" t="str">
        <f>"96 ORCHARD DR PARK HIGHLAND LOT 70"</f>
        <v>96 ORCHARD DR PARK HIGHLAND LOT 70</v>
      </c>
      <c r="D12764" s="1">
        <v>1216.25</v>
      </c>
    </row>
    <row r="12765" spans="1:4" x14ac:dyDescent="0.3">
      <c r="A12765" s="1" t="str">
        <f>"60023331900"</f>
        <v>60023331900</v>
      </c>
      <c r="B12765" s="1" t="str">
        <f>"TRINH THIEN V"</f>
        <v>TRINH THIEN V</v>
      </c>
      <c r="C12765" s="1" t="str">
        <f>"PORTOBELLO DRIVE BRENTHURST SECTION 3 LOT 108"</f>
        <v>PORTOBELLO DRIVE BRENTHURST SECTION 3 LOT 108</v>
      </c>
      <c r="D12765" s="1">
        <v>232.97</v>
      </c>
    </row>
    <row r="12766" spans="1:4" x14ac:dyDescent="0.3">
      <c r="A12766" s="1" t="str">
        <f>"01010951700"</f>
        <v>01010951700</v>
      </c>
      <c r="B12766" s="1" t="str">
        <f>"TRINH TRAM"</f>
        <v>TRINH TRAM</v>
      </c>
      <c r="C12766" s="1" t="str">
        <f>"INDINAOLA AVE PENCADER LOT 39"</f>
        <v>INDINAOLA AVE PENCADER LOT 39</v>
      </c>
      <c r="D12766" s="1">
        <v>6184.54</v>
      </c>
    </row>
    <row r="12767" spans="1:4" x14ac:dyDescent="0.3">
      <c r="A12767" s="1" t="str">
        <f>"01001078700"</f>
        <v>01001078700</v>
      </c>
      <c r="B12767" s="1" t="str">
        <f>"TRINIDAD JENNIFER ARROLLO"</f>
        <v>TRINIDAD JENNIFER ARROLLO</v>
      </c>
      <c r="C12767" s="1" t="str">
        <f>"49-51 HIGHLAND AVE ONGS LOT 2"</f>
        <v>49-51 HIGHLAND AVE ONGS LOT 2</v>
      </c>
      <c r="D12767" s="1">
        <v>2360.5700000000002</v>
      </c>
    </row>
    <row r="12768" spans="1:4" x14ac:dyDescent="0.3">
      <c r="A12768" s="1" t="str">
        <f>"14000373100"</f>
        <v>14000373100</v>
      </c>
      <c r="B12768" s="1" t="str">
        <f>"TRINITY ASSEMBLY OF GOD"</f>
        <v>TRINITY ASSEMBLY OF GOD</v>
      </c>
      <c r="C12768" s="1" t="str">
        <f>"1106 DEMOREST RD OQ1000 ENTRY 1396 1.879 ACRES"</f>
        <v>1106 DEMOREST RD OQ1000 ENTRY 1396 1.879 ACRES</v>
      </c>
      <c r="D12768" s="1">
        <v>2462.17</v>
      </c>
    </row>
    <row r="12769" spans="1:4" x14ac:dyDescent="0.3">
      <c r="A12769" s="1" t="str">
        <f>"61019007400"</f>
        <v>61019007400</v>
      </c>
      <c r="B12769" s="1" t="str">
        <f>"TRINITY PARKROW LLC"</f>
        <v>TRINITY PARKROW LLC</v>
      </c>
      <c r="C12769" s="1" t="str">
        <f>"1696 PARK ROW DR PARK ROW CONDOMINIUM TOWNHOMES 1 UNIT J"</f>
        <v>1696 PARK ROW DR PARK ROW CONDOMINIUM TOWNHOMES 1 UNIT J</v>
      </c>
      <c r="D12769" s="1">
        <v>3390.79</v>
      </c>
    </row>
    <row r="12770" spans="1:4" x14ac:dyDescent="0.3">
      <c r="A12770" s="1" t="str">
        <f>"61019007600"</f>
        <v>61019007600</v>
      </c>
      <c r="B12770" s="1" t="str">
        <f>"TRINITY PARKROW LLC"</f>
        <v>TRINITY PARKROW LLC</v>
      </c>
      <c r="C12770" s="1" t="str">
        <f>"1700 PARK ROW DR PARK ROW CONDOMINIUM TOWNHOMES 1 UNIT L"</f>
        <v>1700 PARK ROW DR PARK ROW CONDOMINIUM TOWNHOMES 1 UNIT L</v>
      </c>
      <c r="D12770" s="1">
        <v>3390.79</v>
      </c>
    </row>
    <row r="12771" spans="1:4" x14ac:dyDescent="0.3">
      <c r="A12771" s="1" t="str">
        <f>"59020046300"</f>
        <v>59020046300</v>
      </c>
      <c r="B12771" s="1" t="str">
        <f>"TRINITY PARKROW LLC"</f>
        <v>TRINITY PARKROW LLC</v>
      </c>
      <c r="C12771" s="1" t="str">
        <f>"CIMMARON STATION CONDO 1 BLDG 13 UNIT 7415"</f>
        <v>CIMMARON STATION CONDO 1 BLDG 13 UNIT 7415</v>
      </c>
      <c r="D12771" s="1">
        <v>3000.46</v>
      </c>
    </row>
    <row r="12772" spans="1:4" x14ac:dyDescent="0.3">
      <c r="A12772" s="1" t="str">
        <f>"61019256700"</f>
        <v>61019256700</v>
      </c>
      <c r="B12772" s="1" t="str">
        <f>"TRINITY PARKROW LLC"</f>
        <v>TRINITY PARKROW LLC</v>
      </c>
      <c r="C12772" s="1" t="str">
        <f>"1767 WORTHINGTON RUN PARK ROW CONDO XIV UNIT C"</f>
        <v>1767 WORTHINGTON RUN PARK ROW CONDO XIV UNIT C</v>
      </c>
      <c r="D12772" s="1">
        <v>3548.29</v>
      </c>
    </row>
    <row r="12773" spans="1:4" x14ac:dyDescent="0.3">
      <c r="A12773" s="1" t="str">
        <f>"61019007500"</f>
        <v>61019007500</v>
      </c>
      <c r="B12773" s="1" t="str">
        <f>"TRINITY PARKROW LLC"</f>
        <v>TRINITY PARKROW LLC</v>
      </c>
      <c r="C12773" s="1" t="str">
        <f>"1698 PARK ROW DR PARK ROW CONDOMINIUM TOWNHOMES 1 UNIT K"</f>
        <v>1698 PARK ROW DR PARK ROW CONDOMINIUM TOWNHOMES 1 UNIT K</v>
      </c>
      <c r="D12773" s="1">
        <v>3390.79</v>
      </c>
    </row>
    <row r="12774" spans="1:4" x14ac:dyDescent="0.3">
      <c r="A12774" s="1" t="str">
        <f>"59018119000"</f>
        <v>59018119000</v>
      </c>
      <c r="B12774" s="1" t="str">
        <f>"TRINITY PARKROW LLC"</f>
        <v>TRINITY PARKROW LLC</v>
      </c>
      <c r="C12774" s="1" t="str">
        <f>"CHERYLBROOK LANE TRAFALGAR COMMONS LOT 32"</f>
        <v>CHERYLBROOK LANE TRAFALGAR COMMONS LOT 32</v>
      </c>
      <c r="D12774" s="1">
        <v>10909.37</v>
      </c>
    </row>
    <row r="12775" spans="1:4" x14ac:dyDescent="0.3">
      <c r="A12775" s="1" t="str">
        <f>"59018119100"</f>
        <v>59018119100</v>
      </c>
      <c r="B12775" s="1" t="str">
        <f>"TRINITY PARKROW LLC"</f>
        <v>TRINITY PARKROW LLC</v>
      </c>
      <c r="C12775" s="1" t="str">
        <f>"CHERYLBROOK LANE TRAFALGAR COMMONS LOT 33"</f>
        <v>CHERYLBROOK LANE TRAFALGAR COMMONS LOT 33</v>
      </c>
      <c r="D12775" s="1">
        <v>771.96</v>
      </c>
    </row>
    <row r="12776" spans="1:4" x14ac:dyDescent="0.3">
      <c r="A12776" s="1" t="str">
        <f>"61019007300"</f>
        <v>61019007300</v>
      </c>
      <c r="B12776" s="1" t="str">
        <f>"TRINITY PARKROW LLC"</f>
        <v>TRINITY PARKROW LLC</v>
      </c>
      <c r="C12776" s="1" t="str">
        <f>"1694 PARK ROW DR PARK ROW CONDOMINIUM TOWNHOMES 1 UNIT I"</f>
        <v>1694 PARK ROW DR PARK ROW CONDOMINIUM TOWNHOMES 1 UNIT I</v>
      </c>
      <c r="D12776" s="1">
        <v>3390.79</v>
      </c>
    </row>
    <row r="12777" spans="1:4" x14ac:dyDescent="0.3">
      <c r="A12777" s="1" t="str">
        <f>"61019007100"</f>
        <v>61019007100</v>
      </c>
      <c r="B12777" s="1" t="str">
        <f>"TRINITY PARKROW LLC"</f>
        <v>TRINITY PARKROW LLC</v>
      </c>
      <c r="C12777" s="1" t="str">
        <f>"1690 PARK ROW DR PARK ROW CONDOMINIUM TOWNHOMES 1 UNIT G"</f>
        <v>1690 PARK ROW DR PARK ROW CONDOMINIUM TOWNHOMES 1 UNIT G</v>
      </c>
      <c r="D12777" s="1">
        <v>3390.79</v>
      </c>
    </row>
    <row r="12778" spans="1:4" x14ac:dyDescent="0.3">
      <c r="A12778" s="1" t="str">
        <f>"61019007200"</f>
        <v>61019007200</v>
      </c>
      <c r="B12778" s="1" t="str">
        <f>"TRINITY PARKROW LLC"</f>
        <v>TRINITY PARKROW LLC</v>
      </c>
      <c r="C12778" s="1" t="str">
        <f>"1692 PARK ROW DR PARK ROW CONDOMINIUM TOWNHOMES 1 UNIT H"</f>
        <v>1692 PARK ROW DR PARK ROW CONDOMINIUM TOWNHOMES 1 UNIT H</v>
      </c>
      <c r="D12778" s="1">
        <v>3390.79</v>
      </c>
    </row>
    <row r="12779" spans="1:4" x14ac:dyDescent="0.3">
      <c r="A12779" s="1" t="str">
        <f>"27300451400"</f>
        <v>27300451400</v>
      </c>
      <c r="B12779" s="1" t="str">
        <f>"TRINITY PARKROW LLC"</f>
        <v>TRINITY PARKROW LLC</v>
      </c>
      <c r="C12779" s="1" t="str">
        <f>"6200 WILCOX RD ENTRY 3011 OQ 805-806 0.358 ACRE"</f>
        <v>6200 WILCOX RD ENTRY 3011 OQ 805-806 0.358 ACRE</v>
      </c>
      <c r="D12779" s="1">
        <v>4205.67</v>
      </c>
    </row>
    <row r="12780" spans="1:4" x14ac:dyDescent="0.3">
      <c r="A12780" s="1" t="str">
        <f>"12000001500"</f>
        <v>12000001500</v>
      </c>
      <c r="B12780" s="1" t="str">
        <f>"TRIPLE DOG DARE FARM LLC"</f>
        <v>TRIPLE DOG DARE FARM LLC</v>
      </c>
      <c r="C12780" s="1" t="str">
        <f>"2333 AMITY RD ENTRY 882-1200-2606 10.548 ACRES"</f>
        <v>2333 AMITY RD ENTRY 882-1200-2606 10.548 ACRES</v>
      </c>
      <c r="D12780" s="1">
        <v>753.54</v>
      </c>
    </row>
    <row r="12781" spans="1:4" x14ac:dyDescent="0.3">
      <c r="A12781" s="1" t="str">
        <f>"59018089500"</f>
        <v>59018089500</v>
      </c>
      <c r="B12781" s="1" t="str">
        <f>"TRIPLET ANTHONY W"</f>
        <v>TRIPLET ANTHONY W</v>
      </c>
      <c r="C12781" s="1" t="str">
        <f>"CLAYBORN CT SMOKY ROW MANOR S LOT 59"</f>
        <v>CLAYBORN CT SMOKY ROW MANOR S LOT 59</v>
      </c>
      <c r="D12781" s="1">
        <v>1292.92</v>
      </c>
    </row>
    <row r="12782" spans="1:4" x14ac:dyDescent="0.3">
      <c r="A12782" s="1" t="str">
        <f>"15000145000"</f>
        <v>15000145000</v>
      </c>
      <c r="B12782" s="1" t="str">
        <f>"TRIPLETT SAMANTHA"</f>
        <v>TRIPLETT SAMANTHA</v>
      </c>
      <c r="C12782" s="1" t="str">
        <f>"898 CHERRYDALE AVE HAMILTON MEADOWS 6 LOT 648"</f>
        <v>898 CHERRYDALE AVE HAMILTON MEADOWS 6 LOT 648</v>
      </c>
      <c r="D12782" s="1">
        <v>2109.31</v>
      </c>
    </row>
    <row r="12783" spans="1:4" x14ac:dyDescent="0.3">
      <c r="A12783" s="1" t="str">
        <f>"26000036700"</f>
        <v>26000036700</v>
      </c>
      <c r="B12783" s="1" t="str">
        <f>"TRISKET ROBERT H, TRISKET KAREN A"</f>
        <v>TRISKET ROBERT H, TRISKET KAREN A</v>
      </c>
      <c r="C12783" s="1" t="str">
        <f>"OLIVETTE RD QUALSTAN EAST LOT 510"</f>
        <v>OLIVETTE RD QUALSTAN EAST LOT 510</v>
      </c>
      <c r="D12783" s="1">
        <v>189.65</v>
      </c>
    </row>
    <row r="12784" spans="1:4" x14ac:dyDescent="0.3">
      <c r="A12784" s="1" t="str">
        <f>"18000460100"</f>
        <v>18000460100</v>
      </c>
      <c r="B12784" s="1" t="str">
        <f>"TROIANO DAVID TR"</f>
        <v>TROIANO DAVID TR</v>
      </c>
      <c r="C12784" s="1" t="str">
        <f>"ELDORA DR RESUB PART BLACKLICK ESTATES 6 1155"</f>
        <v>ELDORA DR RESUB PART BLACKLICK ESTATES 6 1155</v>
      </c>
      <c r="D12784" s="1">
        <v>132.02000000000001</v>
      </c>
    </row>
    <row r="12785" spans="1:4" x14ac:dyDescent="0.3">
      <c r="A12785" s="1" t="str">
        <f>"01007714100"</f>
        <v>01007714100</v>
      </c>
      <c r="B12785" s="1" t="str">
        <f>"TRONCOSO HECTOR R"</f>
        <v>TRONCOSO HECTOR R</v>
      </c>
      <c r="C12785" s="1" t="str">
        <f>"SULLIVANT AVE BROADVIEW EXT LOT 18 BLK 30"</f>
        <v>SULLIVANT AVE BROADVIEW EXT LOT 18 BLK 30</v>
      </c>
      <c r="D12785" s="1">
        <v>1644.25</v>
      </c>
    </row>
    <row r="12786" spans="1:4" x14ac:dyDescent="0.3">
      <c r="A12786" s="1" t="str">
        <f>"57018712800"</f>
        <v>57018712800</v>
      </c>
      <c r="B12786" s="1" t="str">
        <f>"TRONCOSO HECTOR R"</f>
        <v>TRONCOSO HECTOR R</v>
      </c>
      <c r="C12786" s="1" t="str">
        <f>"PIPERS MEADOW DR PIPERS MEADOW CONDO UNIT 5562 BLDG 5"</f>
        <v>PIPERS MEADOW DR PIPERS MEADOW CONDO UNIT 5562 BLDG 5</v>
      </c>
      <c r="D12786" s="1">
        <v>622.02</v>
      </c>
    </row>
    <row r="12787" spans="1:4" x14ac:dyDescent="0.3">
      <c r="A12787" s="1" t="str">
        <f>"01007460100"</f>
        <v>01007460100</v>
      </c>
      <c r="B12787" s="1" t="str">
        <f>"TROTTER FREDA, TROTTER HAZEL A"</f>
        <v>TROTTER FREDA, TROTTER HAZEL A</v>
      </c>
      <c r="C12787" s="1" t="str">
        <f>"BRIARWOOD AVE HIGHWAY PK LOT 316"</f>
        <v>BRIARWOOD AVE HIGHWAY PK LOT 316</v>
      </c>
      <c r="D12787" s="1">
        <v>270.02999999999997</v>
      </c>
    </row>
    <row r="12788" spans="1:4" x14ac:dyDescent="0.3">
      <c r="A12788" s="1" t="str">
        <f>"01016004400"</f>
        <v>01016004400</v>
      </c>
      <c r="B12788" s="1" t="str">
        <f>"TROTTER STEPHANNIE ANNETTE"</f>
        <v>TROTTER STEPHANNIE ANNETTE</v>
      </c>
      <c r="C12788" s="1" t="str">
        <f>"DELLWORTH STREET WALNUT BLUFF 3 LOT 930"</f>
        <v>DELLWORTH STREET WALNUT BLUFF 3 LOT 930</v>
      </c>
      <c r="D12788" s="1">
        <v>1480.41</v>
      </c>
    </row>
    <row r="12789" spans="1:4" x14ac:dyDescent="0.3">
      <c r="A12789" s="1" t="str">
        <f>"16100008100"</f>
        <v>16100008100</v>
      </c>
      <c r="B12789" s="1" t="str">
        <f>"TROUT ELLOUISE"</f>
        <v>TROUT ELLOUISE</v>
      </c>
      <c r="C12789" s="1" t="str">
        <f>"4TH AVE 15-16 BLK 12 URBANCREST"</f>
        <v>4TH AVE 15-16 BLK 12 URBANCREST</v>
      </c>
      <c r="D12789" s="1">
        <v>37.17</v>
      </c>
    </row>
    <row r="12790" spans="1:4" x14ac:dyDescent="0.3">
      <c r="A12790" s="1" t="str">
        <f>"16100073400"</f>
        <v>16100073400</v>
      </c>
      <c r="B12790" s="1" t="str">
        <f>"TROUT ELLOUISE J"</f>
        <v>TROUT ELLOUISE J</v>
      </c>
      <c r="C12790" s="1" t="str">
        <f>"4TH AVE URBANCREST 17-8 BLK 12"</f>
        <v>4TH AVE URBANCREST 17-8 BLK 12</v>
      </c>
      <c r="D12790" s="1">
        <v>37.17</v>
      </c>
    </row>
    <row r="12791" spans="1:4" x14ac:dyDescent="0.3">
      <c r="A12791" s="1" t="str">
        <f>"15000046800"</f>
        <v>15000046800</v>
      </c>
      <c r="B12791" s="1" t="str">
        <f>"TROUT TAMMY L"</f>
        <v>TROUT TAMMY L</v>
      </c>
      <c r="C12791" s="1" t="str">
        <f>"2040 RATHMELL AVE WALNUT HTS 14 "</f>
        <v xml:space="preserve">2040 RATHMELL AVE WALNUT HTS 14 </v>
      </c>
      <c r="D12791" s="1">
        <v>1932.48</v>
      </c>
    </row>
    <row r="12792" spans="1:4" x14ac:dyDescent="0.3">
      <c r="A12792" s="1" t="str">
        <f>"01028396300"</f>
        <v>01028396300</v>
      </c>
      <c r="B12792" s="1" t="str">
        <f>"TROUTMAN GEORGE A, TROUTMAN MARIANNE Y"</f>
        <v>TROUTMAN GEORGE A, TROUTMAN MARIANNE Y</v>
      </c>
      <c r="C12792" s="1" t="str">
        <f>"TOWNES AT WEST ALBANY CONDOMINIUM 2ND AMD BLDG 16 UNIT 1605"</f>
        <v>TOWNES AT WEST ALBANY CONDOMINIUM 2ND AMD BLDG 16 UNIT 1605</v>
      </c>
      <c r="D12792" s="1">
        <v>159.06</v>
      </c>
    </row>
    <row r="12793" spans="1:4" x14ac:dyDescent="0.3">
      <c r="A12793" s="1" t="str">
        <f>"22200156600"</f>
        <v>22200156600</v>
      </c>
      <c r="B12793" s="1" t="str">
        <f>"TROUTMAN GEORGE, TROUTMAN MARIANNE"</f>
        <v>TROUTMAN GEORGE, TROUTMAN MARIANNE</v>
      </c>
      <c r="C12793" s="1" t="str">
        <f>"BERKLEY SQUARE SOUTH N ALBANY COUNTRY CL SECTION 11 LOT 20"</f>
        <v>BERKLEY SQUARE SOUTH N ALBANY COUNTRY CL SECTION 11 LOT 20</v>
      </c>
      <c r="D12793" s="1">
        <v>972.6</v>
      </c>
    </row>
    <row r="12794" spans="1:4" x14ac:dyDescent="0.3">
      <c r="A12794" s="1" t="str">
        <f>"57016756100"</f>
        <v>57016756100</v>
      </c>
      <c r="B12794" s="1" t="str">
        <f>"TROY K PROPERTIES INC"</f>
        <v>TROY K PROPERTIES INC</v>
      </c>
      <c r="C12794" s="1" t="str">
        <f>"GREENE COUNTRIE HUNTING HOLLOW COURT LOT 15"</f>
        <v>GREENE COUNTRIE HUNTING HOLLOW COURT LOT 15</v>
      </c>
      <c r="D12794" s="1">
        <v>2055.31</v>
      </c>
    </row>
    <row r="12795" spans="1:4" x14ac:dyDescent="0.3">
      <c r="A12795" s="1" t="str">
        <f>"01009711200"</f>
        <v>01009711200</v>
      </c>
      <c r="B12795" s="1" t="str">
        <f>"TRSTAN LLC"</f>
        <v>TRSTAN LLC</v>
      </c>
      <c r="C12795" s="1" t="str">
        <f>"ELMORE AVE EASTMOOR S LOT 41-23-24"</f>
        <v>ELMORE AVE EASTMOOR S LOT 41-23-24</v>
      </c>
      <c r="D12795" s="1">
        <v>171.48</v>
      </c>
    </row>
    <row r="12796" spans="1:4" x14ac:dyDescent="0.3">
      <c r="A12796" s="1" t="str">
        <f>"57022081900"</f>
        <v>57022081900</v>
      </c>
      <c r="B12796" s="1" t="str">
        <f>"TRUDE PATRICK, TRUDE ELSIE"</f>
        <v>TRUDE PATRICK, TRUDE ELSIE</v>
      </c>
      <c r="C12796" s="1" t="str">
        <f>"WEST WOODS VILLAGE SECTION 3 LOT 71"</f>
        <v>WEST WOODS VILLAGE SECTION 3 LOT 71</v>
      </c>
      <c r="D12796" s="1">
        <v>4060.53</v>
      </c>
    </row>
    <row r="12797" spans="1:4" x14ac:dyDescent="0.3">
      <c r="A12797" s="1" t="str">
        <f>"04000461200"</f>
        <v>04000461200</v>
      </c>
      <c r="B12797" s="1" t="str">
        <f>"TRUDEAU SHEILA L"</f>
        <v>TRUDEAU SHEILA L</v>
      </c>
      <c r="C12797" s="1" t="str">
        <f>"HOOVER RD GROVE CITY HEIGHTS 2 104.04 X 120.04'SW PT L72"</f>
        <v>HOOVER RD GROVE CITY HEIGHTS 2 104.04 X 120.04'SW PT L72</v>
      </c>
      <c r="D12797" s="1">
        <v>1409.79</v>
      </c>
    </row>
    <row r="12798" spans="1:4" x14ac:dyDescent="0.3">
      <c r="A12798" s="1" t="str">
        <f>"01002898900"</f>
        <v>01002898900</v>
      </c>
      <c r="B12798" s="1" t="str">
        <f>"TRUE ESTATES LLC"</f>
        <v>TRUE ESTATES LLC</v>
      </c>
      <c r="C12798" s="1" t="str">
        <f>"788 E MOUND ST LIVINGSTON PK LOT 5"</f>
        <v>788 E MOUND ST LIVINGSTON PK LOT 5</v>
      </c>
      <c r="D12798" s="1">
        <v>2359.5700000000002</v>
      </c>
    </row>
    <row r="12799" spans="1:4" x14ac:dyDescent="0.3">
      <c r="A12799" s="1" t="str">
        <f>"01004647000"</f>
        <v>01004647000</v>
      </c>
      <c r="B12799" s="1" t="str">
        <f>"TRUE FAMILY PROPERTIES LLC"</f>
        <v>TRUE FAMILY PROPERTIES LLC</v>
      </c>
      <c r="C12799" s="1" t="str">
        <f>"1838 S 5TH STREET LINTON &amp; MCLARREN'S PARCELS PT OF LOT 53"</f>
        <v>1838 S 5TH STREET LINTON &amp; MCLARREN'S PARCELS PT OF LOT 53</v>
      </c>
      <c r="D12799" s="1">
        <v>1262.9100000000001</v>
      </c>
    </row>
    <row r="12800" spans="1:4" x14ac:dyDescent="0.3">
      <c r="A12800" s="1" t="str">
        <f>"01005700000"</f>
        <v>01005700000</v>
      </c>
      <c r="B12800" s="1" t="str">
        <f>"TRUE FAMILY PROPERTIES LLC"</f>
        <v>TRUE FAMILY PROPERTIES LLC</v>
      </c>
      <c r="C12800" s="1" t="str">
        <f>"1831 S 5TH ST LINTON &amp; MCLARREN'S PARCELS PT OF LOT 37"</f>
        <v>1831 S 5TH ST LINTON &amp; MCLARREN'S PARCELS PT OF LOT 37</v>
      </c>
      <c r="D12800" s="1">
        <v>1311.71</v>
      </c>
    </row>
    <row r="12801" spans="1:4" x14ac:dyDescent="0.3">
      <c r="A12801" s="1" t="str">
        <f>"01002600200"</f>
        <v>01002600200</v>
      </c>
      <c r="B12801" s="1" t="str">
        <f>"TRUE FAMILY PROPERTIES LLC"</f>
        <v>TRUE FAMILY PROPERTIES LLC</v>
      </c>
      <c r="C12801" s="1" t="str">
        <f>"1835-37 S 5TH LINTON &amp; MCLARREN'S PARCELS PT OF LOT 36"</f>
        <v>1835-37 S 5TH LINTON &amp; MCLARREN'S PARCELS PT OF LOT 36</v>
      </c>
      <c r="D12801" s="1">
        <v>1459.36</v>
      </c>
    </row>
    <row r="12802" spans="1:4" x14ac:dyDescent="0.3">
      <c r="A12802" s="1" t="str">
        <f>"01002868200"</f>
        <v>01002868200</v>
      </c>
      <c r="B12802" s="1" t="str">
        <f>"TRUE FAMILY PROPERTIES LLC"</f>
        <v>TRUE FAMILY PROPERTIES LLC</v>
      </c>
      <c r="C12802" s="1" t="str">
        <f>"1834 S 5TH FIFTH LINTON &amp; MCLARREN'S PARCELS PT OF LOT 52"</f>
        <v>1834 S 5TH FIFTH LINTON &amp; MCLARREN'S PARCELS PT OF LOT 52</v>
      </c>
      <c r="D12802" s="1">
        <v>756.59</v>
      </c>
    </row>
    <row r="12803" spans="1:4" x14ac:dyDescent="0.3">
      <c r="A12803" s="1" t="str">
        <f>"01000189300"</f>
        <v>01000189300</v>
      </c>
      <c r="B12803" s="1" t="str">
        <f>"TRUE FAMILY PROPERTIES LLC"</f>
        <v>TRUE FAMILY PROPERTIES LLC</v>
      </c>
      <c r="C12803" s="1" t="str">
        <f>"1828-30 S 5TH ST LINTON &amp; MCLARREN'S PARCELS PT OF LOT 51"</f>
        <v>1828-30 S 5TH ST LINTON &amp; MCLARREN'S PARCELS PT OF LOT 51</v>
      </c>
      <c r="D12803" s="1">
        <v>1555.95</v>
      </c>
    </row>
    <row r="12804" spans="1:4" x14ac:dyDescent="0.3">
      <c r="A12804" s="1" t="str">
        <f>"09000235200"</f>
        <v>09000235200</v>
      </c>
      <c r="B12804" s="1" t="str">
        <f>"TRUE LIVING LLC"</f>
        <v>TRUE LIVING LLC</v>
      </c>
      <c r="C12804" s="1" t="str">
        <f>"4614-616 KAE AVE HAMILTON TERRACE LOT 2"</f>
        <v>4614-616 KAE AVE HAMILTON TERRACE LOT 2</v>
      </c>
      <c r="D12804" s="1">
        <v>274.2</v>
      </c>
    </row>
    <row r="12805" spans="1:4" x14ac:dyDescent="0.3">
      <c r="A12805" s="1" t="str">
        <f>"01013090400"</f>
        <v>01013090400</v>
      </c>
      <c r="B12805" s="1" t="str">
        <f>"TRUITT DAVID A JR"</f>
        <v>TRUITT DAVID A JR</v>
      </c>
      <c r="C12805" s="1" t="str">
        <f>"NUWAY RD KEYSQUARE LOT 18"</f>
        <v>NUWAY RD KEYSQUARE LOT 18</v>
      </c>
      <c r="D12805" s="1">
        <v>1411.37</v>
      </c>
    </row>
    <row r="12806" spans="1:4" x14ac:dyDescent="0.3">
      <c r="A12806" s="1" t="str">
        <f>"01013806400"</f>
        <v>01013806400</v>
      </c>
      <c r="B12806" s="1" t="str">
        <f>"TRUITT OTIS, TRUITT MARY E"</f>
        <v>TRUITT OTIS, TRUITT MARY E</v>
      </c>
      <c r="C12806" s="1" t="str">
        <f>"BRENTNELL AVE ALL 46 &amp;3FT SS 47 BRENTNELL PLC LOT 46-47"</f>
        <v>BRENTNELL AVE ALL 46 &amp;3FT SS 47 BRENTNELL PLC LOT 46-47</v>
      </c>
      <c r="D12806" s="1">
        <v>4160.18</v>
      </c>
    </row>
    <row r="12807" spans="1:4" x14ac:dyDescent="0.3">
      <c r="A12807" s="1" t="str">
        <f>"57025271100"</f>
        <v>57025271100</v>
      </c>
      <c r="B12807" s="1" t="str">
        <f>"TRUJILLO GARCIA IRMA LETICIA"</f>
        <v>TRUJILLO GARCIA IRMA LETICIA</v>
      </c>
      <c r="C12807" s="1" t="str">
        <f>"COVINA DRIVE PARKVIEW SECTION 3 LOT 154"</f>
        <v>COVINA DRIVE PARKVIEW SECTION 3 LOT 154</v>
      </c>
      <c r="D12807" s="1">
        <v>1754.78</v>
      </c>
    </row>
    <row r="12808" spans="1:4" x14ac:dyDescent="0.3">
      <c r="A12808" s="1" t="str">
        <f>"07000860500"</f>
        <v>07000860500</v>
      </c>
      <c r="B12808" s="1" t="str">
        <f>"TRUONG TRONGTHANG"</f>
        <v>TRUONG TRONGTHANG</v>
      </c>
      <c r="C12808" s="1" t="str">
        <f>"2786 CHESTER RD BRANDON HTS EXT2 LOT 11"</f>
        <v>2786 CHESTER RD BRANDON HTS EXT2 LOT 11</v>
      </c>
      <c r="D12808" s="1">
        <v>285.07</v>
      </c>
    </row>
    <row r="12809" spans="1:4" x14ac:dyDescent="0.3">
      <c r="A12809" s="1" t="str">
        <f>"08000018400"</f>
        <v>08000018400</v>
      </c>
      <c r="B12809" s="1" t="str">
        <f>"TRUSTEES OF THE ALUMNI COUNCIL OF THE COUNTRY CLUB OF OTTERBEIN COLLEGE"</f>
        <v>TRUSTEES OF THE ALUMNI COUNCIL OF THE COUNTRY CLUB OF OTTERBEIN COLLEGE</v>
      </c>
      <c r="C12809" s="1" t="str">
        <f>"79 S GROVE STREET OUT LOT PT OLD LT 6=0.608 AC"</f>
        <v>79 S GROVE STREET OUT LOT PT OLD LT 6=0.608 AC</v>
      </c>
      <c r="D12809" s="1">
        <v>8260.42</v>
      </c>
    </row>
    <row r="12810" spans="1:4" x14ac:dyDescent="0.3">
      <c r="A12810" s="1" t="str">
        <f>"51528909800"</f>
        <v>51528909800</v>
      </c>
      <c r="B12810" s="1" t="str">
        <f>"TSAI YI FEN, CHANG MIN HUANG"</f>
        <v>TSAI YI FEN, CHANG MIN HUANG</v>
      </c>
      <c r="C12810" s="1" t="str">
        <f>"BEDFORD PLACE CONDOMINIUM 2ND AMD BLDG 5 UNIT 504"</f>
        <v>BEDFORD PLACE CONDOMINIUM 2ND AMD BLDG 5 UNIT 504</v>
      </c>
      <c r="D12810" s="1">
        <v>1295.99</v>
      </c>
    </row>
    <row r="12811" spans="1:4" x14ac:dyDescent="0.3">
      <c r="A12811" s="1" t="str">
        <f>"07001288000"</f>
        <v>07001288000</v>
      </c>
      <c r="B12811" s="1" t="str">
        <f>"TSAPATSARIS DEMETRA, NELSON MATTHEW"</f>
        <v>TSAPATSARIS DEMETRA, NELSON MATTHEW</v>
      </c>
      <c r="C12811" s="1" t="str">
        <f>"OAKRIDGE RD OAKRIDGE PLACE LOT 2"</f>
        <v>OAKRIDGE RD OAKRIDGE PLACE LOT 2</v>
      </c>
      <c r="D12811" s="1">
        <v>20941.72</v>
      </c>
    </row>
    <row r="12812" spans="1:4" x14ac:dyDescent="0.3">
      <c r="A12812" s="1" t="str">
        <f>"01018327900"</f>
        <v>01018327900</v>
      </c>
      <c r="B12812" s="1" t="str">
        <f>"TSEGAY FEKADU"</f>
        <v>TSEGAY FEKADU</v>
      </c>
      <c r="C12812" s="1" t="str">
        <f>"SCOTLAND YARD CONDO UNIT 5866 BLDG 39 "</f>
        <v xml:space="preserve">SCOTLAND YARD CONDO UNIT 5866 BLDG 39 </v>
      </c>
      <c r="D12812" s="1">
        <v>61.77</v>
      </c>
    </row>
    <row r="12813" spans="1:4" x14ac:dyDescent="0.3">
      <c r="A12813" s="1" t="str">
        <f>"01027103400"</f>
        <v>01027103400</v>
      </c>
      <c r="B12813" s="1" t="str">
        <f>"TSERING CHIME L"</f>
        <v>TSERING CHIME L</v>
      </c>
      <c r="C12813" s="1" t="str">
        <f>"HAMPTONS AT NEW ALBANY    PARK CONDOMINIUM 2ND AMD  BLDG 5 UNIT 5-7154       "</f>
        <v xml:space="preserve">HAMPTONS AT NEW ALBANY    PARK CONDOMINIUM 2ND AMD  BLDG 5 UNIT 5-7154       </v>
      </c>
      <c r="D12813" s="1">
        <v>653</v>
      </c>
    </row>
    <row r="12814" spans="1:4" x14ac:dyDescent="0.3">
      <c r="A12814" s="1" t="str">
        <f>"56027365600"</f>
        <v>56027365600</v>
      </c>
      <c r="B12814" s="1" t="str">
        <f>"TSU KA WAI"</f>
        <v>TSU KA WAI</v>
      </c>
      <c r="C12814" s="1" t="str">
        <f>"MILLINGTON CONDOMINIUM AT MILL RUN 3RD AMD BLDG G UNIT 38 (GARAGE)"</f>
        <v>MILLINGTON CONDOMINIUM AT MILL RUN 3RD AMD BLDG G UNIT 38 (GARAGE)</v>
      </c>
      <c r="D12814" s="1">
        <v>233.4</v>
      </c>
    </row>
    <row r="12815" spans="1:4" x14ac:dyDescent="0.3">
      <c r="A12815" s="1" t="str">
        <f>"01000485600"</f>
        <v>01000485600</v>
      </c>
      <c r="B12815" s="1" t="str">
        <f>"TSUSHIMA JYOSHU"</f>
        <v>TSUSHIMA JYOSHU</v>
      </c>
      <c r="C12815" s="1" t="str">
        <f>"2724 CALUMET ST PT FRT41.69FT TRI NS L8 INDIANOLA PK VIEW 3"</f>
        <v>2724 CALUMET ST PT FRT41.69FT TRI NS L8 INDIANOLA PK VIEW 3</v>
      </c>
      <c r="D12815" s="1">
        <v>1897.14</v>
      </c>
    </row>
    <row r="12816" spans="1:4" x14ac:dyDescent="0.3">
      <c r="A12816" s="1" t="str">
        <f>"53019718900"</f>
        <v>53019718900</v>
      </c>
      <c r="B12816" s="1" t="str">
        <f>"TTA REAL ESTATE INC"</f>
        <v>TTA REAL ESTATE INC</v>
      </c>
      <c r="C12816" s="1" t="str">
        <f>"2200 WILLIAMS RD R22 T4 1/4T12 0.3442 ACRE"</f>
        <v>2200 WILLIAMS RD R22 T4 1/4T12 0.3442 ACRE</v>
      </c>
      <c r="D12816" s="1">
        <v>374.2</v>
      </c>
    </row>
    <row r="12817" spans="1:4" x14ac:dyDescent="0.3">
      <c r="A12817" s="1" t="str">
        <f>"01010893300"</f>
        <v>01010893300</v>
      </c>
      <c r="B12817" s="1" t="str">
        <f>"TTL HOLDINGS LLC"</f>
        <v>TTL HOLDINGS LLC</v>
      </c>
      <c r="C12817" s="1" t="str">
        <f>"CENTURY DR ARLINGTON PK TR 1 LOT 128"</f>
        <v>CENTURY DR ARLINGTON PK TR 1 LOT 128</v>
      </c>
      <c r="D12817" s="1">
        <v>10.19</v>
      </c>
    </row>
    <row r="12818" spans="1:4" x14ac:dyDescent="0.3">
      <c r="A12818" s="1" t="str">
        <f>"01007079800"</f>
        <v>01007079800</v>
      </c>
      <c r="B12818" s="1" t="str">
        <f>"TTL HOLDINGS LLC"</f>
        <v>TTL HOLDINGS LLC</v>
      </c>
      <c r="C12818" s="1" t="str">
        <f>"1922 HUDSON ST ES LOT 30 &amp; WS 31 MUL-BUR HTS AMD"</f>
        <v>1922 HUDSON ST ES LOT 30 &amp; WS 31 MUL-BUR HTS AMD</v>
      </c>
      <c r="D12818" s="1">
        <v>6.31</v>
      </c>
    </row>
    <row r="12819" spans="1:4" x14ac:dyDescent="0.3">
      <c r="A12819" s="1" t="str">
        <f>"01001396800"</f>
        <v>01001396800</v>
      </c>
      <c r="B12819" s="1" t="str">
        <f>"TTSN PROPERTY LLC"</f>
        <v>TTSN PROPERTY LLC</v>
      </c>
      <c r="C12819" s="1" t="str">
        <f>"417-419 S WARREN AVE WICKLOW LOT 398-399"</f>
        <v>417-419 S WARREN AVE WICKLOW LOT 398-399</v>
      </c>
      <c r="D12819" s="1">
        <v>3812.74</v>
      </c>
    </row>
    <row r="12820" spans="1:4" x14ac:dyDescent="0.3">
      <c r="A12820" s="1" t="str">
        <f>"01005990400"</f>
        <v>01005990400</v>
      </c>
      <c r="B12820" s="1" t="str">
        <f>"TUCK ROSIE L"</f>
        <v>TUCK ROSIE L</v>
      </c>
      <c r="C12820" s="1" t="str">
        <f>"1652 ARLINGTON AVE WALDON LOT 7"</f>
        <v>1652 ARLINGTON AVE WALDON LOT 7</v>
      </c>
      <c r="D12820" s="1">
        <v>238.58</v>
      </c>
    </row>
    <row r="12821" spans="1:4" x14ac:dyDescent="0.3">
      <c r="A12821" s="1" t="str">
        <f>"01016186500"</f>
        <v>01016186500</v>
      </c>
      <c r="B12821" s="1" t="str">
        <f>"TUCKER JAMES, TUCKER BETTY J"</f>
        <v>TUCKER JAMES, TUCKER BETTY J</v>
      </c>
      <c r="C12821" s="1" t="str">
        <f>"SAGUS CIRCLE FRAMINGHAM LOT 39"</f>
        <v>SAGUS CIRCLE FRAMINGHAM LOT 39</v>
      </c>
      <c r="D12821" s="1">
        <v>2919.66</v>
      </c>
    </row>
    <row r="12822" spans="1:4" x14ac:dyDescent="0.3">
      <c r="A12822" s="1" t="str">
        <f>"51529569500"</f>
        <v>51529569500</v>
      </c>
      <c r="B12822" s="1" t="str">
        <f>"TUCKER LESLEY VANESSA"</f>
        <v>TUCKER LESLEY VANESSA</v>
      </c>
      <c r="C12822" s="1" t="str">
        <f>"DORCHESTER GREEN CONDOMINIUM 4TH AMD PHASE 5 BLDG 14 UNIT 14-B"</f>
        <v>DORCHESTER GREEN CONDOMINIUM 4TH AMD PHASE 5 BLDG 14 UNIT 14-B</v>
      </c>
      <c r="D12822" s="1">
        <v>2149.19</v>
      </c>
    </row>
    <row r="12823" spans="1:4" x14ac:dyDescent="0.3">
      <c r="A12823" s="1" t="str">
        <f>"56027452300"</f>
        <v>56027452300</v>
      </c>
      <c r="B12823" s="1" t="str">
        <f>"TUCKER MATHEW J L"</f>
        <v>TUCKER MATHEW J L</v>
      </c>
      <c r="C12823" s="1" t="str">
        <f>"MILLINGTON CONDOMINIUM AT MILL RUN 4TH AMD BLDG G UNIT 20 (GARAGE)"</f>
        <v>MILLINGTON CONDOMINIUM AT MILL RUN 4TH AMD BLDG G UNIT 20 (GARAGE)</v>
      </c>
      <c r="D12823" s="1">
        <v>233.4</v>
      </c>
    </row>
    <row r="12824" spans="1:4" x14ac:dyDescent="0.3">
      <c r="A12824" s="1" t="str">
        <f>"56027447800"</f>
        <v>56027447800</v>
      </c>
      <c r="B12824" s="1" t="str">
        <f>"TUCKER MATTHEW J L"</f>
        <v>TUCKER MATTHEW J L</v>
      </c>
      <c r="C12824" s="1" t="str">
        <f>"MILLINGTON CONDOMINIUM AT MILL RUN 4TH AMD BLDG A-3 UNIT 3548"</f>
        <v>MILLINGTON CONDOMINIUM AT MILL RUN 4TH AMD BLDG A-3 UNIT 3548</v>
      </c>
      <c r="D12824" s="1">
        <v>3195.63</v>
      </c>
    </row>
    <row r="12825" spans="1:4" x14ac:dyDescent="0.3">
      <c r="A12825" s="1" t="str">
        <f>"01019499900"</f>
        <v>01019499900</v>
      </c>
      <c r="B12825" s="1" t="str">
        <f>"TUCKER MATTHEW J L"</f>
        <v>TUCKER MATTHEW J L</v>
      </c>
      <c r="C12825" s="1" t="str">
        <f>"1287B LAKE SHORE DR HIDDEN LAKE CONDO PH4 UNIT 214 BLDG 14"</f>
        <v>1287B LAKE SHORE DR HIDDEN LAKE CONDO PH4 UNIT 214 BLDG 14</v>
      </c>
      <c r="D12825" s="1">
        <v>3068.37</v>
      </c>
    </row>
    <row r="12826" spans="1:4" x14ac:dyDescent="0.3">
      <c r="A12826" s="1" t="str">
        <f>"56027334800"</f>
        <v>56027334800</v>
      </c>
      <c r="B12826" s="1" t="str">
        <f>"TUCKER MATTHEW J L"</f>
        <v>TUCKER MATTHEW J L</v>
      </c>
      <c r="C12826" s="1" t="str">
        <f>"MILLINGTON CONDOMINIUM AT MILL RUN 2ND AMD BLDG A-14 UNIT 3467"</f>
        <v>MILLINGTON CONDOMINIUM AT MILL RUN 2ND AMD BLDG A-14 UNIT 3467</v>
      </c>
      <c r="D12826" s="1">
        <v>3195.63</v>
      </c>
    </row>
    <row r="12827" spans="1:4" x14ac:dyDescent="0.3">
      <c r="A12827" s="1" t="str">
        <f>"01000104500"</f>
        <v>01000104500</v>
      </c>
      <c r="B12827" s="1" t="str">
        <f>"TUCKER ROBERT"</f>
        <v>TUCKER ROBERT</v>
      </c>
      <c r="C12827" s="1" t="str">
        <f>"677 E MOLER ST W MERION EXRS LOT 237"</f>
        <v>677 E MOLER ST W MERION EXRS LOT 237</v>
      </c>
      <c r="D12827" s="1">
        <v>1744.42</v>
      </c>
    </row>
    <row r="12828" spans="1:4" x14ac:dyDescent="0.3">
      <c r="A12828" s="1" t="str">
        <f>"01007268500"</f>
        <v>01007268500</v>
      </c>
      <c r="B12828" s="1" t="str">
        <f>"TUCKER ROBERT K, TUCKER JOANNE E"</f>
        <v>TUCKER ROBERT K, TUCKER JOANNE E</v>
      </c>
      <c r="C12828" s="1" t="str">
        <f>"AZELDA ST ALMADA LOT 494"</f>
        <v>AZELDA ST ALMADA LOT 494</v>
      </c>
      <c r="D12828" s="1">
        <v>95.13</v>
      </c>
    </row>
    <row r="12829" spans="1:4" x14ac:dyDescent="0.3">
      <c r="A12829" s="1" t="str">
        <f>"15000217300"</f>
        <v>15000217300</v>
      </c>
      <c r="B12829" s="1" t="str">
        <f>"TUCKER TRACY L"</f>
        <v>TUCKER TRACY L</v>
      </c>
      <c r="C12829" s="1" t="str">
        <f>"920 OLYMPIA DR HAMILTON MEADOWS 4 LOT 551"</f>
        <v>920 OLYMPIA DR HAMILTON MEADOWS 4 LOT 551</v>
      </c>
      <c r="D12829" s="1">
        <v>1649.76</v>
      </c>
    </row>
    <row r="12830" spans="1:4" x14ac:dyDescent="0.3">
      <c r="A12830" s="1" t="str">
        <f>"21000350600"</f>
        <v>21000350600</v>
      </c>
      <c r="B12830" s="1" t="str">
        <f>"TUFTS BRUCE J TTEE (BJT TRUST), TUFTS JOYCELYN M TTEE (BJT TRUST), TUFTS BRUCE J TTEE (JMT TRUST), TUFTS JOYCELYN M TTEE (JMT TRUST), TUFTS NOAH QUINN"</f>
        <v>TUFTS BRUCE J TTEE (BJT TRUST), TUFTS JOYCELYN M TTEE (BJT TRUST), TUFTS BRUCE J TTEE (JMT TRUST), TUFTS JOYCELYN M TTEE (JMT TRUST), TUFTS NOAH QUINN</v>
      </c>
      <c r="C12830" s="1" t="str">
        <f>"ARLINGTON POINTE CONDOMINIUM UNIT O 2564"</f>
        <v>ARLINGTON POINTE CONDOMINIUM UNIT O 2564</v>
      </c>
      <c r="D12830" s="1">
        <v>2998.38</v>
      </c>
    </row>
    <row r="12831" spans="1:4" x14ac:dyDescent="0.3">
      <c r="A12831" s="1" t="str">
        <f>"25200018400"</f>
        <v>25200018400</v>
      </c>
      <c r="B12831" s="1" t="str">
        <f>"TUGGLE KATHY WISEMAN, WISEMAN CHARLES"</f>
        <v>TUGGLE KATHY WISEMAN, WISEMAN CHARLES</v>
      </c>
      <c r="C12831" s="1" t="str">
        <f>"HILDRETH AVE NORTH HOME ACRE PARK AMD 59"</f>
        <v>HILDRETH AVE NORTH HOME ACRE PARK AMD 59</v>
      </c>
      <c r="D12831" s="1">
        <v>736.97</v>
      </c>
    </row>
    <row r="12832" spans="1:4" x14ac:dyDescent="0.3">
      <c r="A12832" s="1" t="str">
        <f>"04000620800"</f>
        <v>04000620800</v>
      </c>
      <c r="B12832" s="1" t="str">
        <f>"TUGGLE RUSSELL L, TUGGLE DEBORAH K"</f>
        <v>TUGGLE RUSSELL L, TUGGLE DEBORAH K</v>
      </c>
      <c r="C12832" s="1" t="str">
        <f>"5406 HOOVER RD MEADOW GROVE SEC 3 LOT 72"</f>
        <v>5406 HOOVER RD MEADOW GROVE SEC 3 LOT 72</v>
      </c>
      <c r="D12832" s="1">
        <v>2527.12</v>
      </c>
    </row>
    <row r="12833" spans="1:4" x14ac:dyDescent="0.3">
      <c r="A12833" s="1" t="str">
        <f>"61019962300"</f>
        <v>61019962300</v>
      </c>
      <c r="B12833" s="1" t="str">
        <f>"TUMATI MANOJ KUMAR, LINGAM SINDHU"</f>
        <v>TUMATI MANOJ KUMAR, LINGAM SINDHU</v>
      </c>
      <c r="C12833" s="1" t="str">
        <f>"WORTHINGTON WOODS WEST CONDO 1 UNIT 12 BLDG C"</f>
        <v>WORTHINGTON WOODS WEST CONDO 1 UNIT 12 BLDG C</v>
      </c>
      <c r="D12833" s="1">
        <v>204.19</v>
      </c>
    </row>
    <row r="12834" spans="1:4" x14ac:dyDescent="0.3">
      <c r="A12834" s="1" t="str">
        <f>"22200128400"</f>
        <v>22200128400</v>
      </c>
      <c r="B12834" s="1" t="str">
        <f>"TUMBAS DAVID D, TUMBAS SHARON L"</f>
        <v>TUMBAS DAVID D, TUMBAS SHARON L</v>
      </c>
      <c r="C12834" s="1" t="str">
        <f>"7600 KING GEORGE DR NEW ALBANY COUNTRY CLUB SEC 8 LOT 1"</f>
        <v>7600 KING GEORGE DR NEW ALBANY COUNTRY CLUB SEC 8 LOT 1</v>
      </c>
      <c r="D12834" s="1">
        <v>746.09</v>
      </c>
    </row>
    <row r="12835" spans="1:4" x14ac:dyDescent="0.3">
      <c r="A12835" s="1" t="str">
        <f>"01027438500"</f>
        <v>01027438500</v>
      </c>
      <c r="B12835" s="1" t="str">
        <f>"TURA TIZAZU N"</f>
        <v>TURA TIZAZU N</v>
      </c>
      <c r="C12835" s="1" t="str">
        <f>"VILLAGE AT SHANNON GREEN S-F HOMES CONDOMINIUM 29TH AMD UNIT 186"</f>
        <v>VILLAGE AT SHANNON GREEN S-F HOMES CONDOMINIUM 29TH AMD UNIT 186</v>
      </c>
      <c r="D12835" s="1">
        <v>1948.14</v>
      </c>
    </row>
    <row r="12836" spans="1:4" x14ac:dyDescent="0.3">
      <c r="A12836" s="1" t="str">
        <f>"01015278200"</f>
        <v>01015278200</v>
      </c>
      <c r="B12836" s="1" t="str">
        <f>"TURAY ISHA"</f>
        <v>TURAY ISHA</v>
      </c>
      <c r="C12836" s="1" t="str">
        <f>"PINE BLUFF RD FOREST PARK E SEC 9 LOT 1288"</f>
        <v>PINE BLUFF RD FOREST PARK E SEC 9 LOT 1288</v>
      </c>
      <c r="D12836" s="1">
        <v>233.63</v>
      </c>
    </row>
    <row r="12837" spans="1:4" x14ac:dyDescent="0.3">
      <c r="A12837" s="1" t="str">
        <f>"60016776200"</f>
        <v>60016776200</v>
      </c>
      <c r="B12837" s="1" t="str">
        <f>"TURICK JENNIFER"</f>
        <v>TURICK JENNIFER</v>
      </c>
      <c r="C12837" s="1" t="str">
        <f>"CHIPPEWILL CONDOMINIUM BLDG 33 UNIT 6"</f>
        <v>CHIPPEWILL CONDOMINIUM BLDG 33 UNIT 6</v>
      </c>
      <c r="D12837" s="1">
        <v>217.8</v>
      </c>
    </row>
    <row r="12838" spans="1:4" x14ac:dyDescent="0.3">
      <c r="A12838" s="1" t="str">
        <f>"09000147600"</f>
        <v>09000147600</v>
      </c>
      <c r="B12838" s="1" t="str">
        <f>"TURJANICA LOIS E"</f>
        <v>TURJANICA LOIS E</v>
      </c>
      <c r="C12838" s="1" t="str">
        <f>"136 ST CHRISTOPHER LANE NORTON FIELD PLAT NO 2 LOT 571"</f>
        <v>136 ST CHRISTOPHER LANE NORTON FIELD PLAT NO 2 LOT 571</v>
      </c>
      <c r="D12838" s="1">
        <v>1378.56</v>
      </c>
    </row>
    <row r="12839" spans="1:4" x14ac:dyDescent="0.3">
      <c r="A12839" s="1" t="str">
        <f>"01006474600"</f>
        <v>01006474600</v>
      </c>
      <c r="B12839" s="1" t="str">
        <f>"TURNAROUND PROPERTY LLC"</f>
        <v>TURNAROUND PROPERTY LLC</v>
      </c>
      <c r="C12839" s="1" t="str">
        <f>"1664 ABERDEEN AVE LINDEN LOT 319"</f>
        <v>1664 ABERDEEN AVE LINDEN LOT 319</v>
      </c>
      <c r="D12839" s="1">
        <v>4566.21</v>
      </c>
    </row>
    <row r="12840" spans="1:4" x14ac:dyDescent="0.3">
      <c r="A12840" s="1" t="str">
        <f>"01009778100"</f>
        <v>01009778100</v>
      </c>
      <c r="B12840" s="1" t="str">
        <f>"TURNAROUND PROPERTY LLC"</f>
        <v>TURNAROUND PROPERTY LLC</v>
      </c>
      <c r="C12840" s="1" t="str">
        <f>"MILLERDALE RD BERWICK HTS LOT 21"</f>
        <v>MILLERDALE RD BERWICK HTS LOT 21</v>
      </c>
      <c r="D12840" s="1">
        <v>2524.54</v>
      </c>
    </row>
    <row r="12841" spans="1:4" x14ac:dyDescent="0.3">
      <c r="A12841" s="1" t="str">
        <f>"01009864600"</f>
        <v>01009864600</v>
      </c>
      <c r="B12841" s="1" t="str">
        <f>"TURNBO TODD A SR, TURNBO JACQUELINE D"</f>
        <v>TURNBO TODD A SR, TURNBO JACQUELINE D</v>
      </c>
      <c r="C12841" s="1" t="str">
        <f>"25TH AVE CASITA PARK LOT 110"</f>
        <v>25TH AVE CASITA PARK LOT 110</v>
      </c>
      <c r="D12841" s="1">
        <v>1985.72</v>
      </c>
    </row>
    <row r="12842" spans="1:4" x14ac:dyDescent="0.3">
      <c r="A12842" s="1" t="str">
        <f>"07001483500"</f>
        <v>07001483500</v>
      </c>
      <c r="B12842" s="1" t="str">
        <f>"TURNBULL CHERYL L"</f>
        <v>TURNBULL CHERYL L</v>
      </c>
      <c r="C12842" s="1" t="str">
        <f>"DORCHESTER RD CANTERBURY PL BLK 266 130.74' WL, 103.44' EL OFF SL LOT 5 (0.298 ACRE)"</f>
        <v>DORCHESTER RD CANTERBURY PL BLK 266 130.74' WL, 103.44' EL OFF SL LOT 5 (0.298 ACRE)</v>
      </c>
      <c r="D12842" s="1">
        <v>983.12</v>
      </c>
    </row>
    <row r="12843" spans="1:4" x14ac:dyDescent="0.3">
      <c r="A12843" s="1" t="str">
        <f>"01013721700"</f>
        <v>01013721700</v>
      </c>
      <c r="B12843" s="1" t="str">
        <f>"TURNER ANNIE E"</f>
        <v>TURNER ANNIE E</v>
      </c>
      <c r="C12843" s="1" t="str">
        <f>"PENFIELD RD HAVILAND 1 LOT 64"</f>
        <v>PENFIELD RD HAVILAND 1 LOT 64</v>
      </c>
      <c r="D12843" s="1">
        <v>1033.53</v>
      </c>
    </row>
    <row r="12844" spans="1:4" x14ac:dyDescent="0.3">
      <c r="A12844" s="1" t="str">
        <f>"01004137600"</f>
        <v>01004137600</v>
      </c>
      <c r="B12844" s="1" t="str">
        <f>"TURNER CYNTHIA YVETTE, DAWKINS EDWARD C, GIBSON RAYMOND L SR, GIBSON RONALD NORMAN"</f>
        <v>TURNER CYNTHIA YVETTE, DAWKINS EDWARD C, GIBSON RAYMOND L SR, GIBSON RONALD NORMAN</v>
      </c>
      <c r="C12844" s="1" t="str">
        <f>"HILDRETH AVE HILDRETH LOT 56"</f>
        <v>HILDRETH AVE HILDRETH LOT 56</v>
      </c>
      <c r="D12844" s="1">
        <v>258.58</v>
      </c>
    </row>
    <row r="12845" spans="1:4" x14ac:dyDescent="0.3">
      <c r="A12845" s="1" t="str">
        <f>"01009648800"</f>
        <v>01009648800</v>
      </c>
      <c r="B12845" s="1" t="str">
        <f>"TURNER DEBORAH G"</f>
        <v>TURNER DEBORAH G</v>
      </c>
      <c r="C12845" s="1" t="str">
        <f>"DUXBERRY AVE HAMILTON SCHOOL LOT 8"</f>
        <v>DUXBERRY AVE HAMILTON SCHOOL LOT 8</v>
      </c>
      <c r="D12845" s="1">
        <v>1797.28</v>
      </c>
    </row>
    <row r="12846" spans="1:4" x14ac:dyDescent="0.3">
      <c r="A12846" s="1" t="str">
        <f>"01016557700"</f>
        <v>01016557700</v>
      </c>
      <c r="B12846" s="1" t="str">
        <f>"TURNER DELORES"</f>
        <v>TURNER DELORES</v>
      </c>
      <c r="C12846" s="1" t="str">
        <f>"PLANTATION LAKES CONDOMINIUM BLDG 8 UNIT A"</f>
        <v>PLANTATION LAKES CONDOMINIUM BLDG 8 UNIT A</v>
      </c>
      <c r="D12846" s="1">
        <v>179.15</v>
      </c>
    </row>
    <row r="12847" spans="1:4" x14ac:dyDescent="0.3">
      <c r="A12847" s="1" t="str">
        <f>"01004771900"</f>
        <v>01004771900</v>
      </c>
      <c r="B12847" s="1" t="str">
        <f>"TURNER JASON"</f>
        <v>TURNER JASON</v>
      </c>
      <c r="C12847" s="1" t="str">
        <f>"560 HANFORD ST PHILLIPS SCHMIDT 3RD LOT 84"</f>
        <v>560 HANFORD ST PHILLIPS SCHMIDT 3RD LOT 84</v>
      </c>
      <c r="D12847" s="1">
        <v>3529.83</v>
      </c>
    </row>
    <row r="12848" spans="1:4" x14ac:dyDescent="0.3">
      <c r="A12848" s="1" t="str">
        <f>"16100049000"</f>
        <v>16100049000</v>
      </c>
      <c r="B12848" s="1" t="str">
        <f>"TURNER LAWRENCE A JR"</f>
        <v>TURNER LAWRENCE A JR</v>
      </c>
      <c r="C12848" s="1" t="str">
        <f>"CENTRAL AVE URBANCREST 12-13 BLK 3"</f>
        <v>CENTRAL AVE URBANCREST 12-13 BLK 3</v>
      </c>
      <c r="D12848" s="1">
        <v>2042.04</v>
      </c>
    </row>
    <row r="12849" spans="1:4" x14ac:dyDescent="0.3">
      <c r="A12849" s="1" t="str">
        <f>"16100039100"</f>
        <v>16100039100</v>
      </c>
      <c r="B12849" s="1" t="str">
        <f>"TURNER LAWRENCE A JR"</f>
        <v>TURNER LAWRENCE A JR</v>
      </c>
      <c r="C12849" s="1" t="str">
        <f>"CENTRAL AVE URBANCREST 7-8 BLK 3"</f>
        <v>CENTRAL AVE URBANCREST 7-8 BLK 3</v>
      </c>
      <c r="D12849" s="1">
        <v>145.11000000000001</v>
      </c>
    </row>
    <row r="12850" spans="1:4" x14ac:dyDescent="0.3">
      <c r="A12850" s="1" t="str">
        <f>"16100085400"</f>
        <v>16100085400</v>
      </c>
      <c r="B12850" s="1" t="str">
        <f>"TURNER LAWRENCE A JR"</f>
        <v>TURNER LAWRENCE A JR</v>
      </c>
      <c r="C12850" s="1" t="str">
        <f>"3670 CENTRAL AVE URBANCREST 9 BLK 3"</f>
        <v>3670 CENTRAL AVE URBANCREST 9 BLK 3</v>
      </c>
      <c r="D12850" s="1">
        <v>1458.45</v>
      </c>
    </row>
    <row r="12851" spans="1:4" x14ac:dyDescent="0.3">
      <c r="A12851" s="1" t="str">
        <f>"01006325900"</f>
        <v>01006325900</v>
      </c>
      <c r="B12851" s="1" t="str">
        <f>"TURNER NOLAN THAW"</f>
        <v>TURNER NOLAN THAW</v>
      </c>
      <c r="C12851" s="1" t="str">
        <f>"DUNHAMS 1ST LOT 66 "</f>
        <v xml:space="preserve">DUNHAMS 1ST LOT 66 </v>
      </c>
      <c r="D12851" s="1">
        <v>214.13</v>
      </c>
    </row>
    <row r="12852" spans="1:4" x14ac:dyDescent="0.3">
      <c r="A12852" s="1" t="str">
        <f>"24000433700"</f>
        <v>24000433700</v>
      </c>
      <c r="B12852" s="1" t="str">
        <f>"TURNER SHIRLEY F TR"</f>
        <v>TURNER SHIRLEY F TR</v>
      </c>
      <c r="C12852" s="1" t="str">
        <f>"4646 ARNOLD AVE LINCOLN VILLAGE S LOT 174"</f>
        <v>4646 ARNOLD AVE LINCOLN VILLAGE S LOT 174</v>
      </c>
      <c r="D12852" s="1">
        <v>153.27000000000001</v>
      </c>
    </row>
    <row r="12853" spans="1:4" x14ac:dyDescent="0.3">
      <c r="A12853" s="1" t="str">
        <f>"01007614400"</f>
        <v>01007614400</v>
      </c>
      <c r="B12853" s="1" t="str">
        <f>"TURNER WALTER L"</f>
        <v>TURNER WALTER L</v>
      </c>
      <c r="C12853" s="1" t="str">
        <f>"1089-91 18TH AVE WILLARD CLEVE HTS LOT 46"</f>
        <v>1089-91 18TH AVE WILLARD CLEVE HTS LOT 46</v>
      </c>
      <c r="D12853" s="1">
        <v>760.31</v>
      </c>
    </row>
    <row r="12854" spans="1:4" x14ac:dyDescent="0.3">
      <c r="A12854" s="1" t="str">
        <f>"01000968700"</f>
        <v>01000968700</v>
      </c>
      <c r="B12854" s="1" t="str">
        <f>"TURNER WALTER L, TURNER KIMICO K"</f>
        <v>TURNER WALTER L, TURNER KIMICO K</v>
      </c>
      <c r="C12854" s="1" t="str">
        <f>"NORTHVIEW AVE NORTH BEXLEY VIEW LOT 25"</f>
        <v>NORTHVIEW AVE NORTH BEXLEY VIEW LOT 25</v>
      </c>
      <c r="D12854" s="1">
        <v>489.01</v>
      </c>
    </row>
    <row r="12855" spans="1:4" x14ac:dyDescent="0.3">
      <c r="A12855" s="1" t="str">
        <f>"01003547100"</f>
        <v>01003547100</v>
      </c>
      <c r="B12855" s="1" t="str">
        <f>"TURNER WALTER L, TURNER KIMICO K"</f>
        <v>TURNER WALTER L, TURNER KIMICO K</v>
      </c>
      <c r="C12855" s="1" t="str">
        <f>"766 NORTHVIEW AVE NORTH BEXLEY VIEW LOT 12"</f>
        <v>766 NORTHVIEW AVE NORTH BEXLEY VIEW LOT 12</v>
      </c>
      <c r="D12855" s="1">
        <v>2812.61</v>
      </c>
    </row>
    <row r="12856" spans="1:4" x14ac:dyDescent="0.3">
      <c r="A12856" s="1" t="str">
        <f>"01009583000"</f>
        <v>01009583000</v>
      </c>
      <c r="B12856" s="1" t="str">
        <f>"TURNS MABEL M"</f>
        <v>TURNS MABEL M</v>
      </c>
      <c r="C12856" s="1" t="str">
        <f>"ABERDEEN AVE HOME BUILDERS LOT 8"</f>
        <v>ABERDEEN AVE HOME BUILDERS LOT 8</v>
      </c>
      <c r="D12856" s="1">
        <v>901.52</v>
      </c>
    </row>
    <row r="12857" spans="1:4" x14ac:dyDescent="0.3">
      <c r="A12857" s="1" t="str">
        <f>"01011303700"</f>
        <v>01011303700</v>
      </c>
      <c r="B12857" s="1" t="str">
        <f>"TUSSEY DIANE M"</f>
        <v>TUSSEY DIANE M</v>
      </c>
      <c r="C12857" s="1" t="str">
        <f>"114 BENFIELD RD S HIGH ST LOT 93 "</f>
        <v xml:space="preserve">114 BENFIELD RD S HIGH ST LOT 93 </v>
      </c>
      <c r="D12857" s="1">
        <v>1113.7</v>
      </c>
    </row>
    <row r="12858" spans="1:4" x14ac:dyDescent="0.3">
      <c r="A12858" s="1" t="str">
        <f>"01007358600"</f>
        <v>01007358600</v>
      </c>
      <c r="B12858" s="1" t="str">
        <f>"TUSSING MARIKO"</f>
        <v>TUSSING MARIKO</v>
      </c>
      <c r="C12858" s="1" t="str">
        <f>"1685 DUNEDIN RD KENMORE KNOLLS ALL LOT 51 &amp; WS 50"</f>
        <v>1685 DUNEDIN RD KENMORE KNOLLS ALL LOT 51 &amp; WS 50</v>
      </c>
      <c r="D12858" s="1">
        <v>104.82</v>
      </c>
    </row>
    <row r="12859" spans="1:4" x14ac:dyDescent="0.3">
      <c r="A12859" s="1" t="str">
        <f>"05000520600"</f>
        <v>05000520600</v>
      </c>
      <c r="B12859" s="1" t="str">
        <f>"TUTTLE CRAIG TTEE"</f>
        <v>TUTTLE CRAIG TTEE</v>
      </c>
      <c r="C12859" s="1" t="str">
        <f>"HIGHLAND MEADOWS DR HIGHLAND MEADOWS LOT 34"</f>
        <v>HIGHLAND MEADOWS DR HIGHLAND MEADOWS LOT 34</v>
      </c>
      <c r="D12859" s="1">
        <v>5316.93</v>
      </c>
    </row>
    <row r="12860" spans="1:4" x14ac:dyDescent="0.3">
      <c r="A12860" s="1" t="str">
        <f>"01021489100"</f>
        <v>01021489100</v>
      </c>
      <c r="B12860" s="1" t="str">
        <f>"TW5 LLC"</f>
        <v>TW5 LLC</v>
      </c>
      <c r="C12860" s="1" t="str">
        <f>"CHARLESTON PLACE CONDOMINIUM UNIT 16"</f>
        <v>CHARLESTON PLACE CONDOMINIUM UNIT 16</v>
      </c>
      <c r="D12860" s="1">
        <v>213.07</v>
      </c>
    </row>
    <row r="12861" spans="1:4" x14ac:dyDescent="0.3">
      <c r="A12861" s="1" t="str">
        <f>"01021490600"</f>
        <v>01021490600</v>
      </c>
      <c r="B12861" s="1" t="str">
        <f>"TW5 LLC"</f>
        <v>TW5 LLC</v>
      </c>
      <c r="C12861" s="1" t="str">
        <f>"CHARLESTON PLACE CONDOMINIUM UNIT 31"</f>
        <v>CHARLESTON PLACE CONDOMINIUM UNIT 31</v>
      </c>
      <c r="D12861" s="1">
        <v>208.2</v>
      </c>
    </row>
    <row r="12862" spans="1:4" x14ac:dyDescent="0.3">
      <c r="A12862" s="1" t="str">
        <f>"23000226300"</f>
        <v>23000226300</v>
      </c>
      <c r="B12862" s="1" t="str">
        <f>"TWEED JUDITH"</f>
        <v>TWEED JUDITH</v>
      </c>
      <c r="C12862" s="1" t="str">
        <f>"A STREET COVERED BRIDGE 154 "</f>
        <v xml:space="preserve">A STREET COVERED BRIDGE 154 </v>
      </c>
      <c r="D12862" s="1">
        <v>249.53</v>
      </c>
    </row>
    <row r="12863" spans="1:4" x14ac:dyDescent="0.3">
      <c r="A12863" s="1" t="str">
        <f>"05000407500"</f>
        <v>05000407500</v>
      </c>
      <c r="B12863" s="1" t="str">
        <f>"TWF INVESTMENTS INC"</f>
        <v>TWF INVESTMENTS INC</v>
      </c>
      <c r="C12863" s="1" t="str">
        <f>"4630 LEAP COURT HILLIARD SQ OFFICE CONDO AMD UNIT 3"</f>
        <v>4630 LEAP COURT HILLIARD SQ OFFICE CONDO AMD UNIT 3</v>
      </c>
      <c r="D12863" s="1">
        <v>16896.68</v>
      </c>
    </row>
    <row r="12864" spans="1:4" x14ac:dyDescent="0.3">
      <c r="A12864" s="1" t="str">
        <f>"01011314400"</f>
        <v>01011314400</v>
      </c>
      <c r="B12864" s="1" t="str">
        <f>"TWG CASTLE LP"</f>
        <v>TWG CASTLE LP</v>
      </c>
      <c r="C12864" s="1" t="str">
        <f>"CASTLE RD BROOKSIDE LOT 11"</f>
        <v>CASTLE RD BROOKSIDE LOT 11</v>
      </c>
      <c r="D12864" s="1">
        <v>51.7</v>
      </c>
    </row>
    <row r="12865" spans="1:4" x14ac:dyDescent="0.3">
      <c r="A12865" s="1" t="str">
        <f>"01010271600"</f>
        <v>01010271600</v>
      </c>
      <c r="B12865" s="1" t="str">
        <f>"TWIN RIVERS LLC"</f>
        <v>TWIN RIVERS LLC</v>
      </c>
      <c r="C12865" s="1" t="str">
        <f>"DUBLIN RD 19.548ACRE U S COURT R22 T5 S7 1/2S7-8 LOT 4-23INC"</f>
        <v>DUBLIN RD 19.548ACRE U S COURT R22 T5 S7 1/2S7-8 LOT 4-23INC</v>
      </c>
      <c r="D12865" s="1">
        <v>15851.58</v>
      </c>
    </row>
    <row r="12866" spans="1:4" x14ac:dyDescent="0.3">
      <c r="A12866" s="1" t="str">
        <f>"08000071300"</f>
        <v>08000071300</v>
      </c>
      <c r="B12866" s="1" t="str">
        <f>"TWIN TIGER LLC"</f>
        <v>TWIN TIGER LLC</v>
      </c>
      <c r="C12866" s="1" t="str">
        <f>"255 S STATE ST .239 ACRE "</f>
        <v xml:space="preserve">255 S STATE ST .239 ACRE </v>
      </c>
      <c r="D12866" s="1">
        <v>7524.37</v>
      </c>
    </row>
    <row r="12867" spans="1:4" x14ac:dyDescent="0.3">
      <c r="A12867" s="1" t="str">
        <f>"08000016800"</f>
        <v>08000016800</v>
      </c>
      <c r="B12867" s="1" t="str">
        <f>"TWIN TIGER MEDICAL LLC"</f>
        <v>TWIN TIGER MEDICAL LLC</v>
      </c>
      <c r="C12867" s="1" t="str">
        <f>"61 63 W MAIN ST 70.67 X 81.3FT NE PT WESTRVELTS 1ST OLD 9"</f>
        <v>61 63 W MAIN ST 70.67 X 81.3FT NE PT WESTRVELTS 1ST OLD 9</v>
      </c>
      <c r="D12867" s="1">
        <v>4028.07</v>
      </c>
    </row>
    <row r="12868" spans="1:4" x14ac:dyDescent="0.3">
      <c r="A12868" s="1" t="str">
        <f>"01011939800"</f>
        <v>01011939800</v>
      </c>
      <c r="B12868" s="1" t="str">
        <f>"TWINAM RONALD K"</f>
        <v>TWINAM RONALD K</v>
      </c>
      <c r="C12868" s="1" t="str">
        <f>"SHELLY DR SCIOTO VILL LOT 47"</f>
        <v>SHELLY DR SCIOTO VILL LOT 47</v>
      </c>
      <c r="D12868" s="1">
        <v>1048.33</v>
      </c>
    </row>
    <row r="12869" spans="1:4" x14ac:dyDescent="0.3">
      <c r="A12869" s="1" t="str">
        <f>"01029553300"</f>
        <v>01029553300</v>
      </c>
      <c r="B12869" s="1" t="str">
        <f>"TWINING DENNIS R TR"</f>
        <v>TWINING DENNIS R TR</v>
      </c>
      <c r="C12869" s="1" t="str">
        <f>"RIVER HIGHLANDS CONDOMINIUM 27TH AMD UNIT 3234"</f>
        <v>RIVER HIGHLANDS CONDOMINIUM 27TH AMD UNIT 3234</v>
      </c>
      <c r="D12869" s="1">
        <v>5283.37</v>
      </c>
    </row>
    <row r="12870" spans="1:4" x14ac:dyDescent="0.3">
      <c r="A12870" s="1" t="str">
        <f>"01009379000"</f>
        <v>01009379000</v>
      </c>
      <c r="B12870" s="1" t="str">
        <f>"TWO 91 HOLDINGS LL C"</f>
        <v>TWO 91 HOLDINGS LL C</v>
      </c>
      <c r="C12870" s="1" t="str">
        <f>"RR 30-32 S PRINCETON WEST PARK LOT 771"</f>
        <v>RR 30-32 S PRINCETON WEST PARK LOT 771</v>
      </c>
      <c r="D12870" s="1">
        <v>46.71</v>
      </c>
    </row>
    <row r="12871" spans="1:4" x14ac:dyDescent="0.3">
      <c r="A12871" s="1" t="str">
        <f>"01033272200"</f>
        <v>01033272200</v>
      </c>
      <c r="B12871" s="1" t="str">
        <f>"TWO 91 HOLDINGS LLC"</f>
        <v>TWO 91 HOLDINGS LLC</v>
      </c>
      <c r="C12871" s="1" t="str">
        <f>"ROGERS AVE COTTAGE PLACE LOT 90"</f>
        <v>ROGERS AVE COTTAGE PLACE LOT 90</v>
      </c>
      <c r="D12871" s="1">
        <v>308.47000000000003</v>
      </c>
    </row>
    <row r="12872" spans="1:4" x14ac:dyDescent="0.3">
      <c r="A12872" s="1" t="str">
        <f>"01000777300"</f>
        <v>01000777300</v>
      </c>
      <c r="B12872" s="1" t="str">
        <f>"TWO 91 HOLDINGS LLC"</f>
        <v>TWO 91 HOLDINGS LLC</v>
      </c>
      <c r="C12872" s="1" t="str">
        <f>"187 MIDLAND AVE WESTWOOD HTS LOT 103"</f>
        <v>187 MIDLAND AVE WESTWOOD HTS LOT 103</v>
      </c>
      <c r="D12872" s="1">
        <v>1043.79</v>
      </c>
    </row>
    <row r="12873" spans="1:4" x14ac:dyDescent="0.3">
      <c r="A12873" s="1" t="str">
        <f>"01000120600"</f>
        <v>01000120600</v>
      </c>
      <c r="B12873" s="1" t="str">
        <f>"TWO 91 HOLDINGS LLC"</f>
        <v>TWO 91 HOLDINGS LLC</v>
      </c>
      <c r="C12873" s="1" t="str">
        <f>"267 W PARK AVE WEST PARK LOT 711"</f>
        <v>267 W PARK AVE WEST PARK LOT 711</v>
      </c>
      <c r="D12873" s="1">
        <v>356.79</v>
      </c>
    </row>
    <row r="12874" spans="1:4" x14ac:dyDescent="0.3">
      <c r="A12874" s="1" t="str">
        <f>"01001976500"</f>
        <v>01001976500</v>
      </c>
      <c r="B12874" s="1" t="str">
        <f>"TWO 91 HOLDINGS LLC"</f>
        <v>TWO 91 HOLDINGS LLC</v>
      </c>
      <c r="C12874" s="1" t="str">
        <f>"884 THOMAS AVE OSBORN PLACE ADDN LOT 336   28' X 120'"</f>
        <v>884 THOMAS AVE OSBORN PLACE ADDN LOT 336   28' X 120'</v>
      </c>
      <c r="D12874" s="1">
        <v>312.2</v>
      </c>
    </row>
    <row r="12875" spans="1:4" x14ac:dyDescent="0.3">
      <c r="A12875" s="1" t="str">
        <f>"01001407900"</f>
        <v>01001407900</v>
      </c>
      <c r="B12875" s="1" t="str">
        <f>"TWO 91 HOLDINGS LLC"</f>
        <v>TWO 91 HOLDINGS LLC</v>
      </c>
      <c r="C12875" s="1" t="str">
        <f>"NACE AVE HAMILTON PLACE ADD LT 160  28.4' X 120'"</f>
        <v>NACE AVE HAMILTON PLACE ADD LT 160  28.4' X 120'</v>
      </c>
      <c r="D12875" s="1">
        <v>312.2</v>
      </c>
    </row>
    <row r="12876" spans="1:4" x14ac:dyDescent="0.3">
      <c r="A12876" s="1" t="str">
        <f>"01001977800"</f>
        <v>01001977800</v>
      </c>
      <c r="B12876" s="1" t="str">
        <f>"TWO 91 HOLDINGS LLC"</f>
        <v>TWO 91 HOLDINGS LLC</v>
      </c>
      <c r="C12876" s="1" t="str">
        <f>"768 THOMAS OSBORN PLC LOT 360"</f>
        <v>768 THOMAS OSBORN PLC LOT 360</v>
      </c>
      <c r="D12876" s="1">
        <v>338.21</v>
      </c>
    </row>
    <row r="12877" spans="1:4" x14ac:dyDescent="0.3">
      <c r="A12877" s="1" t="str">
        <f>"01004493700"</f>
        <v>01004493700</v>
      </c>
      <c r="B12877" s="1" t="str">
        <f>"TWO 91 HOLDINGS LLC"</f>
        <v>TWO 91 HOLDINGS LLC</v>
      </c>
      <c r="C12877" s="1" t="str">
        <f>"STEVENS AVE BELMONT LOT 66"</f>
        <v>STEVENS AVE BELMONT LOT 66</v>
      </c>
      <c r="D12877" s="1">
        <v>332.92</v>
      </c>
    </row>
    <row r="12878" spans="1:4" x14ac:dyDescent="0.3">
      <c r="A12878" s="1" t="str">
        <f>"01003267700"</f>
        <v>01003267700</v>
      </c>
      <c r="B12878" s="1" t="str">
        <f>"TWO 91 HOLDINGS LLC"</f>
        <v>TWO 91 HOLDINGS LLC</v>
      </c>
      <c r="C12878" s="1" t="str">
        <f>"972 BELLOWS AVE AVONDALE LOT 62"</f>
        <v>972 BELLOWS AVE AVONDALE LOT 62</v>
      </c>
      <c r="D12878" s="1">
        <v>340.33</v>
      </c>
    </row>
    <row r="12879" spans="1:4" x14ac:dyDescent="0.3">
      <c r="A12879" s="1" t="str">
        <f>"01001060800"</f>
        <v>01001060800</v>
      </c>
      <c r="B12879" s="1" t="str">
        <f>"TWO 91 HOLDINGS LLC"</f>
        <v>TWO 91 HOLDINGS LLC</v>
      </c>
      <c r="C12879" s="1" t="str">
        <f>"WARREN AVE WICKLOW ADDITION LOT 384"</f>
        <v>WARREN AVE WICKLOW ADDITION LOT 384</v>
      </c>
      <c r="D12879" s="1">
        <v>271.32</v>
      </c>
    </row>
    <row r="12880" spans="1:4" x14ac:dyDescent="0.3">
      <c r="A12880" s="1" t="str">
        <f>"01004032200"</f>
        <v>01004032200</v>
      </c>
      <c r="B12880" s="1" t="str">
        <f>"TWO 91 HOLDINGS LLC"</f>
        <v>TWO 91 HOLDINGS LLC</v>
      </c>
      <c r="C12880" s="1" t="str">
        <f>"256 S CENTRAL AVE NL DOREN CENTRAL AVE LOT 201"</f>
        <v>256 S CENTRAL AVE NL DOREN CENTRAL AVE LOT 201</v>
      </c>
      <c r="D12880" s="1">
        <v>344.05</v>
      </c>
    </row>
    <row r="12881" spans="1:4" x14ac:dyDescent="0.3">
      <c r="A12881" s="1" t="str">
        <f>"01004620500"</f>
        <v>01004620500</v>
      </c>
      <c r="B12881" s="1" t="str">
        <f>"TWO 91 HOLDINGS LLC"</f>
        <v>TWO 91 HOLDINGS LLC</v>
      </c>
      <c r="C12881" s="1" t="str">
        <f>"RODGERS AVE COTTAGE PLACE LOT 89"</f>
        <v>RODGERS AVE COTTAGE PLACE LOT 89</v>
      </c>
      <c r="D12881" s="1">
        <v>308.47000000000003</v>
      </c>
    </row>
    <row r="12882" spans="1:4" x14ac:dyDescent="0.3">
      <c r="A12882" s="1" t="str">
        <f>"01004291200"</f>
        <v>01004291200</v>
      </c>
      <c r="B12882" s="1" t="str">
        <f>"TWO 91 HOLDINGS LLC"</f>
        <v>TWO 91 HOLDINGS LLC</v>
      </c>
      <c r="C12882" s="1" t="str">
        <f>"YALE AVE WEST PARK LOT 546"</f>
        <v>YALE AVE WEST PARK LOT 546</v>
      </c>
      <c r="D12882" s="1">
        <v>227.77</v>
      </c>
    </row>
    <row r="12883" spans="1:4" x14ac:dyDescent="0.3">
      <c r="A12883" s="1" t="str">
        <f>"01003707400"</f>
        <v>01003707400</v>
      </c>
      <c r="B12883" s="1" t="str">
        <f>"TWO 91 HOLDINGS LLC"</f>
        <v>TWO 91 HOLDINGS LLC</v>
      </c>
      <c r="C12883" s="1" t="str">
        <f>"YALE AVE WEST PARK LOT 547"</f>
        <v>YALE AVE WEST PARK LOT 547</v>
      </c>
      <c r="D12883" s="1">
        <v>545.6</v>
      </c>
    </row>
    <row r="12884" spans="1:4" x14ac:dyDescent="0.3">
      <c r="A12884" s="1" t="str">
        <f>"01025991100"</f>
        <v>01025991100</v>
      </c>
      <c r="B12884" s="1" t="str">
        <f>"TYKODI DEBRA J"</f>
        <v>TYKODI DEBRA J</v>
      </c>
      <c r="C12884" s="1" t="str">
        <f>"HOMESTEAD AT THE PRESERVE CONDOMINIUM 5TH AMD UNIT 6019-2"</f>
        <v>HOMESTEAD AT THE PRESERVE CONDOMINIUM 5TH AMD UNIT 6019-2</v>
      </c>
      <c r="D12884" s="1">
        <v>1643.4</v>
      </c>
    </row>
    <row r="12885" spans="1:4" x14ac:dyDescent="0.3">
      <c r="A12885" s="1" t="str">
        <f>"01006143800"</f>
        <v>01006143800</v>
      </c>
      <c r="B12885" s="1" t="str">
        <f>"TYLER CAROLYN"</f>
        <v>TYLER CAROLYN</v>
      </c>
      <c r="C12885" s="1" t="str">
        <f>"BRIARWOOD AVE HIGHWAY PARK LOT 310"</f>
        <v>BRIARWOOD AVE HIGHWAY PARK LOT 310</v>
      </c>
      <c r="D12885" s="1">
        <v>644.75</v>
      </c>
    </row>
    <row r="12886" spans="1:4" x14ac:dyDescent="0.3">
      <c r="A12886" s="1" t="str">
        <f>"01002587900"</f>
        <v>01002587900</v>
      </c>
      <c r="B12886" s="1" t="str">
        <f>"TYREE EDWARD, TYREE GRACIE M"</f>
        <v>TYREE EDWARD, TYREE GRACIE M</v>
      </c>
      <c r="C12886" s="1" t="str">
        <f>"HILDRETH AVE HILDRETH LOT 31-32"</f>
        <v>HILDRETH AVE HILDRETH LOT 31-32</v>
      </c>
      <c r="D12886" s="1">
        <v>2383.06</v>
      </c>
    </row>
    <row r="12887" spans="1:4" x14ac:dyDescent="0.3">
      <c r="A12887" s="1" t="str">
        <f>"01021713300"</f>
        <v>01021713300</v>
      </c>
      <c r="B12887" s="1" t="str">
        <f>"TYRON STREET ACQUISITION TRUST I REO HOLDINGS LLC"</f>
        <v>TYRON STREET ACQUISITION TRUST I REO HOLDINGS LLC</v>
      </c>
      <c r="C12887" s="1" t="str">
        <f>"532-534 LINWOOD AVE OAKWOODS EAST 97.09'NL WS LOT 252"</f>
        <v>532-534 LINWOOD AVE OAKWOODS EAST 97.09'NL WS LOT 252</v>
      </c>
      <c r="D12887" s="1">
        <v>3353.67</v>
      </c>
    </row>
    <row r="12888" spans="1:4" x14ac:dyDescent="0.3">
      <c r="A12888" s="1" t="str">
        <f>"01016565900"</f>
        <v>01016565900</v>
      </c>
      <c r="B12888" s="1" t="str">
        <f>"TYSON CHAUNDRA"</f>
        <v>TYSON CHAUNDRA</v>
      </c>
      <c r="C12888" s="1" t="str">
        <f>"PLANTATION LAKES CONDOMINIUM BLDG 43 UNIT C"</f>
        <v>PLANTATION LAKES CONDOMINIUM BLDG 43 UNIT C</v>
      </c>
      <c r="D12888" s="1">
        <v>1525.04</v>
      </c>
    </row>
    <row r="12889" spans="1:4" x14ac:dyDescent="0.3">
      <c r="A12889" s="1" t="str">
        <f>"05000728800"</f>
        <v>05000728800</v>
      </c>
      <c r="B12889" s="1" t="str">
        <f>"TYSON EARL MARKELL TR"</f>
        <v>TYSON EARL MARKELL TR</v>
      </c>
      <c r="C12889" s="1" t="str">
        <f>"BERINGER DRIVE SUTTON PLACE SEC 1 LOT 5"</f>
        <v>BERINGER DRIVE SUTTON PLACE SEC 1 LOT 5</v>
      </c>
      <c r="D12889" s="1">
        <v>4843.57</v>
      </c>
    </row>
    <row r="12890" spans="1:4" x14ac:dyDescent="0.3">
      <c r="A12890" s="1" t="str">
        <f>"10000062100"</f>
        <v>10000062100</v>
      </c>
      <c r="B12890" s="1" t="str">
        <f>"U A GROUP LTD"</f>
        <v>U A GROUP LTD</v>
      </c>
      <c r="C12890" s="1" t="str">
        <f>"516 HIGH ST PARK HIGHLANDS LOT 13-11-12"</f>
        <v>516 HIGH ST PARK HIGHLANDS LOT 13-11-12</v>
      </c>
      <c r="D12890" s="1">
        <v>1292.92</v>
      </c>
    </row>
    <row r="12891" spans="1:4" x14ac:dyDescent="0.3">
      <c r="A12891" s="1" t="str">
        <f>"01000315300"</f>
        <v>01000315300</v>
      </c>
      <c r="B12891" s="1" t="str">
        <f>"UC INVESTMENTS LLC"</f>
        <v>UC INVESTMENTS LLC</v>
      </c>
      <c r="C12891" s="1" t="str">
        <f>"134 W 9TH AVE KINGS 2ND LOT 47"</f>
        <v>134 W 9TH AVE KINGS 2ND LOT 47</v>
      </c>
      <c r="D12891" s="1">
        <v>997.4</v>
      </c>
    </row>
    <row r="12892" spans="1:4" x14ac:dyDescent="0.3">
      <c r="A12892" s="1" t="str">
        <f>"59021672000"</f>
        <v>59021672000</v>
      </c>
      <c r="B12892" s="1" t="str">
        <f>"UDDIN MOHI"</f>
        <v>UDDIN MOHI</v>
      </c>
      <c r="C12892" s="1" t="str">
        <f>"SUMMIT VIEW WOODS SECTION 3 LOT 199"</f>
        <v>SUMMIT VIEW WOODS SECTION 3 LOT 199</v>
      </c>
      <c r="D12892" s="1">
        <v>8080.34</v>
      </c>
    </row>
    <row r="12893" spans="1:4" x14ac:dyDescent="0.3">
      <c r="A12893" s="1" t="str">
        <f>"01006401900"</f>
        <v>01006401900</v>
      </c>
      <c r="B12893" s="1" t="str">
        <f>"UDP CAPITAL INC"</f>
        <v>UDP CAPITAL INC</v>
      </c>
      <c r="C12893" s="1" t="str">
        <f>"1754 LINDEN PLACE CHENEY&amp;BURWELLS LOT 3"</f>
        <v>1754 LINDEN PLACE CHENEY&amp;BURWELLS LOT 3</v>
      </c>
      <c r="D12893" s="1">
        <v>800</v>
      </c>
    </row>
    <row r="12894" spans="1:4" x14ac:dyDescent="0.3">
      <c r="A12894" s="1" t="str">
        <f>"01002517300"</f>
        <v>01002517300</v>
      </c>
      <c r="B12894" s="1" t="str">
        <f>"UDY ANNE B TR, RUTHERFORD EMILY B TR, LINDEMANN POLLY B TR"</f>
        <v>UDY ANNE B TR, RUTHERFORD EMILY B TR, LINDEMANN POLLY B TR</v>
      </c>
      <c r="C12894" s="1" t="str">
        <f>"203 E LONG ST DESHLER LOT 51 52"</f>
        <v>203 E LONG ST DESHLER LOT 51 52</v>
      </c>
      <c r="D12894" s="1">
        <v>669.77</v>
      </c>
    </row>
    <row r="12895" spans="1:4" x14ac:dyDescent="0.3">
      <c r="A12895" s="1" t="str">
        <f>"20000058500"</f>
        <v>20000058500</v>
      </c>
      <c r="B12895" s="1" t="str">
        <f>"UHAS NICHOLAS A"</f>
        <v>UHAS NICHOLAS A</v>
      </c>
      <c r="C12895" s="1" t="str">
        <f>"3700 HILLIARD CMTRY OQ 1000 ENTRY 1406 11.142 ACRES"</f>
        <v>3700 HILLIARD CMTRY OQ 1000 ENTRY 1406 11.142 ACRES</v>
      </c>
      <c r="D12895" s="1">
        <v>1688.22</v>
      </c>
    </row>
    <row r="12896" spans="1:4" x14ac:dyDescent="0.3">
      <c r="A12896" s="1" t="str">
        <f>"01001247200"</f>
        <v>01001247200</v>
      </c>
      <c r="B12896" s="1" t="str">
        <f>"ULLOA JUAN L, MAUREIRA AMELIA R"</f>
        <v>ULLOA JUAN L, MAUREIRA AMELIA R</v>
      </c>
      <c r="C12896" s="1" t="str">
        <f>"135 N EURKEA AVE EUREKA LOT 26"</f>
        <v>135 N EURKEA AVE EUREKA LOT 26</v>
      </c>
      <c r="D12896" s="1">
        <v>1708.08</v>
      </c>
    </row>
    <row r="12897" spans="1:4" x14ac:dyDescent="0.3">
      <c r="A12897" s="1" t="str">
        <f>"59017627900"</f>
        <v>59017627900</v>
      </c>
      <c r="B12897" s="1" t="str">
        <f>"ULRING PAUL T, ULRING JUNE E"</f>
        <v>ULRING PAUL T, ULRING JUNE E</v>
      </c>
      <c r="C12897" s="1" t="str">
        <f>"TINSBURY CT MCKITRICK ESTATES 4 LOT 80"</f>
        <v>TINSBURY CT MCKITRICK ESTATES 4 LOT 80</v>
      </c>
      <c r="D12897" s="1">
        <v>17.57</v>
      </c>
    </row>
    <row r="12898" spans="1:4" x14ac:dyDescent="0.3">
      <c r="A12898" s="1" t="str">
        <f>"01006957000"</f>
        <v>01006957000</v>
      </c>
      <c r="B12898" s="1" t="str">
        <f>"UMAR INC"</f>
        <v>UMAR INC</v>
      </c>
      <c r="C12898" s="1" t="str">
        <f>"JOYCE AVE R18 T1 1/4T1-2 0.4132 ACRE"</f>
        <v>JOYCE AVE R18 T1 1/4T1-2 0.4132 ACRE</v>
      </c>
      <c r="D12898" s="1">
        <v>2651.72</v>
      </c>
    </row>
    <row r="12899" spans="1:4" x14ac:dyDescent="0.3">
      <c r="A12899" s="1" t="str">
        <f>"15200172300"</f>
        <v>15200172300</v>
      </c>
      <c r="B12899" s="1" t="str">
        <f>"UMBLEBY ERIC J"</f>
        <v>UMBLEBY ERIC J</v>
      </c>
      <c r="C12899" s="1" t="str">
        <f>"GRAYSON DRIVE MULBERRY GROVE SECTION 2 PART 2 LOT 154"</f>
        <v>GRAYSON DRIVE MULBERRY GROVE SECTION 2 PART 2 LOT 154</v>
      </c>
      <c r="D12899" s="1">
        <v>3793.42</v>
      </c>
    </row>
    <row r="12900" spans="1:4" x14ac:dyDescent="0.3">
      <c r="A12900" s="1" t="str">
        <f>"01000305500"</f>
        <v>01000305500</v>
      </c>
      <c r="B12900" s="1" t="str">
        <f>"UML I LLC"</f>
        <v>UML I LLC</v>
      </c>
      <c r="C12900" s="1" t="str">
        <f>"105 13TH AVE INDIANOLA UNIVERSITY PT LOT 20"</f>
        <v>105 13TH AVE INDIANOLA UNIVERSITY PT LOT 20</v>
      </c>
      <c r="D12900" s="1">
        <v>119.93</v>
      </c>
    </row>
    <row r="12901" spans="1:4" x14ac:dyDescent="0.3">
      <c r="A12901" s="1" t="str">
        <f>"02000055100"</f>
        <v>02000055100</v>
      </c>
      <c r="B12901" s="1" t="str">
        <f>"UNDERWOOD JAMES F, PLANK MARY L"</f>
        <v>UNDERWOOD JAMES F, PLANK MARY L</v>
      </c>
      <c r="C12901" s="1" t="str">
        <f>"2273 ASTOR AVE WOEHLERTS 50 FT W E LOTS 7-8"</f>
        <v>2273 ASTOR AVE WOEHLERTS 50 FT W E LOTS 7-8</v>
      </c>
      <c r="D12901" s="1">
        <v>353.93</v>
      </c>
    </row>
    <row r="12902" spans="1:4" x14ac:dyDescent="0.3">
      <c r="A12902" s="1" t="str">
        <f>"01004290400"</f>
        <v>01004290400</v>
      </c>
      <c r="B12902" s="1" t="str">
        <f>"UNDERWOOD SHAWN"</f>
        <v>UNDERWOOD SHAWN</v>
      </c>
      <c r="C12902" s="1" t="str">
        <f>"266 CYPRESS AVE WEST PARK LOT 316"</f>
        <v>266 CYPRESS AVE WEST PARK LOT 316</v>
      </c>
      <c r="D12902" s="1">
        <v>718.24</v>
      </c>
    </row>
    <row r="12903" spans="1:4" x14ac:dyDescent="0.3">
      <c r="A12903" s="1" t="str">
        <f>"01012515800"</f>
        <v>01012515800</v>
      </c>
      <c r="B12903" s="1" t="str">
        <f>"UNGER PAMELA R"</f>
        <v>UNGER PAMELA R</v>
      </c>
      <c r="C12903" s="1" t="str">
        <f>"NORTH MEADOWS BLVD NORTHVIEW ESTATES 2 LOT 81"</f>
        <v>NORTH MEADOWS BLVD NORTHVIEW ESTATES 2 LOT 81</v>
      </c>
      <c r="D12903" s="1">
        <v>4555.41</v>
      </c>
    </row>
    <row r="12904" spans="1:4" x14ac:dyDescent="0.3">
      <c r="A12904" s="1" t="str">
        <f>"16100064200"</f>
        <v>16100064200</v>
      </c>
      <c r="B12904" s="1" t="str">
        <f>"UNION BAPTIST CHURCH"</f>
        <v>UNION BAPTIST CHURCH</v>
      </c>
      <c r="C12904" s="1" t="str">
        <f>"3RD AVE URBANCREST 28-29-30 BLK 13"</f>
        <v>3RD AVE URBANCREST 28-29-30 BLK 13</v>
      </c>
      <c r="D12904" s="1">
        <v>1249.27</v>
      </c>
    </row>
    <row r="12905" spans="1:4" x14ac:dyDescent="0.3">
      <c r="A12905" s="1" t="str">
        <f>"16100092100"</f>
        <v>16100092100</v>
      </c>
      <c r="B12905" s="1" t="str">
        <f>"UNION BAPTIST CHURCH"</f>
        <v>UNION BAPTIST CHURCH</v>
      </c>
      <c r="C12905" s="1" t="str">
        <f>"FIRST AVE OQ 2000 ENTRY 1388 12 1 ACRE"</f>
        <v>FIRST AVE OQ 2000 ENTRY 1388 12 1 ACRE</v>
      </c>
      <c r="D12905" s="1">
        <v>473.97</v>
      </c>
    </row>
    <row r="12906" spans="1:4" x14ac:dyDescent="0.3">
      <c r="A12906" s="1" t="str">
        <f>"16100014700"</f>
        <v>16100014700</v>
      </c>
      <c r="B12906" s="1" t="str">
        <f>"UNION BAPTIST CHURCH"</f>
        <v>UNION BAPTIST CHURCH</v>
      </c>
      <c r="C12906" s="1" t="str">
        <f>"1ST AVE URBANCREST 39-40 BLK 16"</f>
        <v>1ST AVE URBANCREST 39-40 BLK 16</v>
      </c>
      <c r="D12906" s="1">
        <v>3.72</v>
      </c>
    </row>
    <row r="12907" spans="1:4" x14ac:dyDescent="0.3">
      <c r="A12907" s="1" t="str">
        <f>"16100018100"</f>
        <v>16100018100</v>
      </c>
      <c r="B12907" s="1" t="str">
        <f>"UNION BAPTIST CHURCH"</f>
        <v>UNION BAPTIST CHURCH</v>
      </c>
      <c r="C12907" s="1" t="str">
        <f>"3RD AVE URBANCREST 36 BLK 4"</f>
        <v>3RD AVE URBANCREST 36 BLK 4</v>
      </c>
      <c r="D12907" s="1">
        <v>32.659999999999997</v>
      </c>
    </row>
    <row r="12908" spans="1:4" x14ac:dyDescent="0.3">
      <c r="A12908" s="1" t="str">
        <f>"01003509200"</f>
        <v>01003509200</v>
      </c>
      <c r="B12908" s="1" t="str">
        <f>"UNIQUE RENTALS LLC"</f>
        <v>UNIQUE RENTALS LLC</v>
      </c>
      <c r="C12908" s="1" t="str">
        <f>"1596 KOHR PLACE INNIS CREST LOT 362 "</f>
        <v xml:space="preserve">1596 KOHR PLACE INNIS CREST LOT 362 </v>
      </c>
      <c r="D12908" s="1">
        <v>92.18</v>
      </c>
    </row>
    <row r="12909" spans="1:4" x14ac:dyDescent="0.3">
      <c r="A12909" s="1" t="str">
        <f>"01002752500"</f>
        <v>01002752500</v>
      </c>
      <c r="B12909" s="1" t="str">
        <f>"UNIQUE RENTALS LLC"</f>
        <v>UNIQUE RENTALS LLC</v>
      </c>
      <c r="C12909" s="1" t="str">
        <f>"1471 MT VERNON AVE HORN LOT 9"</f>
        <v>1471 MT VERNON AVE HORN LOT 9</v>
      </c>
      <c r="D12909" s="1">
        <v>564.14</v>
      </c>
    </row>
    <row r="12910" spans="1:4" x14ac:dyDescent="0.3">
      <c r="A12910" s="1" t="str">
        <f>"01028061800"</f>
        <v>01028061800</v>
      </c>
      <c r="B12910" s="1" t="str">
        <f>"UNIT 305 LLC"</f>
        <v>UNIT 305 LLC</v>
      </c>
      <c r="C12910" s="1" t="str">
        <f>"BURNHAM SQUARE CONDOMINIUM 1ST AMD UNIT 250-305"</f>
        <v>BURNHAM SQUARE CONDOMINIUM 1ST AMD UNIT 250-305</v>
      </c>
      <c r="D12910" s="1">
        <v>3339.39</v>
      </c>
    </row>
    <row r="12911" spans="1:4" x14ac:dyDescent="0.3">
      <c r="A12911" s="1" t="str">
        <f>"01028069200"</f>
        <v>01028069200</v>
      </c>
      <c r="B12911" s="1" t="str">
        <f>"UNIT 305 LLC"</f>
        <v>UNIT 305 LLC</v>
      </c>
      <c r="C12911" s="1" t="str">
        <f>"BURNHAM SQUARE CONDOMINIUM 1ST AMD UNIT PS-64 (PARKING UNIT)"</f>
        <v>BURNHAM SQUARE CONDOMINIUM 1ST AMD UNIT PS-64 (PARKING UNIT)</v>
      </c>
      <c r="D12911" s="1">
        <v>265.47000000000003</v>
      </c>
    </row>
    <row r="12912" spans="1:4" x14ac:dyDescent="0.3">
      <c r="A12912" s="1" t="str">
        <f>"01009110900"</f>
        <v>01009110900</v>
      </c>
      <c r="B12912" s="1" t="str">
        <f>"UNITED MIDWEST SAVINGS BANK"</f>
        <v>UNITED MIDWEST SAVINGS BANK</v>
      </c>
      <c r="C12912" s="1" t="str">
        <f>"3011 E BROAD ST EASTMOOR RES G-H-I-J"</f>
        <v>3011 E BROAD ST EASTMOOR RES G-H-I-J</v>
      </c>
      <c r="D12912" s="1">
        <v>17430.8</v>
      </c>
    </row>
    <row r="12913" spans="1:4" x14ac:dyDescent="0.3">
      <c r="A12913" s="1" t="str">
        <f>"59028481700"</f>
        <v>59028481700</v>
      </c>
      <c r="B12913" s="1" t="str">
        <f>"UNITED STATES SECRETARY OF HOUSING AND URBAN DEVELOPMENT"</f>
        <v>UNITED STATES SECRETARY OF HOUSING AND URBAN DEVELOPMENT</v>
      </c>
      <c r="C12913" s="1" t="str">
        <f>"EAST BANK II CONDOMINIUMS AT HAYDEN FALLS UNIT 302"</f>
        <v>EAST BANK II CONDOMINIUMS AT HAYDEN FALLS UNIT 302</v>
      </c>
      <c r="D12913" s="1">
        <v>230.91</v>
      </c>
    </row>
    <row r="12914" spans="1:4" x14ac:dyDescent="0.3">
      <c r="A12914" s="1" t="str">
        <f>"01011334500"</f>
        <v>01011334500</v>
      </c>
      <c r="B12914" s="1" t="str">
        <f>"UNITED STEELWORKERS OF AMERICA LOCAL UNION 2342"</f>
        <v>UNITED STEELWORKERS OF AMERICA LOCAL UNION 2342</v>
      </c>
      <c r="C12914" s="1" t="str">
        <f>"2184 GROVEPORT PK STAMBAUGH LOTS 4-6"</f>
        <v>2184 GROVEPORT PK STAMBAUGH LOTS 4-6</v>
      </c>
      <c r="D12914" s="1">
        <v>3701.19</v>
      </c>
    </row>
    <row r="12915" spans="1:4" x14ac:dyDescent="0.3">
      <c r="A12915" s="1" t="str">
        <f>"01008579100"</f>
        <v>01008579100</v>
      </c>
      <c r="B12915" s="1" t="str">
        <f>"UNRUE PAUL, UNRUE CARA"</f>
        <v>UNRUE PAUL, UNRUE CARA</v>
      </c>
      <c r="C12915" s="1" t="str">
        <f>"204 BEAUMONT RD HIGHLAND GARDENS 2 LOT 532"</f>
        <v>204 BEAUMONT RD HIGHLAND GARDENS 2 LOT 532</v>
      </c>
      <c r="D12915" s="1">
        <v>318.55</v>
      </c>
    </row>
    <row r="12916" spans="1:4" x14ac:dyDescent="0.3">
      <c r="A12916" s="1" t="str">
        <f>"01012520100"</f>
        <v>01012520100</v>
      </c>
      <c r="B12916" s="1" t="str">
        <f>"UOH PROPERTIES LLC"</f>
        <v>UOH PROPERTIES LLC</v>
      </c>
      <c r="C12916" s="1" t="str">
        <f>"FAIRWOOD AVE SOUTHFIELD 2ND LOT 6"</f>
        <v>FAIRWOOD AVE SOUTHFIELD 2ND LOT 6</v>
      </c>
      <c r="D12916" s="1">
        <v>1080.68</v>
      </c>
    </row>
    <row r="12917" spans="1:4" x14ac:dyDescent="0.3">
      <c r="A12917" s="1" t="str">
        <f>"01012535800"</f>
        <v>01012535800</v>
      </c>
      <c r="B12917" s="1" t="str">
        <f>"UOH PROPERTIES LLC"</f>
        <v>UOH PROPERTIES LLC</v>
      </c>
      <c r="C12917" s="1" t="str">
        <f>"HOUSTON DR SOUTHFIELD 2ND LOT 163"</f>
        <v>HOUSTON DR SOUTHFIELD 2ND LOT 163</v>
      </c>
      <c r="D12917" s="1">
        <v>996.75</v>
      </c>
    </row>
    <row r="12918" spans="1:4" x14ac:dyDescent="0.3">
      <c r="A12918" s="1" t="str">
        <f>"01012896400"</f>
        <v>01012896400</v>
      </c>
      <c r="B12918" s="1" t="str">
        <f>"UOH PROPERTIES LLC"</f>
        <v>UOH PROPERTIES LLC</v>
      </c>
      <c r="C12918" s="1" t="str">
        <f>"1821 VALCON AVE MILLBROOK SUBD 51 FT MID PT LOT 102"</f>
        <v>1821 VALCON AVE MILLBROOK SUBD 51 FT MID PT LOT 102</v>
      </c>
      <c r="D12918" s="1">
        <v>923.16</v>
      </c>
    </row>
    <row r="12919" spans="1:4" x14ac:dyDescent="0.3">
      <c r="A12919" s="1" t="str">
        <f>"01000581700"</f>
        <v>01000581700</v>
      </c>
      <c r="B12919" s="1" t="str">
        <f>"UPCHURCH ALTIMEISE"</f>
        <v>UPCHURCH ALTIMEISE</v>
      </c>
      <c r="C12919" s="1" t="str">
        <f>"1819 E FULTON ST BULENS FAIRWOOD PARK LOT 243"</f>
        <v>1819 E FULTON ST BULENS FAIRWOOD PARK LOT 243</v>
      </c>
      <c r="D12919" s="1">
        <v>531.11</v>
      </c>
    </row>
    <row r="12920" spans="1:4" x14ac:dyDescent="0.3">
      <c r="A12920" s="1" t="str">
        <f>"01023886500"</f>
        <v>01023886500</v>
      </c>
      <c r="B12920" s="1" t="str">
        <f>"UPGRADE EQUITY TECH SOUTH LLC, TAGGART TEXAS TECH SOUTH LLC"</f>
        <v>UPGRADE EQUITY TECH SOUTH LLC, TAGGART TEXAS TECH SOUTH LLC</v>
      </c>
      <c r="C12920" s="1" t="str">
        <f>"JENKINS ROAD              WILLIAM MARION            PT VAC AL=0.137 ACRE     "</f>
        <v xml:space="preserve">JENKINS ROAD              WILLIAM MARION            PT VAC AL=0.137 ACRE     </v>
      </c>
      <c r="D12920" s="1">
        <v>163.69</v>
      </c>
    </row>
    <row r="12921" spans="1:4" x14ac:dyDescent="0.3">
      <c r="A12921" s="1" t="str">
        <f>"01024094900"</f>
        <v>01024094900</v>
      </c>
      <c r="B12921" s="1" t="str">
        <f>"UPGRADE EQUITY TECH SOUTH LLC, TAGGART TEXAS TECH SOUTH LLC"</f>
        <v>UPGRADE EQUITY TECH SOUTH LLC, TAGGART TEXAS TECH SOUTH LLC</v>
      </c>
      <c r="C12921" s="1" t="str">
        <f>"NINETEENTH ST MERION 10'X112.5'PT VAC ST"</f>
        <v>NINETEENTH ST MERION 10'X112.5'PT VAC ST</v>
      </c>
      <c r="D12921" s="1">
        <v>36.39</v>
      </c>
    </row>
    <row r="12922" spans="1:4" x14ac:dyDescent="0.3">
      <c r="A12922" s="1" t="str">
        <f>"01024095000"</f>
        <v>01024095000</v>
      </c>
      <c r="B12922" s="1" t="str">
        <f>"UPGRADE EQUITY TECH SOUTH LLC, TAGGART TEXAS TECH SOUTH LLC"</f>
        <v>UPGRADE EQUITY TECH SOUTH LLC, TAGGART TEXAS TECH SOUTH LLC</v>
      </c>
      <c r="C12922" s="1" t="str">
        <f>"NINETEENTH ST MERION 10'X112' PT VAC ST"</f>
        <v>NINETEENTH ST MERION 10'X112' PT VAC ST</v>
      </c>
      <c r="D12922" s="1">
        <v>36.39</v>
      </c>
    </row>
    <row r="12923" spans="1:4" x14ac:dyDescent="0.3">
      <c r="A12923" s="1" t="str">
        <f>"01023570600"</f>
        <v>01023570600</v>
      </c>
      <c r="B12923" s="1" t="str">
        <f>"UPGRADE EQUITY TECH SOUTH LLC, TAGGART TEXAS TECH SOUTH LLC"</f>
        <v>UPGRADE EQUITY TECH SOUTH LLC, TAGGART TEXAS TECH SOUTH LLC</v>
      </c>
      <c r="C12923" s="1" t="str">
        <f>"NINETEENTH ST             WM MERION                 16' VAC ALLEY            "</f>
        <v xml:space="preserve">NINETEENTH ST             WM MERION                 16' VAC ALLEY            </v>
      </c>
      <c r="D12923" s="1">
        <v>112.59</v>
      </c>
    </row>
    <row r="12924" spans="1:4" x14ac:dyDescent="0.3">
      <c r="A12924" s="1" t="str">
        <f>"14000309500"</f>
        <v>14000309500</v>
      </c>
      <c r="B12924" s="1" t="str">
        <f>"UPHOUSE JUDITH K, UPHOUSE MATTHEW, TIPTON CLYDE"</f>
        <v>UPHOUSE JUDITH K, UPHOUSE MATTHEW, TIPTON CLYDE</v>
      </c>
      <c r="C12924" s="1" t="str">
        <f>"3467 MAPLE SHADE CT SCHAAF ESTATES 2 LOT 22"</f>
        <v>3467 MAPLE SHADE CT SCHAAF ESTATES 2 LOT 22</v>
      </c>
      <c r="D12924" s="1">
        <v>1653.81</v>
      </c>
    </row>
    <row r="12925" spans="1:4" x14ac:dyDescent="0.3">
      <c r="A12925" s="1" t="str">
        <f>"57016052200"</f>
        <v>57016052200</v>
      </c>
      <c r="B12925" s="1" t="str">
        <f>"UPPERMAN BUFORD B, UPPERMAN JAMA B"</f>
        <v>UPPERMAN BUFORD B, UPPERMAN JAMA B</v>
      </c>
      <c r="C12925" s="1" t="str">
        <f>"HOLLOWWOOD AVE RIVER BEND SECT 5 LOT 723"</f>
        <v>HOLLOWWOOD AVE RIVER BEND SECT 5 LOT 723</v>
      </c>
      <c r="D12925" s="1">
        <v>7.03</v>
      </c>
    </row>
    <row r="12926" spans="1:4" x14ac:dyDescent="0.3">
      <c r="A12926" s="1" t="str">
        <f>"01004197700"</f>
        <v>01004197700</v>
      </c>
      <c r="B12926" s="1" t="str">
        <f>"UPSHAW-HAIDER LISA S"</f>
        <v>UPSHAW-HAIDER LISA S</v>
      </c>
      <c r="C12926" s="1" t="str">
        <f>"60 S CHAMPION AVE 134.94FT WE EX 9.56X 12FT NE COR LOT 41"</f>
        <v>60 S CHAMPION AVE 134.94FT WE EX 9.56X 12FT NE COR LOT 41</v>
      </c>
      <c r="D12926" s="1">
        <v>307.47000000000003</v>
      </c>
    </row>
    <row r="12927" spans="1:4" x14ac:dyDescent="0.3">
      <c r="A12927" s="1" t="str">
        <f>"01007389300"</f>
        <v>01007389300</v>
      </c>
      <c r="B12927" s="1" t="str">
        <f>"UPWARD HOLDINGS LLC"</f>
        <v>UPWARD HOLDINGS LLC</v>
      </c>
      <c r="C12927" s="1" t="str">
        <f>"2810 HIAWATHA ST ALMADA LOT 696"</f>
        <v>2810 HIAWATHA ST ALMADA LOT 696</v>
      </c>
      <c r="D12927" s="1">
        <v>1007.29</v>
      </c>
    </row>
    <row r="12928" spans="1:4" x14ac:dyDescent="0.3">
      <c r="A12928" s="1" t="str">
        <f>"01016708700"</f>
        <v>01016708700</v>
      </c>
      <c r="B12928" s="1" t="str">
        <f>"UPWARD HOLDINGS LLC"</f>
        <v>UPWARD HOLDINGS LLC</v>
      </c>
      <c r="C12928" s="1" t="str">
        <f>"2304 HOLT AVE AMVET HOMESTD SUB 1 LOT 39 BLK B"</f>
        <v>2304 HOLT AVE AMVET HOMESTD SUB 1 LOT 39 BLK B</v>
      </c>
      <c r="D12928" s="1">
        <v>1754.8</v>
      </c>
    </row>
    <row r="12929" spans="1:4" x14ac:dyDescent="0.3">
      <c r="A12929" s="1" t="str">
        <f>"01006232200"</f>
        <v>01006232200</v>
      </c>
      <c r="B12929" s="1" t="str">
        <f>"UPWARD HOLDINGS LLC"</f>
        <v>UPWARD HOLDINGS LLC</v>
      </c>
      <c r="C12929" s="1" t="str">
        <f>"HAMILTON AVE MCGUFFEY SCHOOL LOT 145"</f>
        <v>HAMILTON AVE MCGUFFEY SCHOOL LOT 145</v>
      </c>
      <c r="D12929" s="1">
        <v>2124.3200000000002</v>
      </c>
    </row>
    <row r="12930" spans="1:4" x14ac:dyDescent="0.3">
      <c r="A12930" s="1" t="str">
        <f>"01005307600"</f>
        <v>01005307600</v>
      </c>
      <c r="B12930" s="1" t="str">
        <f>"UPWARD HOLDINGS LLC"</f>
        <v>UPWARD HOLDINGS LLC</v>
      </c>
      <c r="C12930" s="1" t="str">
        <f>"264 S OGDEN AVE WICKLOW LOT 73"</f>
        <v>264 S OGDEN AVE WICKLOW LOT 73</v>
      </c>
      <c r="D12930" s="1">
        <v>884.92</v>
      </c>
    </row>
    <row r="12931" spans="1:4" x14ac:dyDescent="0.3">
      <c r="A12931" s="1" t="str">
        <f>"01000945100"</f>
        <v>01000945100</v>
      </c>
      <c r="B12931" s="1" t="str">
        <f>"URBAN EDWARD E, URBAN REVA L"</f>
        <v>URBAN EDWARD E, URBAN REVA L</v>
      </c>
      <c r="C12931" s="1" t="str">
        <f>"3110 LEWIS ROAD FISHER TRACT R 22 T4 S 10 .206 AC"</f>
        <v>3110 LEWIS ROAD FISHER TRACT R 22 T4 S 10 .206 AC</v>
      </c>
      <c r="D12931" s="1">
        <v>103.45</v>
      </c>
    </row>
    <row r="12932" spans="1:4" x14ac:dyDescent="0.3">
      <c r="A12932" s="1" t="str">
        <f>"01003106000"</f>
        <v>01003106000</v>
      </c>
      <c r="B12932" s="1" t="str">
        <f>"URBAN KEY LLC"</f>
        <v>URBAN KEY LLC</v>
      </c>
      <c r="C12932" s="1" t="str">
        <f>"195 GUILFORD AVE GUILFORD PARK LOT 133"</f>
        <v>195 GUILFORD AVE GUILFORD PARK LOT 133</v>
      </c>
      <c r="D12932" s="1">
        <v>152.19999999999999</v>
      </c>
    </row>
    <row r="12933" spans="1:4" x14ac:dyDescent="0.3">
      <c r="A12933" s="1" t="str">
        <f>"01000036500"</f>
        <v>01000036500</v>
      </c>
      <c r="B12933" s="1" t="str">
        <f>"URBAN KEY LLC"</f>
        <v>URBAN KEY LLC</v>
      </c>
      <c r="C12933" s="1" t="str">
        <f>"212 N GUILFORD AVE LOT 113 GUILFORD PARK"</f>
        <v>212 N GUILFORD AVE LOT 113 GUILFORD PARK</v>
      </c>
      <c r="D12933" s="1">
        <v>152.19999999999999</v>
      </c>
    </row>
    <row r="12934" spans="1:4" x14ac:dyDescent="0.3">
      <c r="A12934" s="1" t="str">
        <f>"18700002200"</f>
        <v>18700002200</v>
      </c>
      <c r="B12934" s="1" t="str">
        <f>"URBAN MOLLY E"</f>
        <v>URBAN MOLLY E</v>
      </c>
      <c r="C12934" s="1" t="str">
        <f>"LONG RD R16 T11 S6 1.04 ACRES"</f>
        <v>LONG RD R16 T11 S6 1.04 ACRES</v>
      </c>
      <c r="D12934" s="1">
        <v>2050.75</v>
      </c>
    </row>
    <row r="12935" spans="1:4" x14ac:dyDescent="0.3">
      <c r="A12935" s="1" t="str">
        <f>"04001187000"</f>
        <v>04001187000</v>
      </c>
      <c r="B12935" s="1" t="str">
        <f>"URBAN RANDY L SR, URBAN JUDY C"</f>
        <v>URBAN RANDY L SR, URBAN JUDY C</v>
      </c>
      <c r="C12935" s="1" t="str">
        <f>"LANDINGS AT QUAIL CREEK CONDOMINIUM 6TH AMD BLDG 15 UNIT 15-6049"</f>
        <v>LANDINGS AT QUAIL CREEK CONDOMINIUM 6TH AMD BLDG 15 UNIT 15-6049</v>
      </c>
      <c r="D12935" s="1">
        <v>4344.67</v>
      </c>
    </row>
    <row r="12936" spans="1:4" x14ac:dyDescent="0.3">
      <c r="A12936" s="1" t="str">
        <f>"16100027500"</f>
        <v>16100027500</v>
      </c>
      <c r="B12936" s="1" t="str">
        <f>"URBANCREST COMMUNITY PLANNING LLC"</f>
        <v>URBANCREST COMMUNITY PLANNING LLC</v>
      </c>
      <c r="C12936" s="1" t="str">
        <f>"MAPLE ST URBANCREST 5 BLK 7"</f>
        <v>MAPLE ST URBANCREST 5 BLK 7</v>
      </c>
      <c r="D12936" s="1">
        <v>62.35</v>
      </c>
    </row>
    <row r="12937" spans="1:4" x14ac:dyDescent="0.3">
      <c r="A12937" s="1" t="str">
        <f>"16100067300"</f>
        <v>16100067300</v>
      </c>
      <c r="B12937" s="1" t="str">
        <f>"URBANCREST COMMUNITY PLANNING LLC"</f>
        <v>URBANCREST COMMUNITY PLANNING LLC</v>
      </c>
      <c r="C12937" s="1" t="str">
        <f>"1ST AVE 34 BLK 1 URBANCREST"</f>
        <v>1ST AVE 34 BLK 1 URBANCREST</v>
      </c>
      <c r="D12937" s="1">
        <v>31.94</v>
      </c>
    </row>
    <row r="12938" spans="1:4" x14ac:dyDescent="0.3">
      <c r="A12938" s="1" t="str">
        <f>"01008932000"</f>
        <v>01008932000</v>
      </c>
      <c r="B12938" s="1" t="str">
        <f>"URDAROVSKI TOME"</f>
        <v>URDAROVSKI TOME</v>
      </c>
      <c r="C12938" s="1" t="str">
        <f>"NAPOLEON AVE LINCOLN PK LOT 503"</f>
        <v>NAPOLEON AVE LINCOLN PK LOT 503</v>
      </c>
      <c r="D12938" s="1">
        <v>974.42</v>
      </c>
    </row>
    <row r="12939" spans="1:4" x14ac:dyDescent="0.3">
      <c r="A12939" s="1" t="str">
        <f>"02000217300"</f>
        <v>02000217300</v>
      </c>
      <c r="B12939" s="1" t="str">
        <f>"URELL LINDSEY, OWIDE SAUL J"</f>
        <v>URELL LINDSEY, OWIDE SAUL J</v>
      </c>
      <c r="C12939" s="1" t="str">
        <f>"41 N ARDMORE RD ARDMORE LOT 306 &amp; PT LOT 305"</f>
        <v>41 N ARDMORE RD ARDMORE LOT 306 &amp; PT LOT 305</v>
      </c>
      <c r="D12939" s="1">
        <v>11</v>
      </c>
    </row>
    <row r="12940" spans="1:4" x14ac:dyDescent="0.3">
      <c r="A12940" s="1" t="str">
        <f>"03000269900"</f>
        <v>03000269900</v>
      </c>
      <c r="B12940" s="1" t="str">
        <f>"URETSKY ELLA"</f>
        <v>URETSKY ELLA</v>
      </c>
      <c r="C12940" s="1" t="str">
        <f>"1000 URLIN AVE SUMMIT CHASE CONDO UNIT 1210"</f>
        <v>1000 URLIN AVE SUMMIT CHASE CONDO UNIT 1210</v>
      </c>
      <c r="D12940" s="1">
        <v>231.09</v>
      </c>
    </row>
    <row r="12941" spans="1:4" x14ac:dyDescent="0.3">
      <c r="A12941" s="1" t="str">
        <f>"01012424100"</f>
        <v>01012424100</v>
      </c>
      <c r="B12941" s="1" t="str">
        <f>"USONIS ALBERT C JR, CHUNHAPONG GRACE"</f>
        <v>USONIS ALBERT C JR, CHUNHAPONG GRACE</v>
      </c>
      <c r="C12941" s="1" t="str">
        <f>"BERWICK MANOR 2 EXT LOT 393 "</f>
        <v xml:space="preserve">BERWICK MANOR 2 EXT LOT 393 </v>
      </c>
      <c r="D12941" s="1">
        <v>2326.31</v>
      </c>
    </row>
    <row r="12942" spans="1:4" x14ac:dyDescent="0.3">
      <c r="A12942" s="1" t="str">
        <f>"59019692900"</f>
        <v>59019692900</v>
      </c>
      <c r="B12942" s="1" t="str">
        <f>"USSELMAN STEPHANIE"</f>
        <v>USSELMAN STEPHANIE</v>
      </c>
      <c r="C12942" s="1" t="str">
        <f>"2363 MCCAULEY CT WOODRUN PLC CONDO 1 BLDG 1 UNIT 1"</f>
        <v>2363 MCCAULEY CT WOODRUN PLC CONDO 1 BLDG 1 UNIT 1</v>
      </c>
      <c r="D12942" s="1">
        <v>2552.7399999999998</v>
      </c>
    </row>
    <row r="12943" spans="1:4" x14ac:dyDescent="0.3">
      <c r="A12943" s="1" t="str">
        <f>"01001405600"</f>
        <v>01001405600</v>
      </c>
      <c r="B12943" s="1" t="str">
        <f>"UTURN INVESTMENTS LLC"</f>
        <v>UTURN INVESTMENTS LLC</v>
      </c>
      <c r="C12943" s="1" t="str">
        <f>"KENT ST SEYMORE LOT 32"</f>
        <v>KENT ST SEYMORE LOT 32</v>
      </c>
      <c r="D12943" s="1">
        <v>5733.95</v>
      </c>
    </row>
    <row r="12944" spans="1:4" x14ac:dyDescent="0.3">
      <c r="A12944" s="1" t="str">
        <f>"01004336400"</f>
        <v>01004336400</v>
      </c>
      <c r="B12944" s="1" t="str">
        <f>"UTURN INVESTMENTS LLC"</f>
        <v>UTURN INVESTMENTS LLC</v>
      </c>
      <c r="C12944" s="1" t="str">
        <f>"REAR OF LOT 32 KENT ST 23X35FT HOLTZMAN SUB 25"</f>
        <v>REAR OF LOT 32 KENT ST 23X35FT HOLTZMAN SUB 25</v>
      </c>
      <c r="D12944" s="1">
        <v>297.32</v>
      </c>
    </row>
    <row r="12945" spans="1:4" x14ac:dyDescent="0.3">
      <c r="A12945" s="1" t="str">
        <f>"01009170000"</f>
        <v>01009170000</v>
      </c>
      <c r="B12945" s="1" t="str">
        <f>"UZOMBA BRENDA"</f>
        <v>UZOMBA BRENDA</v>
      </c>
      <c r="C12945" s="1" t="str">
        <f>"BROADLEIGH ROAD BEXLEY ANNEX LOT 42"</f>
        <v>BROADLEIGH ROAD BEXLEY ANNEX LOT 42</v>
      </c>
      <c r="D12945" s="1">
        <v>4451.1400000000003</v>
      </c>
    </row>
    <row r="12946" spans="1:4" x14ac:dyDescent="0.3">
      <c r="A12946" s="1" t="str">
        <f>"01009184700"</f>
        <v>01009184700</v>
      </c>
      <c r="B12946" s="1" t="str">
        <f>"V N P REAL ESTATE MANAGEMENT CO LTD"</f>
        <v>V N P REAL ESTATE MANAGEMENT CO LTD</v>
      </c>
      <c r="C12946" s="1" t="str">
        <f>"JAMES RD BEXLEY HAVENS LOT 17"</f>
        <v>JAMES RD BEXLEY HAVENS LOT 17</v>
      </c>
      <c r="D12946" s="1">
        <v>1623.2</v>
      </c>
    </row>
    <row r="12947" spans="1:4" x14ac:dyDescent="0.3">
      <c r="A12947" s="1" t="str">
        <f>"04000594600"</f>
        <v>04000594600</v>
      </c>
      <c r="B12947" s="1" t="str">
        <f>"V THOMPSON HOLDINGS LLC"</f>
        <v>V THOMPSON HOLDINGS LLC</v>
      </c>
      <c r="C12947" s="1" t="str">
        <f>"4014 ELM STREET BEULAH SUB PT LOT 153"</f>
        <v>4014 ELM STREET BEULAH SUB PT LOT 153</v>
      </c>
      <c r="D12947" s="1">
        <v>149.66</v>
      </c>
    </row>
    <row r="12948" spans="1:4" x14ac:dyDescent="0.3">
      <c r="A12948" s="1" t="str">
        <f>"04000185900"</f>
        <v>04000185900</v>
      </c>
      <c r="B12948" s="1" t="str">
        <f>"V THOMPSON HOLDINGS LLC"</f>
        <v>V THOMPSON HOLDINGS LLC</v>
      </c>
      <c r="C12948" s="1" t="str">
        <f>"2960 MICHAEL LN JACKSON HOMES 99 "</f>
        <v xml:space="preserve">2960 MICHAEL LN JACKSON HOMES 99 </v>
      </c>
      <c r="D12948" s="1">
        <v>146.83000000000001</v>
      </c>
    </row>
    <row r="12949" spans="1:4" x14ac:dyDescent="0.3">
      <c r="A12949" s="1" t="str">
        <f>"01001620100"</f>
        <v>01001620100</v>
      </c>
      <c r="B12949" s="1" t="str">
        <f>"V&amp;S COLUMBUS GALVANIZING LLC"</f>
        <v>V&amp;S COLUMBUS GALVANIZING LLC</v>
      </c>
      <c r="C12949" s="1" t="str">
        <f>"BUCKEYE PARK RD R22 T4 S3-4 1/2S7 2.3876 ACRES"</f>
        <v>BUCKEYE PARK RD R22 T4 S3-4 1/2S7 2.3876 ACRES</v>
      </c>
      <c r="D12949" s="1">
        <v>265.72000000000003</v>
      </c>
    </row>
    <row r="12950" spans="1:4" x14ac:dyDescent="0.3">
      <c r="A12950" s="1" t="str">
        <f>"27300943800"</f>
        <v>27300943800</v>
      </c>
      <c r="B12950" s="1" t="str">
        <f>"VADOR PRIYESH P"</f>
        <v>VADOR PRIYESH P</v>
      </c>
      <c r="C12950" s="1" t="str">
        <f>"TOWNSEND ROAD MEADOWS AT WYNDHAM VILLAGE LOT 3"</f>
        <v>TOWNSEND ROAD MEADOWS AT WYNDHAM VILLAGE LOT 3</v>
      </c>
      <c r="D12950" s="1">
        <v>572.70000000000005</v>
      </c>
    </row>
    <row r="12951" spans="1:4" x14ac:dyDescent="0.3">
      <c r="A12951" s="1" t="str">
        <f>"01008842200"</f>
        <v>01008842200</v>
      </c>
      <c r="B12951" s="1" t="str">
        <f>"VAIA CHERYL, BRESLER HERB"</f>
        <v>VAIA CHERYL, BRESLER HERB</v>
      </c>
      <c r="C12951" s="1" t="str">
        <f>"BROADLEIGH RD SEE DP FOR DESC BROADLEIGH EXT LOT 42-43-44"</f>
        <v>BROADLEIGH RD SEE DP FOR DESC BROADLEIGH EXT LOT 42-43-44</v>
      </c>
      <c r="D12951" s="1">
        <v>3839.33</v>
      </c>
    </row>
    <row r="12952" spans="1:4" x14ac:dyDescent="0.3">
      <c r="A12952" s="1" t="str">
        <f>"01004396300"</f>
        <v>01004396300</v>
      </c>
      <c r="B12952" s="1" t="str">
        <f>"VAKIL VAISHALI, VAKIL AMRISH"</f>
        <v>VAKIL VAISHALI, VAKIL AMRISH</v>
      </c>
      <c r="C12952" s="1" t="str">
        <f>"206-8 HARRIS AVE HILL CREST LOT 93"</f>
        <v>206-8 HARRIS AVE HILL CREST LOT 93</v>
      </c>
      <c r="D12952" s="1">
        <v>1760.99</v>
      </c>
    </row>
    <row r="12953" spans="1:4" x14ac:dyDescent="0.3">
      <c r="A12953" s="1" t="str">
        <f>"11000058500"</f>
        <v>11000058500</v>
      </c>
      <c r="B12953" s="1" t="str">
        <f>"VALDEZ ANGEL"</f>
        <v>VALDEZ ANGEL</v>
      </c>
      <c r="C12953" s="1" t="str">
        <f>"ABINGTON RD CLEVELAND HTS 134 "</f>
        <v xml:space="preserve">ABINGTON RD CLEVELAND HTS 134 </v>
      </c>
      <c r="D12953" s="1">
        <v>642.66</v>
      </c>
    </row>
    <row r="12954" spans="1:4" x14ac:dyDescent="0.3">
      <c r="A12954" s="1" t="str">
        <f>"11000152900"</f>
        <v>11000152900</v>
      </c>
      <c r="B12954" s="1" t="str">
        <f>"VALDEZ ANGEL"</f>
        <v>VALDEZ ANGEL</v>
      </c>
      <c r="C12954" s="1" t="str">
        <f>"ABINGTON RD W 1/2 CLEVELAND HEIGHTS 136"</f>
        <v>ABINGTON RD W 1/2 CLEVELAND HEIGHTS 136</v>
      </c>
      <c r="D12954" s="1">
        <v>386.69</v>
      </c>
    </row>
    <row r="12955" spans="1:4" x14ac:dyDescent="0.3">
      <c r="A12955" s="1" t="str">
        <f>"11000058400"</f>
        <v>11000058400</v>
      </c>
      <c r="B12955" s="1" t="str">
        <f>"VALDEZ ANGEL"</f>
        <v>VALDEZ ANGEL</v>
      </c>
      <c r="C12955" s="1" t="str">
        <f>"2740 ABINGTON RD CLEVELAND HTS 133 "</f>
        <v xml:space="preserve">2740 ABINGTON RD CLEVELAND HTS 133 </v>
      </c>
      <c r="D12955" s="1">
        <v>4731.74</v>
      </c>
    </row>
    <row r="12956" spans="1:4" x14ac:dyDescent="0.3">
      <c r="A12956" s="1" t="str">
        <f>"11000058700"</f>
        <v>11000058700</v>
      </c>
      <c r="B12956" s="1" t="str">
        <f>"VALDEZ ANGEL"</f>
        <v>VALDEZ ANGEL</v>
      </c>
      <c r="C12956" s="1" t="str">
        <f>"ABINGTON RD CLEVELAND HTS 136 E 1/2"</f>
        <v>ABINGTON RD CLEVELAND HTS 136 E 1/2</v>
      </c>
      <c r="D12956" s="1">
        <v>386.69</v>
      </c>
    </row>
    <row r="12957" spans="1:4" x14ac:dyDescent="0.3">
      <c r="A12957" s="1" t="str">
        <f>"11000058800"</f>
        <v>11000058800</v>
      </c>
      <c r="B12957" s="1" t="str">
        <f>"VALDEZ ANGEL"</f>
        <v>VALDEZ ANGEL</v>
      </c>
      <c r="C12957" s="1" t="str">
        <f>"2758 ABINGTON RD CLEVELAND HEIGHTS 137 E 1/2"</f>
        <v>2758 ABINGTON RD CLEVELAND HEIGHTS 137 E 1/2</v>
      </c>
      <c r="D12957" s="1">
        <v>680.78</v>
      </c>
    </row>
    <row r="12958" spans="1:4" x14ac:dyDescent="0.3">
      <c r="A12958" s="1" t="str">
        <f>"11000064800"</f>
        <v>11000064800</v>
      </c>
      <c r="B12958" s="1" t="str">
        <f>"VALDEZ ANGEL"</f>
        <v>VALDEZ ANGEL</v>
      </c>
      <c r="C12958" s="1" t="str">
        <f>"ABINGTON RD CLEVELAND HTS W 1/2 LOT 137"</f>
        <v>ABINGTON RD CLEVELAND HTS W 1/2 LOT 137</v>
      </c>
      <c r="D12958" s="1">
        <v>386.69</v>
      </c>
    </row>
    <row r="12959" spans="1:4" x14ac:dyDescent="0.3">
      <c r="A12959" s="1" t="str">
        <f>"11000058600"</f>
        <v>11000058600</v>
      </c>
      <c r="B12959" s="1" t="str">
        <f>"VALDEZ ANGEL"</f>
        <v>VALDEZ ANGEL</v>
      </c>
      <c r="C12959" s="1" t="str">
        <f>"ABINGTON RD CLEVELAND HTS 135 "</f>
        <v xml:space="preserve">ABINGTON RD CLEVELAND HTS 135 </v>
      </c>
      <c r="D12959" s="1">
        <v>642.66</v>
      </c>
    </row>
    <row r="12960" spans="1:4" x14ac:dyDescent="0.3">
      <c r="A12960" s="1" t="str">
        <f>"16100037500"</f>
        <v>16100037500</v>
      </c>
      <c r="B12960" s="1" t="str">
        <f>"VALDOVINOS MARIA E"</f>
        <v>VALDOVINOS MARIA E</v>
      </c>
      <c r="C12960" s="1" t="str">
        <f>"WALNUT ST URBANCREST 39-40 BLK 7"</f>
        <v>WALNUT ST URBANCREST 39-40 BLK 7</v>
      </c>
      <c r="D12960" s="1">
        <v>76.53</v>
      </c>
    </row>
    <row r="12961" spans="1:4" x14ac:dyDescent="0.3">
      <c r="A12961" s="1" t="str">
        <f>"01011401400"</f>
        <v>01011401400</v>
      </c>
      <c r="B12961" s="1" t="str">
        <f>"VALENTINE CARISA"</f>
        <v>VALENTINE CARISA</v>
      </c>
      <c r="C12961" s="1" t="str">
        <f>"LOCKBOURNE RD WAIBELS PARCELS LOT 9"</f>
        <v>LOCKBOURNE RD WAIBELS PARCELS LOT 9</v>
      </c>
      <c r="D12961" s="1">
        <v>846.69</v>
      </c>
    </row>
    <row r="12962" spans="1:4" x14ac:dyDescent="0.3">
      <c r="A12962" s="1" t="str">
        <f>"01003153700"</f>
        <v>01003153700</v>
      </c>
      <c r="B12962" s="1" t="str">
        <f>"VALENTINE JOSEPH L, VALENTINE JOSEPH L III"</f>
        <v>VALENTINE JOSEPH L, VALENTINE JOSEPH L III</v>
      </c>
      <c r="C12962" s="1" t="str">
        <f>"189 NORTH OHIO AVE MONYPENNYS PARCELS LOT 6"</f>
        <v>189 NORTH OHIO AVE MONYPENNYS PARCELS LOT 6</v>
      </c>
      <c r="D12962" s="1">
        <v>3013.08</v>
      </c>
    </row>
    <row r="12963" spans="1:4" x14ac:dyDescent="0.3">
      <c r="A12963" s="1" t="str">
        <f>"52028900800"</f>
        <v>52028900800</v>
      </c>
      <c r="B12963" s="1" t="str">
        <f>"VALENTINE KATHERINE"</f>
        <v>VALENTINE KATHERINE</v>
      </c>
      <c r="C12963" s="1" t="str">
        <f>"TOWNE PARK SECTION 3 LOT 336"</f>
        <v>TOWNE PARK SECTION 3 LOT 336</v>
      </c>
      <c r="D12963" s="1">
        <v>1646.78</v>
      </c>
    </row>
    <row r="12964" spans="1:4" x14ac:dyDescent="0.3">
      <c r="A12964" s="1" t="str">
        <f>"01002226700"</f>
        <v>01002226700</v>
      </c>
      <c r="B12964" s="1" t="str">
        <f>"VALENTINE THEODORE L"</f>
        <v>VALENTINE THEODORE L</v>
      </c>
      <c r="C12964" s="1" t="str">
        <f>"148 MARTIN AVE SINCLAIR LOT 50"</f>
        <v>148 MARTIN AVE SINCLAIR LOT 50</v>
      </c>
      <c r="D12964" s="1">
        <v>2915.58</v>
      </c>
    </row>
    <row r="12965" spans="1:4" x14ac:dyDescent="0.3">
      <c r="A12965" s="1" t="str">
        <f>"01007829100"</f>
        <v>01007829100</v>
      </c>
      <c r="B12965" s="1" t="str">
        <f>"VALERO ANTONIO"</f>
        <v>VALERO ANTONIO</v>
      </c>
      <c r="C12965" s="1" t="str">
        <f>"778 S TERRACE AVE WESTLAND EXTENSION LOT 316"</f>
        <v>778 S TERRACE AVE WESTLAND EXTENSION LOT 316</v>
      </c>
      <c r="D12965" s="1">
        <v>2626.25</v>
      </c>
    </row>
    <row r="12966" spans="1:4" x14ac:dyDescent="0.3">
      <c r="A12966" s="1" t="str">
        <f>"01008372300"</f>
        <v>01008372300</v>
      </c>
      <c r="B12966" s="1" t="str">
        <f>"VALLADARES ISAAC FRANCISCO"</f>
        <v>VALLADARES ISAAC FRANCISCO</v>
      </c>
      <c r="C12966" s="1" t="str">
        <f>"GRASMERE AVE SUNNYSIDE LOT 605"</f>
        <v>GRASMERE AVE SUNNYSIDE LOT 605</v>
      </c>
      <c r="D12966" s="1">
        <v>1093</v>
      </c>
    </row>
    <row r="12967" spans="1:4" x14ac:dyDescent="0.3">
      <c r="A12967" s="1" t="str">
        <f>"23000269200"</f>
        <v>23000269200</v>
      </c>
      <c r="B12967" s="1" t="str">
        <f>"VALLEJO GLORIA, HERNANDEZ HERMAN PANIAGUA"</f>
        <v>VALLEJO GLORIA, HERNANDEZ HERMAN PANIAGUA</v>
      </c>
      <c r="C12967" s="1" t="str">
        <f>"LONDON GROVEPORT RD ACRES .748 PAR 54 URP"</f>
        <v>LONDON GROVEPORT RD ACRES .748 PAR 54 URP</v>
      </c>
      <c r="D12967" s="1">
        <v>381.43</v>
      </c>
    </row>
    <row r="12968" spans="1:4" x14ac:dyDescent="0.3">
      <c r="A12968" s="1" t="str">
        <f>"23000270100"</f>
        <v>23000270100</v>
      </c>
      <c r="B12968" s="1" t="str">
        <f>"VALLEJO GLORIA, HERNANDEZ HERMAN PANIAGUA"</f>
        <v>VALLEJO GLORIA, HERNANDEZ HERMAN PANIAGUA</v>
      </c>
      <c r="C12968" s="1" t="str">
        <f>"LONDON GROVEPORT RD ENTRY 6309-6582 LOT 52 URP"</f>
        <v>LONDON GROVEPORT RD ENTRY 6309-6582 LOT 52 URP</v>
      </c>
      <c r="D12968" s="1">
        <v>348.96</v>
      </c>
    </row>
    <row r="12969" spans="1:4" x14ac:dyDescent="0.3">
      <c r="A12969" s="1" t="str">
        <f>"01003562600"</f>
        <v>01003562600</v>
      </c>
      <c r="B12969" s="1" t="str">
        <f>"VALOUT LTD"</f>
        <v>VALOUT LTD</v>
      </c>
      <c r="C12969" s="1" t="str">
        <f>"646 SHELDON AVE W MERION EXRS LOT 259"</f>
        <v>646 SHELDON AVE W MERION EXRS LOT 259</v>
      </c>
      <c r="D12969" s="1">
        <v>2932.44</v>
      </c>
    </row>
    <row r="12970" spans="1:4" x14ac:dyDescent="0.3">
      <c r="A12970" s="1" t="str">
        <f>"01006136400"</f>
        <v>01006136400</v>
      </c>
      <c r="B12970" s="1" t="str">
        <f>"VALOUT LTD"</f>
        <v>VALOUT LTD</v>
      </c>
      <c r="C12970" s="1" t="str">
        <f>"1495 REPUBLIC AVE HIGHWAY PARK LOT 174"</f>
        <v>1495 REPUBLIC AVE HIGHWAY PARK LOT 174</v>
      </c>
      <c r="D12970" s="1">
        <v>2901.13</v>
      </c>
    </row>
    <row r="12971" spans="1:4" x14ac:dyDescent="0.3">
      <c r="A12971" s="1" t="str">
        <f>"01010404400"</f>
        <v>01010404400</v>
      </c>
      <c r="B12971" s="1" t="str">
        <f>"VALOUT LTD"</f>
        <v>VALOUT LTD</v>
      </c>
      <c r="C12971" s="1" t="str">
        <f>"ELLSWORTH AVE BAUMANNS LOCKBOURNE LOT 88"</f>
        <v>ELLSWORTH AVE BAUMANNS LOCKBOURNE LOT 88</v>
      </c>
      <c r="D12971" s="1">
        <v>2928.74</v>
      </c>
    </row>
    <row r="12972" spans="1:4" x14ac:dyDescent="0.3">
      <c r="A12972" s="1" t="str">
        <f>"01004734000"</f>
        <v>01004734000</v>
      </c>
      <c r="B12972" s="1" t="str">
        <f>"VALOUT LTD"</f>
        <v>VALOUT LTD</v>
      </c>
      <c r="C12972" s="1" t="str">
        <f>"511 GATES ST LOWRIE BROS LOT 43"</f>
        <v>511 GATES ST LOWRIE BROS LOT 43</v>
      </c>
      <c r="D12972" s="1">
        <v>3317.39</v>
      </c>
    </row>
    <row r="12973" spans="1:4" x14ac:dyDescent="0.3">
      <c r="A12973" s="1" t="str">
        <f>"01007313200"</f>
        <v>01007313200</v>
      </c>
      <c r="B12973" s="1" t="str">
        <f>"VALOUT LTD"</f>
        <v>VALOUT LTD</v>
      </c>
      <c r="C12973" s="1" t="str">
        <f>"19TH AVE RICHAMOND LOT 47"</f>
        <v>19TH AVE RICHAMOND LOT 47</v>
      </c>
      <c r="D12973" s="1">
        <v>1884.87</v>
      </c>
    </row>
    <row r="12974" spans="1:4" x14ac:dyDescent="0.3">
      <c r="A12974" s="1" t="str">
        <f>"01003927000"</f>
        <v>01003927000</v>
      </c>
      <c r="B12974" s="1" t="str">
        <f>"VALOUT LTD"</f>
        <v>VALOUT LTD</v>
      </c>
      <c r="C12974" s="1" t="str">
        <f>"619 S 22ND ST GILBERTS 2ND LOT 68"</f>
        <v>619 S 22ND ST GILBERTS 2ND LOT 68</v>
      </c>
      <c r="D12974" s="1">
        <v>4408.49</v>
      </c>
    </row>
    <row r="12975" spans="1:4" x14ac:dyDescent="0.3">
      <c r="A12975" s="1" t="str">
        <f>"01004448600"</f>
        <v>01004448600</v>
      </c>
      <c r="B12975" s="1" t="str">
        <f>"VALOUT LTD"</f>
        <v>VALOUT LTD</v>
      </c>
      <c r="C12975" s="1" t="str">
        <f>"1288 S 22ND ST 31 X 151.5 FT LOT 22-5-22-31"</f>
        <v>1288 S 22ND ST 31 X 151.5 FT LOT 22-5-22-31</v>
      </c>
      <c r="D12975" s="1">
        <v>3863.73</v>
      </c>
    </row>
    <row r="12976" spans="1:4" x14ac:dyDescent="0.3">
      <c r="A12976" s="1" t="str">
        <f>"01006151000"</f>
        <v>01006151000</v>
      </c>
      <c r="B12976" s="1" t="str">
        <f>"VALOUT LTD"</f>
        <v>VALOUT LTD</v>
      </c>
      <c r="C12976" s="1" t="str">
        <f>"627 -9 MARKISON AVE MESSMER LOT 4"</f>
        <v>627 -9 MARKISON AVE MESSMER LOT 4</v>
      </c>
      <c r="D12976" s="1">
        <v>3230.3</v>
      </c>
    </row>
    <row r="12977" spans="1:4" x14ac:dyDescent="0.3">
      <c r="A12977" s="1" t="str">
        <f>"02501194000"</f>
        <v>02501194000</v>
      </c>
      <c r="B12977" s="1" t="str">
        <f>"VALUE RECOVERY GROUP II LLC"</f>
        <v>VALUE RECOVERY GROUP II LLC</v>
      </c>
      <c r="C12977" s="1" t="str">
        <f>"HAMILTON RD R16 T1 1/4T3 4.943 ACRES"</f>
        <v>HAMILTON RD R16 T1 1/4T3 4.943 ACRES</v>
      </c>
      <c r="D12977" s="1">
        <v>184.58</v>
      </c>
    </row>
    <row r="12978" spans="1:4" x14ac:dyDescent="0.3">
      <c r="A12978" s="1" t="str">
        <f>"01007676900"</f>
        <v>01007676900</v>
      </c>
      <c r="B12978" s="1" t="str">
        <f>"VAN CLIEF RACHAEL"</f>
        <v>VAN CLIEF RACHAEL</v>
      </c>
      <c r="C12978" s="1" t="str">
        <f>"26TH AVE ALL 201&amp;8FT WS 202 HOMESTEAD HGHTS 2 LOT 201-202"</f>
        <v>26TH AVE ALL 201&amp;8FT WS 202 HOMESTEAD HGHTS 2 LOT 201-202</v>
      </c>
      <c r="D12978" s="1">
        <v>804.79</v>
      </c>
    </row>
    <row r="12979" spans="1:4" x14ac:dyDescent="0.3">
      <c r="A12979" s="1" t="str">
        <f>"57014906200"</f>
        <v>57014906200</v>
      </c>
      <c r="B12979" s="1" t="str">
        <f>"VAN DYNE LAUREN E, JONES CASEY A"</f>
        <v>VAN DYNE LAUREN E, JONES CASEY A</v>
      </c>
      <c r="C12979" s="1" t="str">
        <f>"HARDESTY HTS CONDO Y UNIT Y-5 "</f>
        <v xml:space="preserve">HARDESTY HTS CONDO Y UNIT Y-5 </v>
      </c>
      <c r="D12979" s="1">
        <v>101.76</v>
      </c>
    </row>
    <row r="12980" spans="1:4" x14ac:dyDescent="0.3">
      <c r="A12980" s="1" t="str">
        <f>"01028515200"</f>
        <v>01028515200</v>
      </c>
      <c r="B12980" s="1" t="str">
        <f>"VAN HOOK LISA K"</f>
        <v>VAN HOOK LISA K</v>
      </c>
      <c r="C12980" s="1" t="str">
        <f>"MEADOW CROSSING CONDOMINIUM UNIT D"</f>
        <v>MEADOW CROSSING CONDOMINIUM UNIT D</v>
      </c>
      <c r="D12980" s="1">
        <v>1195</v>
      </c>
    </row>
    <row r="12981" spans="1:4" x14ac:dyDescent="0.3">
      <c r="A12981" s="1" t="str">
        <f>"01010209300"</f>
        <v>01010209300</v>
      </c>
      <c r="B12981" s="1" t="str">
        <f>"VAN HORN DOUGLAS"</f>
        <v>VAN HORN DOUGLAS</v>
      </c>
      <c r="C12981" s="1" t="str">
        <f>"BYRON AVE LIV-MOOR HTS LOT 35"</f>
        <v>BYRON AVE LIV-MOOR HTS LOT 35</v>
      </c>
      <c r="D12981" s="1">
        <v>3498.44</v>
      </c>
    </row>
    <row r="12982" spans="1:4" x14ac:dyDescent="0.3">
      <c r="A12982" s="1" t="str">
        <f>"06000951100"</f>
        <v>06000951100</v>
      </c>
      <c r="B12982" s="1" t="str">
        <f>"VAN METER TROY, VAN METER OLIVIA"</f>
        <v>VAN METER TROY, VAN METER OLIVIA</v>
      </c>
      <c r="C12982" s="1" t="str">
        <f>"ROSE HILL TOWNHOME DEVELOPMENT LOT 44 "</f>
        <v xml:space="preserve">ROSE HILL TOWNHOME DEVELOPMENT LOT 44 </v>
      </c>
      <c r="D12982" s="1">
        <v>6931.94</v>
      </c>
    </row>
    <row r="12983" spans="1:4" x14ac:dyDescent="0.3">
      <c r="A12983" s="1" t="str">
        <f>"56021397500"</f>
        <v>56021397500</v>
      </c>
      <c r="B12983" s="1" t="str">
        <f>"VAN MINH C"</f>
        <v>VAN MINH C</v>
      </c>
      <c r="C12983" s="1" t="str">
        <f>"GALLEON BLVD SWEEETWATER ESTATES SEC 4   LOT 194"</f>
        <v>GALLEON BLVD SWEEETWATER ESTATES SEC 4   LOT 194</v>
      </c>
      <c r="D12983" s="1">
        <v>3372.98</v>
      </c>
    </row>
    <row r="12984" spans="1:4" x14ac:dyDescent="0.3">
      <c r="A12984" s="1" t="str">
        <f>"01018854300"</f>
        <v>01018854300</v>
      </c>
      <c r="B12984" s="1" t="str">
        <f>"VAN SCODER RICHARD D"</f>
        <v>VAN SCODER RICHARD D</v>
      </c>
      <c r="C12984" s="1" t="str">
        <f>"KESWICK CT HEARTHSTONE CONDO UNIT 4695-H BLDG 6"</f>
        <v>KESWICK CT HEARTHSTONE CONDO UNIT 4695-H BLDG 6</v>
      </c>
      <c r="D12984" s="1">
        <v>249.76</v>
      </c>
    </row>
    <row r="12985" spans="1:4" x14ac:dyDescent="0.3">
      <c r="A12985" s="1" t="str">
        <f>"51528539600"</f>
        <v>51528539600</v>
      </c>
      <c r="B12985" s="1" t="str">
        <f>"VANAPARTHI KAMALESH KUMAR, BOKKA JYOTHIRMAYI"</f>
        <v>VANAPARTHI KAMALESH KUMAR, BOKKA JYOTHIRMAYI</v>
      </c>
      <c r="C12985" s="1" t="str">
        <f>"BEDFORD PLACE CONDOMINIUM BLDG 12 UNIT 1204"</f>
        <v>BEDFORD PLACE CONDOMINIUM BLDG 12 UNIT 1204</v>
      </c>
      <c r="D12985" s="1">
        <v>3494.78</v>
      </c>
    </row>
    <row r="12986" spans="1:4" x14ac:dyDescent="0.3">
      <c r="A12986" s="1" t="str">
        <f>"18400159000"</f>
        <v>18400159000</v>
      </c>
      <c r="B12986" s="1" t="str">
        <f>"VANARTSDALEN JOSEPH S"</f>
        <v>VANARTSDALEN JOSEPH S</v>
      </c>
      <c r="C12986" s="1" t="str">
        <f>"WINCHESTER VILLAGE SECTION 2 LOT 147"</f>
        <v>WINCHESTER VILLAGE SECTION 2 LOT 147</v>
      </c>
      <c r="D12986" s="1">
        <v>259.18</v>
      </c>
    </row>
    <row r="12987" spans="1:4" x14ac:dyDescent="0.3">
      <c r="A12987" s="1" t="str">
        <f>"18400010400"</f>
        <v>18400010400</v>
      </c>
      <c r="B12987" s="1" t="str">
        <f>"VANCE BRIAN, VANCE ASHLEY"</f>
        <v>VANCE BRIAN, VANCE ASHLEY</v>
      </c>
      <c r="C12987" s="1" t="str">
        <f>"REAR COLUMBUS ST ABOUT 4 ACRES SEC 30 CHANEY LAND OUT 1"</f>
        <v>REAR COLUMBUS ST ABOUT 4 ACRES SEC 30 CHANEY LAND OUT 1</v>
      </c>
      <c r="D12987" s="1">
        <v>1613.95</v>
      </c>
    </row>
    <row r="12988" spans="1:4" x14ac:dyDescent="0.3">
      <c r="A12988" s="1" t="str">
        <f>"01002755000"</f>
        <v>01002755000</v>
      </c>
      <c r="B12988" s="1" t="str">
        <f>"VANCE DOUGLAS E, VANCE GINA A"</f>
        <v>VANCE DOUGLAS E, VANCE GINA A</v>
      </c>
      <c r="C12988" s="1" t="str">
        <f>"344 SYCAMORE ST FRANKLIN COUNTY LOT 13"</f>
        <v>344 SYCAMORE ST FRANKLIN COUNTY LOT 13</v>
      </c>
      <c r="D12988" s="1">
        <v>8493.64</v>
      </c>
    </row>
    <row r="12989" spans="1:4" x14ac:dyDescent="0.3">
      <c r="A12989" s="1" t="str">
        <f>"15300034200"</f>
        <v>15300034200</v>
      </c>
      <c r="B12989" s="1" t="str">
        <f>"VANCE ELMER E"</f>
        <v>VANCE ELMER E</v>
      </c>
      <c r="C12989" s="1" t="str">
        <f>"MAUREEN BLVD N ELKS ACRES SEC 2 LOT 72"</f>
        <v>MAUREEN BLVD N ELKS ACRES SEC 2 LOT 72</v>
      </c>
      <c r="D12989" s="1">
        <v>83.36</v>
      </c>
    </row>
    <row r="12990" spans="1:4" x14ac:dyDescent="0.3">
      <c r="A12990" s="1" t="str">
        <f>"05001005500"</f>
        <v>05001005500</v>
      </c>
      <c r="B12990" s="1" t="str">
        <f>"VANDEMARK SCOTT W, VANDEMARK MARGARET"</f>
        <v>VANDEMARK SCOTT W, VANDEMARK MARGARET</v>
      </c>
      <c r="C12990" s="1" t="str">
        <f>"VININGS CONDOMINIUM COMMUNITY 4TH AMD UNIT 5165"</f>
        <v>VININGS CONDOMINIUM COMMUNITY 4TH AMD UNIT 5165</v>
      </c>
      <c r="D12990" s="1">
        <v>3616.02</v>
      </c>
    </row>
    <row r="12991" spans="1:4" x14ac:dyDescent="0.3">
      <c r="A12991" s="1" t="str">
        <f>"01008782000"</f>
        <v>01008782000</v>
      </c>
      <c r="B12991" s="1" t="str">
        <f>"VANDERBLUFF PROPERTIES LLC"</f>
        <v>VANDERBLUFF PROPERTIES LLC</v>
      </c>
      <c r="C12991" s="1" t="str">
        <f>"2591 AVALON PLACE BEXLEY HTS AMD LOT 123"</f>
        <v>2591 AVALON PLACE BEXLEY HTS AMD LOT 123</v>
      </c>
      <c r="D12991" s="1">
        <v>2253.9499999999998</v>
      </c>
    </row>
    <row r="12992" spans="1:4" x14ac:dyDescent="0.3">
      <c r="A12992" s="1" t="str">
        <f>"01000837900"</f>
        <v>01000837900</v>
      </c>
      <c r="B12992" s="1" t="str">
        <f>"VANDERHEOF EVAN TYLER"</f>
        <v>VANDERHEOF EVAN TYLER</v>
      </c>
      <c r="C12992" s="1" t="str">
        <f>"959 HIGHLAND ST COLLINS ATKINSON &amp; GUITNER LOT 133"</f>
        <v>959 HIGHLAND ST COLLINS ATKINSON &amp; GUITNER LOT 133</v>
      </c>
      <c r="D12992" s="1">
        <v>7430.35</v>
      </c>
    </row>
    <row r="12993" spans="1:4" x14ac:dyDescent="0.3">
      <c r="A12993" s="1" t="str">
        <f>"01026276000"</f>
        <v>01026276000</v>
      </c>
      <c r="B12993" s="1" t="str">
        <f>"VANDERZWAN DORIS"</f>
        <v>VANDERZWAN DORIS</v>
      </c>
      <c r="C12993" s="1" t="str">
        <f>"BLENDON RESERVE CONDOMINIUM 1ST AMD UNIT 2-4083"</f>
        <v>BLENDON RESERVE CONDOMINIUM 1ST AMD UNIT 2-4083</v>
      </c>
      <c r="D12993" s="1">
        <v>173.89</v>
      </c>
    </row>
    <row r="12994" spans="1:4" x14ac:dyDescent="0.3">
      <c r="A12994" s="1" t="str">
        <f>"57015818900"</f>
        <v>57015818900</v>
      </c>
      <c r="B12994" s="1" t="str">
        <f>"VANEGAS CARMEN PEREZ"</f>
        <v>VANEGAS CARMEN PEREZ</v>
      </c>
      <c r="C12994" s="1" t="str">
        <f>"HARDESTY HEIGHTS CONDOMINIUM NO R UNIT R-2"</f>
        <v>HARDESTY HEIGHTS CONDOMINIUM NO R UNIT R-2</v>
      </c>
      <c r="D12994" s="1">
        <v>2350.63</v>
      </c>
    </row>
    <row r="12995" spans="1:4" x14ac:dyDescent="0.3">
      <c r="A12995" s="1" t="str">
        <f>"61017151300"</f>
        <v>61017151300</v>
      </c>
      <c r="B12995" s="1" t="str">
        <f>"VANHORNE LINDA S"</f>
        <v>VANHORNE LINDA S</v>
      </c>
      <c r="C12995" s="1" t="str">
        <f>"BUTTERMILK AVE WORTHINGVIEW SEC 3 LOT 271"</f>
        <v>BUTTERMILK AVE WORTHINGVIEW SEC 3 LOT 271</v>
      </c>
      <c r="D12995" s="1">
        <v>427.23</v>
      </c>
    </row>
    <row r="12996" spans="1:4" x14ac:dyDescent="0.3">
      <c r="A12996" s="1" t="str">
        <f>"15000077400"</f>
        <v>15000077400</v>
      </c>
      <c r="B12996" s="1" t="str">
        <f>"VANMETER PROPERTIES LLC"</f>
        <v>VANMETER PROPERTIES LLC</v>
      </c>
      <c r="C12996" s="1" t="str">
        <f>"1049 MEADOW LANE .316 ACRE R22 T4 S15"</f>
        <v>1049 MEADOW LANE .316 ACRE R22 T4 S15</v>
      </c>
      <c r="D12996" s="1">
        <v>1392.23</v>
      </c>
    </row>
    <row r="12997" spans="1:4" x14ac:dyDescent="0.3">
      <c r="A12997" s="1" t="str">
        <f>"22000190300"</f>
        <v>22000190300</v>
      </c>
      <c r="B12997" s="1" t="str">
        <f>"VANMETER ROBERT E, VANMETER CHERYL A"</f>
        <v>VANMETER ROBERT E, VANMETER CHERYL A</v>
      </c>
      <c r="C12997" s="1" t="str">
        <f>"ALBANY LANE ALBANYVIEW 1.353 ACRES LOT 16"</f>
        <v>ALBANY LANE ALBANYVIEW 1.353 ACRES LOT 16</v>
      </c>
      <c r="D12997" s="1">
        <v>625.76</v>
      </c>
    </row>
    <row r="12998" spans="1:4" x14ac:dyDescent="0.3">
      <c r="A12998" s="1" t="str">
        <f>"07000043000"</f>
        <v>07000043000</v>
      </c>
      <c r="B12998" s="1" t="str">
        <f>"VANNATTA JULIE D"</f>
        <v>VANNATTA JULIE D</v>
      </c>
      <c r="C12998" s="1" t="str">
        <f>"2170 WALTHAM RD UPPER ARLINGTON AMD LOT 13 BLK 124"</f>
        <v>2170 WALTHAM RD UPPER ARLINGTON AMD LOT 13 BLK 124</v>
      </c>
      <c r="D12998" s="1">
        <v>914.16</v>
      </c>
    </row>
    <row r="12999" spans="1:4" x14ac:dyDescent="0.3">
      <c r="A12999" s="1" t="str">
        <f>"14000039300"</f>
        <v>14000039300</v>
      </c>
      <c r="B12999" s="1" t="str">
        <f>"VANORDER RICHARD, VANORDER DENISE"</f>
        <v>VANORDER RICHARD, VANORDER DENISE</v>
      </c>
      <c r="C12999" s="1" t="str">
        <f>"1596 REAVER LN NO ENTRY 422 ACRES .7027 SUB 1 OQ1000"</f>
        <v>1596 REAVER LN NO ENTRY 422 ACRES .7027 SUB 1 OQ1000</v>
      </c>
      <c r="D12999" s="1">
        <v>2406.6799999999998</v>
      </c>
    </row>
    <row r="13000" spans="1:4" x14ac:dyDescent="0.3">
      <c r="A13000" s="1" t="str">
        <f>"18400014000"</f>
        <v>18400014000</v>
      </c>
      <c r="B13000" s="1" t="str">
        <f>"VANSICKLE JAMES A JR, VANSICKLE MAILYN S"</f>
        <v>VANSICKLE JAMES A JR, VANSICKLE MAILYN S</v>
      </c>
      <c r="C13000" s="1" t="str">
        <f>"WATERLOO ST 40FT W S DOVES 4 "</f>
        <v xml:space="preserve">WATERLOO ST 40FT W S DOVES 4 </v>
      </c>
      <c r="D13000" s="1">
        <v>2742.62</v>
      </c>
    </row>
    <row r="13001" spans="1:4" x14ac:dyDescent="0.3">
      <c r="A13001" s="1" t="str">
        <f>"01012575700"</f>
        <v>01012575700</v>
      </c>
      <c r="B13001" s="1" t="str">
        <f>"VANTERPOOL DONALD L TTEE"</f>
        <v>VANTERPOOL DONALD L TTEE</v>
      </c>
      <c r="C13001" s="1" t="str">
        <f>"MAIZE MANOR 2 LOT 8 "</f>
        <v xml:space="preserve">MAIZE MANOR 2 LOT 8 </v>
      </c>
      <c r="D13001" s="1">
        <v>203.84</v>
      </c>
    </row>
    <row r="13002" spans="1:4" x14ac:dyDescent="0.3">
      <c r="A13002" s="1" t="str">
        <f>"01006758600"</f>
        <v>01006758600</v>
      </c>
      <c r="B13002" s="1" t="str">
        <f>"VARGAS ALFONSO, MORALES HONORIA ARACEN"</f>
        <v>VARGAS ALFONSO, MORALES HONORIA ARACEN</v>
      </c>
      <c r="C13002" s="1" t="str">
        <f>"450 HELEN ST FOREST HILL LOT 75"</f>
        <v>450 HELEN ST FOREST HILL LOT 75</v>
      </c>
      <c r="D13002" s="1">
        <v>852.98</v>
      </c>
    </row>
    <row r="13003" spans="1:4" x14ac:dyDescent="0.3">
      <c r="A13003" s="1" t="str">
        <f>"06000355200"</f>
        <v>06000355200</v>
      </c>
      <c r="B13003" s="1" t="str">
        <f>"VARGAS ELVIA"</f>
        <v>VARGAS ELVIA</v>
      </c>
      <c r="C13003" s="1" t="str">
        <f>"CARLYLE DR AMD LUDLOW LOT 114"</f>
        <v>CARLYLE DR AMD LUDLOW LOT 114</v>
      </c>
      <c r="D13003" s="1">
        <v>2136.84</v>
      </c>
    </row>
    <row r="13004" spans="1:4" x14ac:dyDescent="0.3">
      <c r="A13004" s="1" t="str">
        <f>"02000065600"</f>
        <v>02000065600</v>
      </c>
      <c r="B13004" s="1" t="str">
        <f>"VARGAS-COLEMAN LYNN, COLEMAN CRAIG"</f>
        <v>VARGAS-COLEMAN LYNN, COLEMAN CRAIG</v>
      </c>
      <c r="C13004" s="1" t="str">
        <f>"684 S CASSINGHAM RD BEXLEY PLAZA LOT 120"</f>
        <v>684 S CASSINGHAM RD BEXLEY PLAZA LOT 120</v>
      </c>
      <c r="D13004" s="1">
        <v>4836.6499999999996</v>
      </c>
    </row>
    <row r="13005" spans="1:4" x14ac:dyDescent="0.3">
      <c r="A13005" s="1" t="str">
        <f>"11000376500"</f>
        <v>11000376500</v>
      </c>
      <c r="B13005" s="1" t="str">
        <f>"VARGAS-HAN CUI, VARGAS MARIO J"</f>
        <v>VARGAS-HAN CUI, VARGAS MARIO J</v>
      </c>
      <c r="C13005" s="1" t="str">
        <f>"CARACAS DR H C HUBER PLAT 48 SEC 6 1828 "</f>
        <v xml:space="preserve">CARACAS DR H C HUBER PLAT 48 SEC 6 1828 </v>
      </c>
      <c r="D13005" s="1">
        <v>370.95</v>
      </c>
    </row>
    <row r="13006" spans="1:4" x14ac:dyDescent="0.3">
      <c r="A13006" s="1" t="str">
        <f>"60018297500"</f>
        <v>60018297500</v>
      </c>
      <c r="B13006" s="1" t="str">
        <f>"VARGO JULIE, CHURCH BARBARA"</f>
        <v>VARGO JULIE, CHURCH BARBARA</v>
      </c>
      <c r="C13006" s="1" t="str">
        <f>"BROADVIEW RD BROADVW FARMS 2 PH 1 LOT 125"</f>
        <v>BROADVIEW RD BROADVW FARMS 2 PH 1 LOT 125</v>
      </c>
      <c r="D13006" s="1">
        <v>4628.21</v>
      </c>
    </row>
    <row r="13007" spans="1:4" x14ac:dyDescent="0.3">
      <c r="A13007" s="1" t="str">
        <f>"01010435800"</f>
        <v>01010435800</v>
      </c>
      <c r="B13007" s="1" t="str">
        <f>"VARNEY BEATRICE M"</f>
        <v>VARNEY BEATRICE M</v>
      </c>
      <c r="C13007" s="1" t="str">
        <f>"BERKLEY RD ACRES .313 COURT SUB"</f>
        <v>BERKLEY RD ACRES .313 COURT SUB</v>
      </c>
      <c r="D13007" s="1">
        <v>1649.81</v>
      </c>
    </row>
    <row r="13008" spans="1:4" x14ac:dyDescent="0.3">
      <c r="A13008" s="1" t="str">
        <f>"24000653600"</f>
        <v>24000653600</v>
      </c>
      <c r="B13008" s="1" t="str">
        <f>"VARNEY JESSICA, VARNEY GRANT"</f>
        <v>VARNEY JESSICA, VARNEY GRANT</v>
      </c>
      <c r="C13008" s="1" t="str">
        <f>"ALTON ROAD ENTRY 5234 5.0325 ACRES"</f>
        <v>ALTON ROAD ENTRY 5234 5.0325 ACRES</v>
      </c>
      <c r="D13008" s="1">
        <v>8096.21</v>
      </c>
    </row>
    <row r="13009" spans="1:4" x14ac:dyDescent="0.3">
      <c r="A13009" s="1" t="str">
        <f>"14000431000"</f>
        <v>14000431000</v>
      </c>
      <c r="B13009" s="1" t="str">
        <f>"VARNEY JULIE A, VARNEY TERRY C"</f>
        <v>VARNEY JULIE A, VARNEY TERRY C</v>
      </c>
      <c r="C13009" s="1" t="str">
        <f>"2163 BIG RUN RD 1.15 ACRES OQ1000 ENTRY 1454"</f>
        <v>2163 BIG RUN RD 1.15 ACRES OQ1000 ENTRY 1454</v>
      </c>
      <c r="D13009" s="1">
        <v>3147.72</v>
      </c>
    </row>
    <row r="13010" spans="1:4" x14ac:dyDescent="0.3">
      <c r="A13010" s="1" t="str">
        <f>"59023187000"</f>
        <v>59023187000</v>
      </c>
      <c r="B13010" s="1" t="str">
        <f>"VASANDANI LATA H"</f>
        <v>VASANDANI LATA H</v>
      </c>
      <c r="C13010" s="1" t="str">
        <f>"DUBLIN GREEN CONDOMINIUM 2ND AMD UNIT 6829-205"</f>
        <v>DUBLIN GREEN CONDOMINIUM 2ND AMD UNIT 6829-205</v>
      </c>
      <c r="D13010" s="1">
        <v>2226.92</v>
      </c>
    </row>
    <row r="13011" spans="1:4" x14ac:dyDescent="0.3">
      <c r="A13011" s="1" t="str">
        <f>"01005073300"</f>
        <v>01005073300</v>
      </c>
      <c r="B13011" s="1" t="str">
        <f>"VASQUES DUANE C"</f>
        <v>VASQUES DUANE C</v>
      </c>
      <c r="C13011" s="1" t="str">
        <f>"511 FREBIS AVE MOLER ST LOT 55"</f>
        <v>511 FREBIS AVE MOLER ST LOT 55</v>
      </c>
      <c r="D13011" s="1">
        <v>1365.03</v>
      </c>
    </row>
    <row r="13012" spans="1:4" x14ac:dyDescent="0.3">
      <c r="A13012" s="1" t="str">
        <f>"13000437400"</f>
        <v>13000437400</v>
      </c>
      <c r="B13012" s="1" t="str">
        <f>"VASQUEZ GOMEZ JUAN, FLORES ALVARADO FRANKLIN OSWALDO"</f>
        <v>VASQUEZ GOMEZ JUAN, FLORES ALVARADO FRANKLIN OSWALDO</v>
      </c>
      <c r="C13012" s="1" t="str">
        <f>"MECCA RD NORTHERN WAY 48 "</f>
        <v xml:space="preserve">MECCA RD NORTHERN WAY 48 </v>
      </c>
      <c r="D13012" s="1">
        <v>3970.41</v>
      </c>
    </row>
    <row r="13013" spans="1:4" x14ac:dyDescent="0.3">
      <c r="A13013" s="1" t="str">
        <f>"59019696600"</f>
        <v>59019696600</v>
      </c>
      <c r="B13013" s="1" t="str">
        <f>"VASQUEZ LILIANA IVETTE"</f>
        <v>VASQUEZ LILIANA IVETTE</v>
      </c>
      <c r="C13013" s="1" t="str">
        <f>"5280 WOODRUN BLVD WOODRUN PLC CONDO 1 BLDG 6 UNIT 38"</f>
        <v>5280 WOODRUN BLVD WOODRUN PLC CONDO 1 BLDG 6 UNIT 38</v>
      </c>
      <c r="D13013" s="1">
        <v>4571.74</v>
      </c>
    </row>
    <row r="13014" spans="1:4" x14ac:dyDescent="0.3">
      <c r="A13014" s="1" t="str">
        <f>"01007845800"</f>
        <v>01007845800</v>
      </c>
      <c r="B13014" s="1" t="str">
        <f>"VASSALLO STEPHEN"</f>
        <v>VASSALLO STEPHEN</v>
      </c>
      <c r="C13014" s="1" t="str">
        <f>"2329 PARKWOOD AVE MUL-BUR HTS AMD LOT 451-452"</f>
        <v>2329 PARKWOOD AVE MUL-BUR HTS AMD LOT 451-452</v>
      </c>
      <c r="D13014" s="1">
        <v>15.75</v>
      </c>
    </row>
    <row r="13015" spans="1:4" x14ac:dyDescent="0.3">
      <c r="A13015" s="1" t="str">
        <f>"01007845900"</f>
        <v>01007845900</v>
      </c>
      <c r="B13015" s="1" t="str">
        <f>"VASSALLO STEPHEN"</f>
        <v>VASSALLO STEPHEN</v>
      </c>
      <c r="C13015" s="1" t="str">
        <f>"2323 PARKWOOD AVE MUL-BUR HTS AMD LOT 452-453"</f>
        <v>2323 PARKWOOD AVE MUL-BUR HTS AMD LOT 452-453</v>
      </c>
      <c r="D13015" s="1">
        <v>15.75</v>
      </c>
    </row>
    <row r="13016" spans="1:4" x14ac:dyDescent="0.3">
      <c r="A13016" s="1" t="str">
        <f>"60018602800"</f>
        <v>60018602800</v>
      </c>
      <c r="B13016" s="1" t="str">
        <f>"VATTER MICHAEL J, VATTER KAREN L"</f>
        <v>VATTER MICHAEL J, VATTER KAREN L</v>
      </c>
      <c r="C13016" s="1" t="str">
        <f>"BLAREFIELD DR BRANDYWINE MEADOWS 4 LOT 232"</f>
        <v>BLAREFIELD DR BRANDYWINE MEADOWS 4 LOT 232</v>
      </c>
      <c r="D13016" s="1">
        <v>5092.8</v>
      </c>
    </row>
    <row r="13017" spans="1:4" x14ac:dyDescent="0.3">
      <c r="A13017" s="1" t="str">
        <f>"01012837000"</f>
        <v>01012837000</v>
      </c>
      <c r="B13017" s="1" t="str">
        <f>"VATTI RAKESH BABU, KOLAN SWETHA REDDY"</f>
        <v>VATTI RAKESH BABU, KOLAN SWETHA REDDY</v>
      </c>
      <c r="C13017" s="1" t="str">
        <f>"HARWOOD DR HOLLY HILL 2 LOT 225"</f>
        <v>HARWOOD DR HOLLY HILL 2 LOT 225</v>
      </c>
      <c r="D13017" s="1">
        <v>157.62</v>
      </c>
    </row>
    <row r="13018" spans="1:4" x14ac:dyDescent="0.3">
      <c r="A13018" s="1" t="str">
        <f>"07000559900"</f>
        <v>07000559900</v>
      </c>
      <c r="B13018" s="1" t="str">
        <f>"VAUGHAN CYNTHIA J, VAUGHAN JAMES M"</f>
        <v>VAUGHAN CYNTHIA J, VAUGHAN JAMES M</v>
      </c>
      <c r="C13018" s="1" t="str">
        <f>"3280 RIVERSIDE DR EAST CLEFT LOTS 12-14"</f>
        <v>3280 RIVERSIDE DR EAST CLEFT LOTS 12-14</v>
      </c>
      <c r="D13018" s="1">
        <v>7427.37</v>
      </c>
    </row>
    <row r="13019" spans="1:4" x14ac:dyDescent="0.3">
      <c r="A13019" s="1" t="str">
        <f>"01003364500"</f>
        <v>01003364500</v>
      </c>
      <c r="B13019" s="1" t="str">
        <f>"VAUGHAN JERMAINE"</f>
        <v>VAUGHAN JERMAINE</v>
      </c>
      <c r="C13019" s="1" t="str">
        <f>"PARKWOOD AVE WATTERSONS 1ST LOT 43"</f>
        <v>PARKWOOD AVE WATTERSONS 1ST LOT 43</v>
      </c>
      <c r="D13019" s="1">
        <v>7.78</v>
      </c>
    </row>
    <row r="13020" spans="1:4" x14ac:dyDescent="0.3">
      <c r="A13020" s="1" t="str">
        <f>"01003252600"</f>
        <v>01003252600</v>
      </c>
      <c r="B13020" s="1" t="str">
        <f>"VAUGHN ASHLEY M"</f>
        <v>VAUGHN ASHLEY M</v>
      </c>
      <c r="C13020" s="1" t="str">
        <f>"MACLAUGHLIN PL LOT 41 "</f>
        <v xml:space="preserve">MACLAUGHLIN PL LOT 41 </v>
      </c>
      <c r="D13020" s="1">
        <v>3471.8</v>
      </c>
    </row>
    <row r="13021" spans="1:4" x14ac:dyDescent="0.3">
      <c r="A13021" s="1" t="str">
        <f>"01003919000"</f>
        <v>01003919000</v>
      </c>
      <c r="B13021" s="1" t="str">
        <f>"VAUGHN STREET PROPERTY LLC"</f>
        <v>VAUGHN STREET PROPERTY LLC</v>
      </c>
      <c r="C13021" s="1" t="str">
        <f>"1757-9-61 S PARSONS SOUTH SIDE TERRACE LOT 186"</f>
        <v>1757-9-61 S PARSONS SOUTH SIDE TERRACE LOT 186</v>
      </c>
      <c r="D13021" s="1">
        <v>2216.19</v>
      </c>
    </row>
    <row r="13022" spans="1:4" x14ac:dyDescent="0.3">
      <c r="A13022" s="1" t="str">
        <f>"01010351100"</f>
        <v>01010351100</v>
      </c>
      <c r="B13022" s="1" t="str">
        <f>"VAUGHN TAMI L"</f>
        <v>VAUGHN TAMI L</v>
      </c>
      <c r="C13022" s="1" t="str">
        <f>"WM H DAVIS LOT 82 "</f>
        <v xml:space="preserve">WM H DAVIS LOT 82 </v>
      </c>
      <c r="D13022" s="1">
        <v>1762.13</v>
      </c>
    </row>
    <row r="13023" spans="1:4" x14ac:dyDescent="0.3">
      <c r="A13023" s="1" t="str">
        <f>"01010378600"</f>
        <v>01010378600</v>
      </c>
      <c r="B13023" s="1" t="str">
        <f>"VAUGHT CHARLES M, HILLYER BETH A"</f>
        <v>VAUGHT CHARLES M, HILLYER BETH A</v>
      </c>
      <c r="C13023" s="1" t="str">
        <f>"POWHATAN AVE MIRIAM LOT 95"</f>
        <v>POWHATAN AVE MIRIAM LOT 95</v>
      </c>
      <c r="D13023" s="1">
        <v>1396.23</v>
      </c>
    </row>
    <row r="13024" spans="1:4" x14ac:dyDescent="0.3">
      <c r="A13024" s="1" t="str">
        <f>"01008909900"</f>
        <v>01008909900</v>
      </c>
      <c r="B13024" s="1" t="str">
        <f>"VAW PROPERTIES LLC"</f>
        <v>VAW PROPERTIES LLC</v>
      </c>
      <c r="C13024" s="1" t="str">
        <f>"WAVERLY ST CALDWELLS MAIN ST LOT 156"</f>
        <v>WAVERLY ST CALDWELLS MAIN ST LOT 156</v>
      </c>
      <c r="D13024" s="1">
        <v>657.69</v>
      </c>
    </row>
    <row r="13025" spans="1:4" x14ac:dyDescent="0.3">
      <c r="A13025" s="1" t="str">
        <f>"01012415900"</f>
        <v>01012415900</v>
      </c>
      <c r="B13025" s="1" t="str">
        <f>"VAZQUEZ EUGENIA"</f>
        <v>VAZQUEZ EUGENIA</v>
      </c>
      <c r="C13025" s="1" t="str">
        <f>"WESTMOOR CT VALLEYVIEW HTS 2 LOT 113"</f>
        <v>WESTMOOR CT VALLEYVIEW HTS 2 LOT 113</v>
      </c>
      <c r="D13025" s="1">
        <v>1883.83</v>
      </c>
    </row>
    <row r="13026" spans="1:4" x14ac:dyDescent="0.3">
      <c r="A13026" s="1" t="str">
        <f>"01020145800"</f>
        <v>01020145800</v>
      </c>
      <c r="B13026" s="1" t="str">
        <f>"VAZQUEZ EUGENIA, VAZQUEZ EULALIO"</f>
        <v>VAZQUEZ EUGENIA, VAZQUEZ EULALIO</v>
      </c>
      <c r="C13026" s="1" t="str">
        <f>"443 DERRER RD FRANKLIN HTS 63' EL 100'SL SE COR LOT 36"</f>
        <v>443 DERRER RD FRANKLIN HTS 63' EL 100'SL SE COR LOT 36</v>
      </c>
      <c r="D13026" s="1">
        <v>1646.49</v>
      </c>
    </row>
    <row r="13027" spans="1:4" x14ac:dyDescent="0.3">
      <c r="A13027" s="1" t="str">
        <f>"01011089200"</f>
        <v>01011089200</v>
      </c>
      <c r="B13027" s="1" t="str">
        <f>"VAZQUEZ EULALIO"</f>
        <v>VAZQUEZ EULALIO</v>
      </c>
      <c r="C13027" s="1" t="str">
        <f>"BRIGGS RD ACRES .16 NO OF ENTRY 971"</f>
        <v>BRIGGS RD ACRES .16 NO OF ENTRY 971</v>
      </c>
      <c r="D13027" s="1">
        <v>1464.67</v>
      </c>
    </row>
    <row r="13028" spans="1:4" x14ac:dyDescent="0.3">
      <c r="A13028" s="1" t="str">
        <f>"61022890200"</f>
        <v>61022890200</v>
      </c>
      <c r="B13028" s="1" t="str">
        <f>"VEAC LLC"</f>
        <v>VEAC LLC</v>
      </c>
      <c r="C13028" s="1" t="str">
        <f>"DEARBORN PARK LANE R18 T2 S2 4.00 ACRES"</f>
        <v>DEARBORN PARK LANE R18 T2 S2 4.00 ACRES</v>
      </c>
      <c r="D13028" s="1">
        <v>130710.82</v>
      </c>
    </row>
    <row r="13029" spans="1:4" x14ac:dyDescent="0.3">
      <c r="A13029" s="1" t="str">
        <f>"01014500900"</f>
        <v>01014500900</v>
      </c>
      <c r="B13029" s="1" t="str">
        <f>"VEAL WILLIAM S, VEAL CHARLZETTA G"</f>
        <v>VEAL WILLIAM S, VEAL CHARLZETTA G</v>
      </c>
      <c r="C13029" s="1" t="str">
        <f>"SHARBOT DR NORTHLAND VILLAGE EAST LOT 25"</f>
        <v>SHARBOT DR NORTHLAND VILLAGE EAST LOT 25</v>
      </c>
      <c r="D13029" s="1">
        <v>141.27000000000001</v>
      </c>
    </row>
    <row r="13030" spans="1:4" x14ac:dyDescent="0.3">
      <c r="A13030" s="1" t="str">
        <f>"01006699800"</f>
        <v>01006699800</v>
      </c>
      <c r="B13030" s="1" t="str">
        <f>"VEDA HOMES LLC"</f>
        <v>VEDA HOMES LLC</v>
      </c>
      <c r="C13030" s="1" t="str">
        <f>"HILDRETH AVE 12FT ES 30 &amp; 28FT WS 31 HILDRETH LOT 30-1"</f>
        <v>HILDRETH AVE 12FT ES 30 &amp; 28FT WS 31 HILDRETH LOT 30-1</v>
      </c>
      <c r="D13030" s="1">
        <v>3226.77</v>
      </c>
    </row>
    <row r="13031" spans="1:4" x14ac:dyDescent="0.3">
      <c r="A13031" s="1" t="str">
        <f>"01005887500"</f>
        <v>01005887500</v>
      </c>
      <c r="B13031" s="1" t="str">
        <f>"VELIKOFF ANNE TTEE"</f>
        <v>VELIKOFF ANNE TTEE</v>
      </c>
      <c r="C13031" s="1" t="str">
        <f>"218 MONTROSE WAY NORTHMOOR LOT 189"</f>
        <v>218 MONTROSE WAY NORTHMOOR LOT 189</v>
      </c>
      <c r="D13031" s="1">
        <v>410.56</v>
      </c>
    </row>
    <row r="13032" spans="1:4" x14ac:dyDescent="0.3">
      <c r="A13032" s="1" t="str">
        <f>"01003886900"</f>
        <v>01003886900</v>
      </c>
      <c r="B13032" s="1" t="str">
        <f>"VELIS EMELI DEL CARMEN, GUZMAN DARWIN DIAZ"</f>
        <v>VELIS EMELI DEL CARMEN, GUZMAN DARWIN DIAZ</v>
      </c>
      <c r="C13032" s="1" t="str">
        <f>"136 HIGHLAND AVE D L DAVIES 7 "</f>
        <v xml:space="preserve">136 HIGHLAND AVE D L DAVIES 7 </v>
      </c>
      <c r="D13032" s="1">
        <v>2367.62</v>
      </c>
    </row>
    <row r="13033" spans="1:4" x14ac:dyDescent="0.3">
      <c r="A13033" s="1" t="str">
        <f>"01002533100"</f>
        <v>01002533100</v>
      </c>
      <c r="B13033" s="1" t="str">
        <f>"VELIU VALMIR, VELIU ANA"</f>
        <v>VELIU VALMIR, VELIU ANA</v>
      </c>
      <c r="C13033" s="1" t="str">
        <f>"1727 S HIGH ST 13.07FT.MID.PT.L.18 INNIS LOT 18"</f>
        <v>1727 S HIGH ST 13.07FT.MID.PT.L.18 INNIS LOT 18</v>
      </c>
      <c r="D13033" s="1">
        <v>436.39</v>
      </c>
    </row>
    <row r="13034" spans="1:4" x14ac:dyDescent="0.3">
      <c r="A13034" s="1" t="str">
        <f>"01005131600"</f>
        <v>01005131600</v>
      </c>
      <c r="B13034" s="1" t="str">
        <f>"VELJANOVSKI JOVCHE"</f>
        <v>VELJANOVSKI JOVCHE</v>
      </c>
      <c r="C13034" s="1" t="str">
        <f>"641 E STARR AVE HIGHLAND LOT 97"</f>
        <v>641 E STARR AVE HIGHLAND LOT 97</v>
      </c>
      <c r="D13034" s="1">
        <v>3595.85</v>
      </c>
    </row>
    <row r="13035" spans="1:4" x14ac:dyDescent="0.3">
      <c r="A13035" s="1" t="str">
        <f>"01004839500"</f>
        <v>01004839500</v>
      </c>
      <c r="B13035" s="1" t="str">
        <f>"VELJANOVSKI REBECCA L, VELJANOVSKI JOVCHE"</f>
        <v>VELJANOVSKI REBECCA L, VELJANOVSKI JOVCHE</v>
      </c>
      <c r="C13035" s="1" t="str">
        <f>"1106-1108 15TH AVE DREXEL PARK LOT 129"</f>
        <v>1106-1108 15TH AVE DREXEL PARK LOT 129</v>
      </c>
      <c r="D13035" s="1">
        <v>3291.9</v>
      </c>
    </row>
    <row r="13036" spans="1:4" x14ac:dyDescent="0.3">
      <c r="A13036" s="1" t="str">
        <f>"01016098900"</f>
        <v>01016098900</v>
      </c>
      <c r="B13036" s="1" t="str">
        <f>"VELLA MARK A"</f>
        <v>VELLA MARK A</v>
      </c>
      <c r="C13036" s="1" t="str">
        <f>"WOODBROOK COURT WOODBROOK VILLAGE CONDO UNIT 23"</f>
        <v>WOODBROOK COURT WOODBROOK VILLAGE CONDO UNIT 23</v>
      </c>
      <c r="D13036" s="1">
        <v>1148.5999999999999</v>
      </c>
    </row>
    <row r="13037" spans="1:4" x14ac:dyDescent="0.3">
      <c r="A13037" s="1" t="str">
        <f>"01007435100"</f>
        <v>01007435100</v>
      </c>
      <c r="B13037" s="1" t="str">
        <f>"VENEROS RE HOLDINGS LLC"</f>
        <v>VENEROS RE HOLDINGS LLC</v>
      </c>
      <c r="C13037" s="1" t="str">
        <f>"2820 HIAWATHA ST ALMADA LOT 698"</f>
        <v>2820 HIAWATHA ST ALMADA LOT 698</v>
      </c>
      <c r="D13037" s="1">
        <v>800</v>
      </c>
    </row>
    <row r="13038" spans="1:4" x14ac:dyDescent="0.3">
      <c r="A13038" s="1" t="str">
        <f>"01010080500"</f>
        <v>01010080500</v>
      </c>
      <c r="B13038" s="1" t="str">
        <f>"VENEROS RE HOLDINGS LLC"</f>
        <v>VENEROS RE HOLDINGS LLC</v>
      </c>
      <c r="C13038" s="1" t="str">
        <f>"HIAWATHA AVE ALMADA LOT 699"</f>
        <v>HIAWATHA AVE ALMADA LOT 699</v>
      </c>
      <c r="D13038" s="1">
        <v>184.06</v>
      </c>
    </row>
    <row r="13039" spans="1:4" x14ac:dyDescent="0.3">
      <c r="A13039" s="1" t="str">
        <f>"56017847300"</f>
        <v>56017847300</v>
      </c>
      <c r="B13039" s="1" t="str">
        <f>"VENKATACHAR ARUN C, VENKATACHAR BEVERLY J"</f>
        <v>VENKATACHAR ARUN C, VENKATACHAR BEVERLY J</v>
      </c>
      <c r="C13039" s="1" t="str">
        <f>"SKIPSTONE PLC HIGHPOINT SECTION 2 LOT 119"</f>
        <v>SKIPSTONE PLC HIGHPOINT SECTION 2 LOT 119</v>
      </c>
      <c r="D13039" s="1">
        <v>4942.2</v>
      </c>
    </row>
    <row r="13040" spans="1:4" x14ac:dyDescent="0.3">
      <c r="A13040" s="1" t="str">
        <f>"22200314800"</f>
        <v>22200314800</v>
      </c>
      <c r="B13040" s="1" t="str">
        <f>"VENKATESAN KARTHIK K, VENKATARAMAN UTHRA"</f>
        <v>VENKATESAN KARTHIK K, VENKATARAMAN UTHRA</v>
      </c>
      <c r="C13040" s="1" t="str">
        <f>"MARGARUM BEND NEW ALBANY LINKS SECTION 4 PART 3 LOT 426"</f>
        <v>MARGARUM BEND NEW ALBANY LINKS SECTION 4 PART 3 LOT 426</v>
      </c>
      <c r="D13040" s="1">
        <v>14049.97</v>
      </c>
    </row>
    <row r="13041" spans="1:4" x14ac:dyDescent="0.3">
      <c r="A13041" s="1" t="str">
        <f>"11300062400"</f>
        <v>11300062400</v>
      </c>
      <c r="B13041" s="1" t="str">
        <f>"VENNE JOYCE E"</f>
        <v>VENNE JOYCE E</v>
      </c>
      <c r="C13041" s="1" t="str">
        <f>"BRIAR ROSE AVE MINERVA PARK 86 "</f>
        <v xml:space="preserve">BRIAR ROSE AVE MINERVA PARK 86 </v>
      </c>
      <c r="D13041" s="1">
        <v>59.96</v>
      </c>
    </row>
    <row r="13042" spans="1:4" x14ac:dyDescent="0.3">
      <c r="A13042" s="1" t="str">
        <f>"01007813100"</f>
        <v>01007813100</v>
      </c>
      <c r="B13042" s="1" t="str">
        <f>"VENTURA MIGUEL CRUZ"</f>
        <v>VENTURA MIGUEL CRUZ</v>
      </c>
      <c r="C13042" s="1" t="str">
        <f>"698 S WAYNE AVE WESTLAND EXT LOT 156"</f>
        <v>698 S WAYNE AVE WESTLAND EXT LOT 156</v>
      </c>
      <c r="D13042" s="1">
        <v>859.39</v>
      </c>
    </row>
    <row r="13043" spans="1:4" x14ac:dyDescent="0.3">
      <c r="A13043" s="1" t="str">
        <f>"01003891000"</f>
        <v>01003891000</v>
      </c>
      <c r="B13043" s="1" t="str">
        <f>"VENTURE HOLDINGS LLC"</f>
        <v>VENTURE HOLDINGS LLC</v>
      </c>
      <c r="C13043" s="1" t="str">
        <f>"1059 SCOTT ST N 1/2 OF E 1/2 J S SULLIVANT SUB 10"</f>
        <v>1059 SCOTT ST N 1/2 OF E 1/2 J S SULLIVANT SUB 10</v>
      </c>
      <c r="D13043" s="1">
        <v>289.91000000000003</v>
      </c>
    </row>
    <row r="13044" spans="1:4" x14ac:dyDescent="0.3">
      <c r="A13044" s="1" t="str">
        <f>"01007739200"</f>
        <v>01007739200</v>
      </c>
      <c r="B13044" s="1" t="str">
        <f>"VERA RICARDO A, VERA ELVA A"</f>
        <v>VERA RICARDO A, VERA ELVA A</v>
      </c>
      <c r="C13044" s="1" t="str">
        <f>"ST MARYS PARK LOT 14-15 "</f>
        <v xml:space="preserve">ST MARYS PARK LOT 14-15 </v>
      </c>
      <c r="D13044" s="1">
        <v>2475.02</v>
      </c>
    </row>
    <row r="13045" spans="1:4" x14ac:dyDescent="0.3">
      <c r="A13045" s="1" t="str">
        <f>"02500665500"</f>
        <v>02500665500</v>
      </c>
      <c r="B13045" s="1" t="str">
        <f>"VERBANCE KIMBERLY SUE TTEE"</f>
        <v>VERBANCE KIMBERLY SUE TTEE</v>
      </c>
      <c r="C13045" s="1" t="str">
        <f>"863 N TAMARA DRIVE HUNTERS RIDGE SEC 7 LOT 483"</f>
        <v>863 N TAMARA DRIVE HUNTERS RIDGE SEC 7 LOT 483</v>
      </c>
      <c r="D13045" s="1">
        <v>190.1</v>
      </c>
    </row>
    <row r="13046" spans="1:4" x14ac:dyDescent="0.3">
      <c r="A13046" s="1" t="str">
        <f>"05000204800"</f>
        <v>05000204800</v>
      </c>
      <c r="B13046" s="1" t="str">
        <f>"VERBITSKY YURY, VERBITSKY ANNIE D"</f>
        <v>VERBITSKY YURY, VERBITSKY ANNIE D</v>
      </c>
      <c r="C13046" s="1" t="str">
        <f>"5369 LUTHER LANE ROMAN HILL ESTATES LOT 66"</f>
        <v>5369 LUTHER LANE ROMAN HILL ESTATES LOT 66</v>
      </c>
      <c r="D13046" s="1">
        <v>6217.13</v>
      </c>
    </row>
    <row r="13047" spans="1:4" x14ac:dyDescent="0.3">
      <c r="A13047" s="1" t="str">
        <f>"56018359500"</f>
        <v>56018359500</v>
      </c>
      <c r="B13047" s="1" t="str">
        <f>"VERBSKY MARSHALL, HAACK LAUREN"</f>
        <v>VERBSKY MARSHALL, HAACK LAUREN</v>
      </c>
      <c r="C13047" s="1" t="str">
        <f>"CYPRESS CREEK DR GOLFVIEW WOODS SEC 5 LOT 260"</f>
        <v>CYPRESS CREEK DR GOLFVIEW WOODS SEC 5 LOT 260</v>
      </c>
      <c r="D13047" s="1">
        <v>2527.02</v>
      </c>
    </row>
    <row r="13048" spans="1:4" x14ac:dyDescent="0.3">
      <c r="A13048" s="1" t="str">
        <f>"01009560900"</f>
        <v>01009560900</v>
      </c>
      <c r="B13048" s="1" t="str">
        <f>"VERDIER PAUL"</f>
        <v>VERDIER PAUL</v>
      </c>
      <c r="C13048" s="1" t="str">
        <f>"2988 MCGUFFEY RD SANDLIN LOT 2"</f>
        <v>2988 MCGUFFEY RD SANDLIN LOT 2</v>
      </c>
      <c r="D13048" s="1">
        <v>122.14</v>
      </c>
    </row>
    <row r="13049" spans="1:4" x14ac:dyDescent="0.3">
      <c r="A13049" s="1" t="str">
        <f>"01009250900"</f>
        <v>01009250900</v>
      </c>
      <c r="B13049" s="1" t="str">
        <f>"VERDUN COX VINCENE, COX ARTHUR NATHANIEL"</f>
        <v>VERDUN COX VINCENE, COX ARTHUR NATHANIEL</v>
      </c>
      <c r="C13049" s="1" t="str">
        <f>"BERWICK BLVD BERWICK LOT 571-572"</f>
        <v>BERWICK BLVD BERWICK LOT 571-572</v>
      </c>
      <c r="D13049" s="1">
        <v>2866.99</v>
      </c>
    </row>
    <row r="13050" spans="1:4" x14ac:dyDescent="0.3">
      <c r="A13050" s="1" t="str">
        <f>"06000377600"</f>
        <v>06000377600</v>
      </c>
      <c r="B13050" s="1" t="str">
        <f>"VERMILLION SHARON"</f>
        <v>VERMILLION SHARON</v>
      </c>
      <c r="C13050" s="1" t="str">
        <f>"MAUGHAM DR LUDLOW LOT 339"</f>
        <v>MAUGHAM DR LUDLOW LOT 339</v>
      </c>
      <c r="D13050" s="1">
        <v>2494.5500000000002</v>
      </c>
    </row>
    <row r="13051" spans="1:4" x14ac:dyDescent="0.3">
      <c r="A13051" s="1" t="str">
        <f>"05000733200"</f>
        <v>05000733200</v>
      </c>
      <c r="B13051" s="1" t="str">
        <f>"VERNON MARK A, VERNON EMMA J"</f>
        <v>VERNON MARK A, VERNON EMMA J</v>
      </c>
      <c r="C13051" s="1" t="str">
        <f>"MONDAVI COURT SUTTON PLACE SEC 2 LOT 46"</f>
        <v>MONDAVI COURT SUTTON PLACE SEC 2 LOT 46</v>
      </c>
      <c r="D13051" s="1">
        <v>475.74</v>
      </c>
    </row>
    <row r="13052" spans="1:4" x14ac:dyDescent="0.3">
      <c r="A13052" s="1" t="str">
        <f>"01012783500"</f>
        <v>01012783500</v>
      </c>
      <c r="B13052" s="1" t="str">
        <f>"VERNON SHIRLEY"</f>
        <v>VERNON SHIRLEY</v>
      </c>
      <c r="C13052" s="1" t="str">
        <f>"LINSDALE RD PINE HILLS LOT 479"</f>
        <v>LINSDALE RD PINE HILLS LOT 479</v>
      </c>
      <c r="D13052" s="1">
        <v>1583.16</v>
      </c>
    </row>
    <row r="13053" spans="1:4" x14ac:dyDescent="0.3">
      <c r="A13053" s="1" t="str">
        <f>"01002109700"</f>
        <v>01002109700</v>
      </c>
      <c r="B13053" s="1" t="str">
        <f>"VERT INVESTMENTS LLC"</f>
        <v>VERT INVESTMENTS LLC</v>
      </c>
      <c r="C13053" s="1" t="str">
        <f>"BLACKBURN 135'ES LOTS 2-9 &amp; IRR SE PT LOT 1"</f>
        <v>BLACKBURN 135'ES LOTS 2-9 &amp; IRR SE PT LOT 1</v>
      </c>
      <c r="D13053" s="1">
        <v>26823.96</v>
      </c>
    </row>
    <row r="13054" spans="1:4" x14ac:dyDescent="0.3">
      <c r="A13054" s="1" t="str">
        <f>"59020563300"</f>
        <v>59020563300</v>
      </c>
      <c r="B13054" s="1" t="str">
        <f>"VERTOLLI ROBERT J"</f>
        <v>VERTOLLI ROBERT J</v>
      </c>
      <c r="C13054" s="1" t="str">
        <f>"LAKEBROOK BLVD BROOKSIDE WOODS SEC 5 PART 1 LOT 185"</f>
        <v>LAKEBROOK BLVD BROOKSIDE WOODS SEC 5 PART 1 LOT 185</v>
      </c>
      <c r="D13054" s="1">
        <v>4070.12</v>
      </c>
    </row>
    <row r="13055" spans="1:4" x14ac:dyDescent="0.3">
      <c r="A13055" s="1" t="str">
        <f>"01014244800"</f>
        <v>01014244800</v>
      </c>
      <c r="B13055" s="1" t="str">
        <f>"VET-M-TEC LLC"</f>
        <v>VET-M-TEC LLC</v>
      </c>
      <c r="C13055" s="1" t="str">
        <f>"GLENBAR DR SOMERSET 4 LOT 980"</f>
        <v>GLENBAR DR SOMERSET 4 LOT 980</v>
      </c>
      <c r="D13055" s="1">
        <v>1616.19</v>
      </c>
    </row>
    <row r="13056" spans="1:4" x14ac:dyDescent="0.3">
      <c r="A13056" s="1" t="str">
        <f>"15300034600"</f>
        <v>15300034600</v>
      </c>
      <c r="B13056" s="1" t="str">
        <f>"VETS M-TEC LLC"</f>
        <v>VETS M-TEC LLC</v>
      </c>
      <c r="C13056" s="1" t="str">
        <f>"ELKS ACRES SEC 2 LOT 76 "</f>
        <v xml:space="preserve">ELKS ACRES SEC 2 LOT 76 </v>
      </c>
      <c r="D13056" s="1">
        <v>1122.28</v>
      </c>
    </row>
    <row r="13057" spans="1:4" x14ac:dyDescent="0.3">
      <c r="A13057" s="1" t="str">
        <f>"01006234500"</f>
        <v>01006234500</v>
      </c>
      <c r="B13057" s="1" t="str">
        <f>"VETS M-TEC LLC"</f>
        <v>VETS M-TEC LLC</v>
      </c>
      <c r="C13057" s="1" t="str">
        <f>"TAYLOR AVE WATTERSON 1ST LOT 12"</f>
        <v>TAYLOR AVE WATTERSON 1ST LOT 12</v>
      </c>
      <c r="D13057" s="1">
        <v>345.18</v>
      </c>
    </row>
    <row r="13058" spans="1:4" x14ac:dyDescent="0.3">
      <c r="A13058" s="1" t="str">
        <f>"01006210200"</f>
        <v>01006210200</v>
      </c>
      <c r="B13058" s="1" t="str">
        <f>"VETS M-TEC LLC"</f>
        <v>VETS M-TEC LLC</v>
      </c>
      <c r="C13058" s="1" t="str">
        <f>"TAYLOR AVE WATTERSON 1ST LOT 10"</f>
        <v>TAYLOR AVE WATTERSON 1ST LOT 10</v>
      </c>
      <c r="D13058" s="1">
        <v>1263.23</v>
      </c>
    </row>
    <row r="13059" spans="1:4" x14ac:dyDescent="0.3">
      <c r="A13059" s="1" t="str">
        <f>"01006291900"</f>
        <v>01006291900</v>
      </c>
      <c r="B13059" s="1" t="str">
        <f>"VETS M-TEC LLC"</f>
        <v>VETS M-TEC LLC</v>
      </c>
      <c r="C13059" s="1" t="str">
        <f>"JOHNSON LOT 7 "</f>
        <v xml:space="preserve">JOHNSON LOT 7 </v>
      </c>
      <c r="D13059" s="1">
        <v>861.49</v>
      </c>
    </row>
    <row r="13060" spans="1:4" x14ac:dyDescent="0.3">
      <c r="A13060" s="1" t="str">
        <f>"18500024000"</f>
        <v>18500024000</v>
      </c>
      <c r="B13060" s="1" t="str">
        <f>"VETS M-TEC LLC"</f>
        <v>VETS M-TEC LLC</v>
      </c>
      <c r="C13060" s="1" t="str">
        <f>"COLLEGE ST LOT 39  "</f>
        <v xml:space="preserve">COLLEGE ST LOT 39  </v>
      </c>
      <c r="D13060" s="1">
        <v>1877.36</v>
      </c>
    </row>
    <row r="13061" spans="1:4" x14ac:dyDescent="0.3">
      <c r="A13061" s="1" t="str">
        <f>"01015806400"</f>
        <v>01015806400</v>
      </c>
      <c r="B13061" s="1" t="str">
        <f>"VETS M-TEC LLC"</f>
        <v>VETS M-TEC LLC</v>
      </c>
      <c r="C13061" s="1" t="str">
        <f>"KIMBERLY VILLAS CONDOMINIUM PHASE 1 UNIT 15-C"</f>
        <v>KIMBERLY VILLAS CONDOMINIUM PHASE 1 UNIT 15-C</v>
      </c>
      <c r="D13061" s="1">
        <v>743.66</v>
      </c>
    </row>
    <row r="13062" spans="1:4" x14ac:dyDescent="0.3">
      <c r="A13062" s="1" t="str">
        <f>"01014623900"</f>
        <v>01014623900</v>
      </c>
      <c r="B13062" s="1" t="str">
        <f>"VETTA PROPERTIES LTD"</f>
        <v>VETTA PROPERTIES LTD</v>
      </c>
      <c r="C13062" s="1" t="str">
        <f>"FISHER RD ENTRY 530 6.208 ACRES"</f>
        <v>FISHER RD ENTRY 530 6.208 ACRES</v>
      </c>
      <c r="D13062" s="1">
        <v>3060.29</v>
      </c>
    </row>
    <row r="13063" spans="1:4" x14ac:dyDescent="0.3">
      <c r="A13063" s="1" t="str">
        <f>"01008279800"</f>
        <v>01008279800</v>
      </c>
      <c r="B13063" s="1" t="str">
        <f>"VETTERS REBECCA A"</f>
        <v>VETTERS REBECCA A</v>
      </c>
      <c r="C13063" s="1" t="str">
        <f>"1269 ACTON RD EDGEMONT GARDENS LOT157 PT AL VAC"</f>
        <v>1269 ACTON RD EDGEMONT GARDENS LOT157 PT AL VAC</v>
      </c>
      <c r="D13063" s="1">
        <v>1780.02</v>
      </c>
    </row>
    <row r="13064" spans="1:4" x14ac:dyDescent="0.3">
      <c r="A13064" s="1" t="str">
        <f>"01008256700"</f>
        <v>01008256700</v>
      </c>
      <c r="B13064" s="1" t="str">
        <f>"VHF CONSULTING GROUP LLC"</f>
        <v>VHF CONSULTING GROUP LLC</v>
      </c>
      <c r="C13064" s="1" t="str">
        <f>"PAULINE AVE SCHOENELAND LOT 270"</f>
        <v>PAULINE AVE SCHOENELAND LOT 270</v>
      </c>
      <c r="D13064" s="1">
        <v>901.55</v>
      </c>
    </row>
    <row r="13065" spans="1:4" x14ac:dyDescent="0.3">
      <c r="A13065" s="1" t="str">
        <f>"51023924600"</f>
        <v>51023924600</v>
      </c>
      <c r="B13065" s="1" t="str">
        <f>"VICE ROBERT L, VICE KIMBERLY J"</f>
        <v>VICE ROBERT L, VICE KIMBERLY J</v>
      </c>
      <c r="C13065" s="1" t="str">
        <f>"ROBMEYER DRIVE HAMILTON HEIGHTS SEC 3 PART 2 LOT 169"</f>
        <v>ROBMEYER DRIVE HAMILTON HEIGHTS SEC 3 PART 2 LOT 169</v>
      </c>
      <c r="D13065" s="1">
        <v>160.51</v>
      </c>
    </row>
    <row r="13066" spans="1:4" x14ac:dyDescent="0.3">
      <c r="A13066" s="1" t="str">
        <f>"01012462300"</f>
        <v>01012462300</v>
      </c>
      <c r="B13066" s="1" t="str">
        <f>"VICK KATHLEEN S"</f>
        <v>VICK KATHLEEN S</v>
      </c>
      <c r="C13066" s="1" t="str">
        <f>"GRAFTON AVE BRENTWOOD PARK 2 LOT 17"</f>
        <v>GRAFTON AVE BRENTWOOD PARK 2 LOT 17</v>
      </c>
      <c r="D13066" s="1">
        <v>480.26</v>
      </c>
    </row>
    <row r="13067" spans="1:4" x14ac:dyDescent="0.3">
      <c r="A13067" s="1" t="str">
        <f>"01011702400"</f>
        <v>01011702400</v>
      </c>
      <c r="B13067" s="1" t="str">
        <f>"VICKERS MARGARET S"</f>
        <v>VICKERS MARGARET S</v>
      </c>
      <c r="C13067" s="1" t="str">
        <f>"AFTON RD CRANFORD LOT 111"</f>
        <v>AFTON RD CRANFORD LOT 111</v>
      </c>
      <c r="D13067" s="1">
        <v>663.47</v>
      </c>
    </row>
    <row r="13068" spans="1:4" x14ac:dyDescent="0.3">
      <c r="A13068" s="1" t="str">
        <f>"56020424100"</f>
        <v>56020424100</v>
      </c>
      <c r="B13068" s="1" t="str">
        <f>"VICKERY CHAD, VICKERY JENNIFER"</f>
        <v>VICKERY CHAD, VICKERY JENNIFER</v>
      </c>
      <c r="C13068" s="1" t="str">
        <f>"THOROUGHBRED COURT SADDLEBROOK SEC 4 LOT 141"</f>
        <v>THOROUGHBRED COURT SADDLEBROOK SEC 4 LOT 141</v>
      </c>
      <c r="D13068" s="1">
        <v>4049.09</v>
      </c>
    </row>
    <row r="13069" spans="1:4" x14ac:dyDescent="0.3">
      <c r="A13069" s="1" t="str">
        <f>"01006403300"</f>
        <v>01006403300</v>
      </c>
      <c r="B13069" s="1" t="str">
        <f>"VICTORY ESTATES LLC"</f>
        <v>VICTORY ESTATES LLC</v>
      </c>
      <c r="C13069" s="1" t="str">
        <f>"CHENEY &amp; BURWELL LOT 18 "</f>
        <v xml:space="preserve">CHENEY &amp; BURWELL LOT 18 </v>
      </c>
      <c r="D13069" s="1">
        <v>5901.49</v>
      </c>
    </row>
    <row r="13070" spans="1:4" x14ac:dyDescent="0.3">
      <c r="A13070" s="1" t="str">
        <f>"01028544100"</f>
        <v>01028544100</v>
      </c>
      <c r="B13070" s="1" t="str">
        <f>"VIDOSH SANDY, VIDOSH JOHN"</f>
        <v>VIDOSH SANDY, VIDOSH JOHN</v>
      </c>
      <c r="C13070" s="1" t="str">
        <f>"THE FALLS AT HAYDEN RUN   CONDOMINIUM 9TH AMD       BLDG 54 UNIT 54-5299     "</f>
        <v xml:space="preserve">THE FALLS AT HAYDEN RUN   CONDOMINIUM 9TH AMD       BLDG 54 UNIT 54-5299     </v>
      </c>
      <c r="D13070" s="1">
        <v>206.15</v>
      </c>
    </row>
    <row r="13071" spans="1:4" x14ac:dyDescent="0.3">
      <c r="A13071" s="1" t="str">
        <f>"57025523700"</f>
        <v>57025523700</v>
      </c>
      <c r="B13071" s="1" t="str">
        <f>"VIGIL HORTENCIA S"</f>
        <v>VIGIL HORTENCIA S</v>
      </c>
      <c r="C13071" s="1" t="str">
        <f>"WESTEDGE COURT GALLOWAY RIDGE SECTION 4 PART 2 LOT 359"</f>
        <v>WESTEDGE COURT GALLOWAY RIDGE SECTION 4 PART 2 LOT 359</v>
      </c>
      <c r="D13071" s="1">
        <v>4078.47</v>
      </c>
    </row>
    <row r="13072" spans="1:4" x14ac:dyDescent="0.3">
      <c r="A13072" s="1" t="str">
        <f>"61021386600"</f>
        <v>61021386600</v>
      </c>
      <c r="B13072" s="1" t="str">
        <f>"VILENCHUK BORIS A"</f>
        <v>VILENCHUK BORIS A</v>
      </c>
      <c r="C13072" s="1" t="str">
        <f>"DUBLIN WORTH PK ELMWOOD LOTS 4-5"</f>
        <v>DUBLIN WORTH PK ELMWOOD LOTS 4-5</v>
      </c>
      <c r="D13072" s="1">
        <v>4410.0600000000004</v>
      </c>
    </row>
    <row r="13073" spans="1:4" x14ac:dyDescent="0.3">
      <c r="A13073" s="1" t="str">
        <f>"01028862500"</f>
        <v>01028862500</v>
      </c>
      <c r="B13073" s="1" t="str">
        <f>"VILLAGE AT STONE CLIFF HOMEOWNERS ASSOC INC"</f>
        <v>VILLAGE AT STONE CLIFF HOMEOWNERS ASSOC INC</v>
      </c>
      <c r="C13073" s="1" t="str">
        <f>"VILLAGE AT STONE CLIFF SECT 2 PART 1 RESERVE K"</f>
        <v>VILLAGE AT STONE CLIFF SECT 2 PART 1 RESERVE K</v>
      </c>
      <c r="D13073" s="1">
        <v>4.0599999999999996</v>
      </c>
    </row>
    <row r="13074" spans="1:4" x14ac:dyDescent="0.3">
      <c r="A13074" s="1" t="str">
        <f>"01029000000"</f>
        <v>01029000000</v>
      </c>
      <c r="B13074" s="1" t="str">
        <f>"VILLAGE AT STONE CLIFF HOMEOWNERS ASSOCIATION INC"</f>
        <v>VILLAGE AT STONE CLIFF HOMEOWNERS ASSOCIATION INC</v>
      </c>
      <c r="C13074" s="1" t="str">
        <f>"VILLAGE AT STONE CLIFF SECTION 2 PART 2 RESERVE O"</f>
        <v>VILLAGE AT STONE CLIFF SECTION 2 PART 2 RESERVE O</v>
      </c>
      <c r="D13074" s="1">
        <v>18.57</v>
      </c>
    </row>
    <row r="13075" spans="1:4" x14ac:dyDescent="0.3">
      <c r="A13075" s="1" t="str">
        <f>"01016264300"</f>
        <v>01016264300</v>
      </c>
      <c r="B13075" s="1" t="str">
        <f>"VILLALOBOS ESTEVAN R JR"</f>
        <v>VILLALOBOS ESTEVAN R JR</v>
      </c>
      <c r="C13075" s="1" t="str">
        <f>"CARBONDALE DRIVE WALNUT BLUFF NO 4 LOT 988"</f>
        <v>CARBONDALE DRIVE WALNUT BLUFF NO 4 LOT 988</v>
      </c>
      <c r="D13075" s="1">
        <v>3554.46</v>
      </c>
    </row>
    <row r="13076" spans="1:4" x14ac:dyDescent="0.3">
      <c r="A13076" s="1" t="str">
        <f>"01003448100"</f>
        <v>01003448100</v>
      </c>
      <c r="B13076" s="1" t="str">
        <f>"VILLANUEVA SIMON DURAN"</f>
        <v>VILLANUEVA SIMON DURAN</v>
      </c>
      <c r="C13076" s="1" t="str">
        <f>"DANA AVE MONETTS CENTRAL AVE ADD LOT 104"</f>
        <v>DANA AVE MONETTS CENTRAL AVE ADD LOT 104</v>
      </c>
      <c r="D13076" s="1">
        <v>347.78</v>
      </c>
    </row>
    <row r="13077" spans="1:4" x14ac:dyDescent="0.3">
      <c r="A13077" s="1" t="str">
        <f>"01014688600"</f>
        <v>01014688600</v>
      </c>
      <c r="B13077" s="1" t="str">
        <f>"VILLANUEVA WILLIAN, DE VILLANUE DINORA A CASTANEDA"</f>
        <v>VILLANUEVA WILLIAN, DE VILLANUE DINORA A CASTANEDA</v>
      </c>
      <c r="C13077" s="1" t="str">
        <f>"NORTHLAND PK SEC 2 LOT 135 "</f>
        <v xml:space="preserve">NORTHLAND PK SEC 2 LOT 135 </v>
      </c>
      <c r="D13077" s="1">
        <v>1760.21</v>
      </c>
    </row>
    <row r="13078" spans="1:4" x14ac:dyDescent="0.3">
      <c r="A13078" s="1" t="str">
        <f>"14000128400"</f>
        <v>14000128400</v>
      </c>
      <c r="B13078" s="1" t="str">
        <f>"VILLARREAL ELIJAH"</f>
        <v>VILLARREAL ELIJAH</v>
      </c>
      <c r="C13078" s="1" t="str">
        <f>"BELMEAD AVE GIBSON PARK PLACE LOT 318"</f>
        <v>BELMEAD AVE GIBSON PARK PLACE LOT 318</v>
      </c>
      <c r="D13078" s="1">
        <v>554.77</v>
      </c>
    </row>
    <row r="13079" spans="1:4" x14ac:dyDescent="0.3">
      <c r="A13079" s="1" t="str">
        <f>"27401213600"</f>
        <v>27401213600</v>
      </c>
      <c r="B13079" s="1" t="str">
        <f>"VILLOPOTO CARMEN MICHAEL"</f>
        <v>VILLOPOTO CARMEN MICHAEL</v>
      </c>
      <c r="C13079" s="1" t="str">
        <f>"POST RD OQ 555 ENTRY 6748 5.151 ACRES"</f>
        <v>POST RD OQ 555 ENTRY 6748 5.151 ACRES</v>
      </c>
      <c r="D13079" s="1">
        <v>2054.86</v>
      </c>
    </row>
    <row r="13080" spans="1:4" x14ac:dyDescent="0.3">
      <c r="A13080" s="1" t="str">
        <f>"08000651700"</f>
        <v>08000651700</v>
      </c>
      <c r="B13080" s="1" t="str">
        <f>"VINCENT DENISE, VINCENT MARC WESLEY"</f>
        <v>VINCENT DENISE, VINCENT MARC WESLEY</v>
      </c>
      <c r="C13080" s="1" t="str">
        <f>"CHERRINGTON ROAD WOODLAKE CLNY PH3 LOT 165"</f>
        <v>CHERRINGTON ROAD WOODLAKE CLNY PH3 LOT 165</v>
      </c>
      <c r="D13080" s="1">
        <v>190.8</v>
      </c>
    </row>
    <row r="13081" spans="1:4" x14ac:dyDescent="0.3">
      <c r="A13081" s="1" t="str">
        <f>"15000220300"</f>
        <v>15000220300</v>
      </c>
      <c r="B13081" s="1" t="str">
        <f>"VINCENT THERON J"</f>
        <v>VINCENT THERON J</v>
      </c>
      <c r="C13081" s="1" t="str">
        <f>"5081 KENESAW PL HAMILTON MEADOWS 7 LOT 663"</f>
        <v>5081 KENESAW PL HAMILTON MEADOWS 7 LOT 663</v>
      </c>
      <c r="D13081" s="1">
        <v>3992.98</v>
      </c>
    </row>
    <row r="13082" spans="1:4" x14ac:dyDescent="0.3">
      <c r="A13082" s="1" t="str">
        <f>"01012544300"</f>
        <v>01012544300</v>
      </c>
      <c r="B13082" s="1" t="str">
        <f>"VINEY CHARLES, VINEY PHILLIS"</f>
        <v>VINEY CHARLES, VINEY PHILLIS</v>
      </c>
      <c r="C13082" s="1" t="str">
        <f>"BLUEFIELD DR SOUTHFIELD 2ND LOT 248"</f>
        <v>BLUEFIELD DR SOUTHFIELD 2ND LOT 248</v>
      </c>
      <c r="D13082" s="1">
        <v>1775.1</v>
      </c>
    </row>
    <row r="13083" spans="1:4" x14ac:dyDescent="0.3">
      <c r="A13083" s="1" t="str">
        <f>"01000613600"</f>
        <v>01000613600</v>
      </c>
      <c r="B13083" s="1" t="str">
        <f>"VINSON KEITH E"</f>
        <v>VINSON KEITH E</v>
      </c>
      <c r="C13083" s="1" t="str">
        <f>"1043 CAMDEN AVE WOOLEYS LOT 31"</f>
        <v>1043 CAMDEN AVE WOOLEYS LOT 31</v>
      </c>
      <c r="D13083" s="1">
        <v>121.35</v>
      </c>
    </row>
    <row r="13084" spans="1:4" x14ac:dyDescent="0.3">
      <c r="A13084" s="1" t="str">
        <f>"01000613300"</f>
        <v>01000613300</v>
      </c>
      <c r="B13084" s="1" t="str">
        <f>"VINSON PATRICIA ETAL 3"</f>
        <v>VINSON PATRICIA ETAL 3</v>
      </c>
      <c r="C13084" s="1" t="str">
        <f>"1035 S OF CAMDEN AVE WOOLEYS LOT 26"</f>
        <v>1035 S OF CAMDEN AVE WOOLEYS LOT 26</v>
      </c>
      <c r="D13084" s="1">
        <v>1278.08</v>
      </c>
    </row>
    <row r="13085" spans="1:4" x14ac:dyDescent="0.3">
      <c r="A13085" s="1" t="str">
        <f>"01006561100"</f>
        <v>01006561100</v>
      </c>
      <c r="B13085" s="1" t="str">
        <f>"VIRDEN AUDRA L"</f>
        <v>VIRDEN AUDRA L</v>
      </c>
      <c r="C13085" s="1" t="str">
        <f>"HALDY AVE COLUMBIA PK ANNEX LOT 68"</f>
        <v>HALDY AVE COLUMBIA PK ANNEX LOT 68</v>
      </c>
      <c r="D13085" s="1">
        <v>2342.4299999999998</v>
      </c>
    </row>
    <row r="13086" spans="1:4" x14ac:dyDescent="0.3">
      <c r="A13086" s="1" t="str">
        <f>"14000119200"</f>
        <v>14000119200</v>
      </c>
      <c r="B13086" s="1" t="str">
        <f>"VIRGIN ERIC"</f>
        <v>VIRGIN ERIC</v>
      </c>
      <c r="C13086" s="1" t="str">
        <f>"1629 LINNET AVE GIBSON PARK PLACE LOT 262"</f>
        <v>1629 LINNET AVE GIBSON PARK PLACE LOT 262</v>
      </c>
      <c r="D13086" s="1">
        <v>3253.32</v>
      </c>
    </row>
    <row r="13087" spans="1:4" x14ac:dyDescent="0.3">
      <c r="A13087" s="1" t="str">
        <f>"27400122400"</f>
        <v>27400122400</v>
      </c>
      <c r="B13087" s="1" t="str">
        <f>"VISHWANATHAN VISH"</f>
        <v>VISHWANATHAN VISH</v>
      </c>
      <c r="C13087" s="1" t="str">
        <f>"5784 BONALY COURT BALLANTRAE SECTION 10 LOT 661"</f>
        <v>5784 BONALY COURT BALLANTRAE SECTION 10 LOT 661</v>
      </c>
      <c r="D13087" s="1">
        <v>9595.08</v>
      </c>
    </row>
    <row r="13088" spans="1:4" x14ac:dyDescent="0.3">
      <c r="A13088" s="1" t="str">
        <f>"01010813000"</f>
        <v>01010813000</v>
      </c>
      <c r="B13088" s="1" t="str">
        <f>"VISION INVESTMENT PARTNERS LLC"</f>
        <v>VISION INVESTMENT PARTNERS LLC</v>
      </c>
      <c r="C13088" s="1" t="str">
        <f>"ELLSWORTH AVE DESHLER PK LOT 77"</f>
        <v>ELLSWORTH AVE DESHLER PK LOT 77</v>
      </c>
      <c r="D13088" s="1">
        <v>1678.22</v>
      </c>
    </row>
    <row r="13089" spans="1:4" x14ac:dyDescent="0.3">
      <c r="A13089" s="1" t="str">
        <f>"01005471700"</f>
        <v>01005471700</v>
      </c>
      <c r="B13089" s="1" t="str">
        <f>"VISION PROPERTY LLC, EXTREME EQUITY ENTERPRISE LLC"</f>
        <v>VISION PROPERTY LLC, EXTREME EQUITY ENTERPRISE LLC</v>
      </c>
      <c r="C13089" s="1" t="str">
        <f>"AUBURNDALE LOT 109 "</f>
        <v xml:space="preserve">AUBURNDALE LOT 109 </v>
      </c>
      <c r="D13089" s="1">
        <v>3760.57</v>
      </c>
    </row>
    <row r="13090" spans="1:4" x14ac:dyDescent="0.3">
      <c r="A13090" s="1" t="str">
        <f>"01001112700"</f>
        <v>01001112700</v>
      </c>
      <c r="B13090" s="1" t="str">
        <f>"VISITANT LLC"</f>
        <v>VISITANT LLC</v>
      </c>
      <c r="C13090" s="1" t="str">
        <f>"520 CLINE AVE KLEIN LOT6"</f>
        <v>520 CLINE AVE KLEIN LOT6</v>
      </c>
      <c r="D13090" s="1">
        <v>3887.47</v>
      </c>
    </row>
    <row r="13091" spans="1:4" x14ac:dyDescent="0.3">
      <c r="A13091" s="1" t="str">
        <f>"01002685000"</f>
        <v>01002685000</v>
      </c>
      <c r="B13091" s="1" t="str">
        <f>"VISITANT LLC"</f>
        <v>VISITANT LLC</v>
      </c>
      <c r="C13091" s="1" t="str">
        <f>"262 S RICHARDSON AVE LANDSCAPE LOT 190"</f>
        <v>262 S RICHARDSON AVE LANDSCAPE LOT 190</v>
      </c>
      <c r="D13091" s="1">
        <v>963.81</v>
      </c>
    </row>
    <row r="13092" spans="1:4" x14ac:dyDescent="0.3">
      <c r="A13092" s="1" t="str">
        <f>"19000145000"</f>
        <v>19000145000</v>
      </c>
      <c r="B13092" s="1" t="str">
        <f>"VISNAUSKAS DORIS M, POWELL MARK V"</f>
        <v>VISNAUSKAS DORIS M, POWELL MARK V</v>
      </c>
      <c r="C13092" s="1" t="str">
        <f>"REPUBLIC AVE GREENDALE PLACE 96 "</f>
        <v xml:space="preserve">REPUBLIC AVE GREENDALE PLACE 96 </v>
      </c>
      <c r="D13092" s="1">
        <v>3495.57</v>
      </c>
    </row>
    <row r="13093" spans="1:4" x14ac:dyDescent="0.3">
      <c r="A13093" s="1" t="str">
        <f>"61017761300"</f>
        <v>61017761300</v>
      </c>
      <c r="B13093" s="1" t="str">
        <f>"VITALE CHERYL P TR, CABUNGCAL AIZEL P TR"</f>
        <v>VITALE CHERYL P TR, CABUNGCAL AIZEL P TR</v>
      </c>
      <c r="C13093" s="1" t="str">
        <f>"LOST VALLEY RD WESTERN HILLS SEC 1 LOT 114"</f>
        <v>LOST VALLEY RD WESTERN HILLS SEC 1 LOT 114</v>
      </c>
      <c r="D13093" s="1">
        <v>433.38</v>
      </c>
    </row>
    <row r="13094" spans="1:4" x14ac:dyDescent="0.3">
      <c r="A13094" s="1" t="str">
        <f>"57016648300"</f>
        <v>57016648300</v>
      </c>
      <c r="B13094" s="1" t="str">
        <f>"VITITOE RENEE"</f>
        <v>VITITOE RENEE</v>
      </c>
      <c r="C13094" s="1" t="str">
        <f>"WESTBURY VILLAGE CONDOMINIUM NO 2 UNIT 21-C"</f>
        <v>WESTBURY VILLAGE CONDOMINIUM NO 2 UNIT 21-C</v>
      </c>
      <c r="D13094" s="1">
        <v>571.07000000000005</v>
      </c>
    </row>
    <row r="13095" spans="1:4" x14ac:dyDescent="0.3">
      <c r="A13095" s="1" t="str">
        <f>"01009427600"</f>
        <v>01009427600</v>
      </c>
      <c r="B13095" s="1" t="str">
        <f>"VIV CAPITAL LLC"</f>
        <v>VIV CAPITAL LLC</v>
      </c>
      <c r="C13095" s="1" t="str">
        <f>"BEXLEY PK RD .279 ACRES R.21T.12S.18 1-4S.30"</f>
        <v>BEXLEY PK RD .279 ACRES R.21T.12S.18 1-4S.30</v>
      </c>
      <c r="D13095" s="1">
        <v>5525.25</v>
      </c>
    </row>
    <row r="13096" spans="1:4" x14ac:dyDescent="0.3">
      <c r="A13096" s="1" t="str">
        <f>"02000171900"</f>
        <v>02000171900</v>
      </c>
      <c r="B13096" s="1" t="str">
        <f>"VIV CAPITAL LLC"</f>
        <v>VIV CAPITAL LLC</v>
      </c>
      <c r="C13096" s="1" t="str">
        <f>"531 N STANBERY AVE LOT 109 BEXLEY HTS"</f>
        <v>531 N STANBERY AVE LOT 109 BEXLEY HTS</v>
      </c>
      <c r="D13096" s="1">
        <v>6573.13</v>
      </c>
    </row>
    <row r="13097" spans="1:4" x14ac:dyDescent="0.3">
      <c r="A13097" s="1" t="str">
        <f>"14000218800"</f>
        <v>14000218800</v>
      </c>
      <c r="B13097" s="1" t="str">
        <f>"VIVANCO GONZALEZ OSCAR, VIVANCO GONZALEZ ANGELICA"</f>
        <v>VIVANCO GONZALEZ OSCAR, VIVANCO GONZALEZ ANGELICA</v>
      </c>
      <c r="C13097" s="1" t="str">
        <f>"1192 RIECHTER RD H E RICHTERS 84 "</f>
        <v xml:space="preserve">1192 RIECHTER RD H E RICHTERS 84 </v>
      </c>
      <c r="D13097" s="1">
        <v>4235.2</v>
      </c>
    </row>
    <row r="13098" spans="1:4" x14ac:dyDescent="0.3">
      <c r="A13098" s="1" t="str">
        <f>"01008958600"</f>
        <v>01008958600</v>
      </c>
      <c r="B13098" s="1" t="str">
        <f>"VIVAS GRETCHEN, VIVAS EDGAR"</f>
        <v>VIVAS GRETCHEN, VIVAS EDGAR</v>
      </c>
      <c r="C13098" s="1" t="str">
        <f>"WAVERLY ST LINCOLN PARK LOT 163-164"</f>
        <v>WAVERLY ST LINCOLN PARK LOT 163-164</v>
      </c>
      <c r="D13098" s="1">
        <v>1058.26</v>
      </c>
    </row>
    <row r="13099" spans="1:4" x14ac:dyDescent="0.3">
      <c r="A13099" s="1" t="str">
        <f>"01025824500"</f>
        <v>01025824500</v>
      </c>
      <c r="B13099" s="1" t="str">
        <f>"VIVIAN ENTERPRISES LLC"</f>
        <v>VIVIAN ENTERPRISES LLC</v>
      </c>
      <c r="C13099" s="1" t="str">
        <f>"BROOK SPRING DRIVE ALKIRE LAKES SECTION 3 PART 1 LOT 152"</f>
        <v>BROOK SPRING DRIVE ALKIRE LAKES SECTION 3 PART 1 LOT 152</v>
      </c>
      <c r="D13099" s="1">
        <v>2930.85</v>
      </c>
    </row>
    <row r="13100" spans="1:4" x14ac:dyDescent="0.3">
      <c r="A13100" s="1" t="str">
        <f>"01005308700"</f>
        <v>01005308700</v>
      </c>
      <c r="B13100" s="1" t="str">
        <f>"VIVOD WALTER A"</f>
        <v>VIVOD WALTER A</v>
      </c>
      <c r="C13100" s="1" t="str">
        <f>"2578 INDIANOLA AVE INDIANOLA PK VIEW 2 LOT 264"</f>
        <v>2578 INDIANOLA AVE INDIANOLA PK VIEW 2 LOT 264</v>
      </c>
      <c r="D13100" s="1">
        <v>194.84</v>
      </c>
    </row>
    <row r="13101" spans="1:4" x14ac:dyDescent="0.3">
      <c r="A13101" s="1" t="str">
        <f>"24000282300"</f>
        <v>24000282300</v>
      </c>
      <c r="B13101" s="1" t="str">
        <f>"VIZCARRA LEIDI ADRIANA, VIZCARRA MARCO ANTONIO"</f>
        <v>VIZCARRA LEIDI ADRIANA, VIZCARRA MARCO ANTONIO</v>
      </c>
      <c r="C13101" s="1" t="str">
        <f>"POSTLE BLVD ROME HTS 271 "</f>
        <v xml:space="preserve">POSTLE BLVD ROME HTS 271 </v>
      </c>
      <c r="D13101" s="1">
        <v>3.11</v>
      </c>
    </row>
    <row r="13102" spans="1:4" x14ac:dyDescent="0.3">
      <c r="A13102" s="1" t="str">
        <f>"01008581900"</f>
        <v>01008581900</v>
      </c>
      <c r="B13102" s="1" t="str">
        <f>"VIZUET GABRIELA"</f>
        <v>VIZUET GABRIELA</v>
      </c>
      <c r="C13102" s="1" t="str">
        <f>"E JEFFREY PLALL 622 12.5FT FRT 27.2FT RR WS 623 ZOOLAND"</f>
        <v>E JEFFREY PLALL 622 12.5FT FRT 27.2FT RR WS 623 ZOOLAND</v>
      </c>
      <c r="D13102" s="1">
        <v>2386.89</v>
      </c>
    </row>
    <row r="13103" spans="1:4" x14ac:dyDescent="0.3">
      <c r="A13103" s="1" t="str">
        <f>"01028632500"</f>
        <v>01028632500</v>
      </c>
      <c r="B13103" s="1" t="str">
        <f>"VJP HOSPITALITY LTD"</f>
        <v>VJP HOSPITALITY LTD</v>
      </c>
      <c r="C13103" s="1" t="str">
        <f>"CASSADY AVE R17 T1 1/4T3 3.278 ACRES"</f>
        <v>CASSADY AVE R17 T1 1/4T3 3.278 ACRES</v>
      </c>
      <c r="D13103" s="1">
        <v>78246.98</v>
      </c>
    </row>
    <row r="13104" spans="1:4" x14ac:dyDescent="0.3">
      <c r="A13104" s="1" t="str">
        <f>"01006640900"</f>
        <v>01006640900</v>
      </c>
      <c r="B13104" s="1" t="str">
        <f>"VL STELZER ROAD LLC"</f>
        <v>VL STELZER ROAD LLC</v>
      </c>
      <c r="C13104" s="1" t="str">
        <f>"STELZER RD STELZER ES LOT 2-3-4 ALL LOT 5-6&amp;WS"</f>
        <v>STELZER RD STELZER ES LOT 2-3-4 ALL LOT 5-6&amp;WS</v>
      </c>
      <c r="D13104" s="1">
        <v>68.13</v>
      </c>
    </row>
    <row r="13105" spans="1:4" x14ac:dyDescent="0.3">
      <c r="A13105" s="1" t="str">
        <f>"01010280000"</f>
        <v>01010280000</v>
      </c>
      <c r="B13105" s="1" t="str">
        <f>"VL24 PROPERTIES LLC"</f>
        <v>VL24 PROPERTIES LLC</v>
      </c>
      <c r="C13105" s="1" t="str">
        <f>"SALISBURY RD MIRIAM 4 LOT 2 BLK 19"</f>
        <v>SALISBURY RD MIRIAM 4 LOT 2 BLK 19</v>
      </c>
      <c r="D13105" s="1">
        <v>3616.79</v>
      </c>
    </row>
    <row r="13106" spans="1:4" x14ac:dyDescent="0.3">
      <c r="A13106" s="1" t="str">
        <f>"01001294600"</f>
        <v>01001294600</v>
      </c>
      <c r="B13106" s="1" t="str">
        <f>"VL24 PROPERTIES LLC"</f>
        <v>VL24 PROPERTIES LLC</v>
      </c>
      <c r="C13106" s="1" t="str">
        <f>"1116 WILSON AVE AUBURNDALE LOT 360"</f>
        <v>1116 WILSON AVE AUBURNDALE LOT 360</v>
      </c>
      <c r="D13106" s="1">
        <v>4035.41</v>
      </c>
    </row>
    <row r="13107" spans="1:4" x14ac:dyDescent="0.3">
      <c r="A13107" s="1" t="str">
        <f>"01013048700"</f>
        <v>01013048700</v>
      </c>
      <c r="B13107" s="1" t="str">
        <f>"VLVBA LLC"</f>
        <v>VLVBA LLC</v>
      </c>
      <c r="C13107" s="1" t="str">
        <f>"1410 BRENTNELL AVE ORIOLE HEIGHTS LOT 27"</f>
        <v>1410 BRENTNELL AVE ORIOLE HEIGHTS LOT 27</v>
      </c>
      <c r="D13107" s="1">
        <v>2915.98</v>
      </c>
    </row>
    <row r="13108" spans="1:4" x14ac:dyDescent="0.3">
      <c r="A13108" s="1" t="str">
        <f>"17000107900"</f>
        <v>17000107900</v>
      </c>
      <c r="B13108" s="1" t="str">
        <f>"VMA INVESTMENTS LLC"</f>
        <v>VMA INVESTMENTS LLC</v>
      </c>
      <c r="C13108" s="1" t="str">
        <f>"6235 MORSE RD R16 T1 1-4T2 5.001 ACRES"</f>
        <v>6235 MORSE RD R16 T1 1-4T2 5.001 ACRES</v>
      </c>
      <c r="D13108" s="1">
        <v>15061.11</v>
      </c>
    </row>
    <row r="13109" spans="1:4" x14ac:dyDescent="0.3">
      <c r="A13109" s="1" t="str">
        <f>"01033370800"</f>
        <v>01033370800</v>
      </c>
      <c r="B13109" s="1" t="str">
        <f>"VNET REAL INVESTMENT LLC"</f>
        <v>VNET REAL INVESTMENT LLC</v>
      </c>
      <c r="C13109" s="1" t="str">
        <f>"EISEN VILLAGE CONDOMINIUM UNIT 1 "</f>
        <v xml:space="preserve">EISEN VILLAGE CONDOMINIUM UNIT 1 </v>
      </c>
      <c r="D13109" s="1">
        <v>9928.06</v>
      </c>
    </row>
    <row r="13110" spans="1:4" x14ac:dyDescent="0.3">
      <c r="A13110" s="1" t="str">
        <f>"01033370900"</f>
        <v>01033370900</v>
      </c>
      <c r="B13110" s="1" t="str">
        <f>"VNET REAL INVESTMENT LLC"</f>
        <v>VNET REAL INVESTMENT LLC</v>
      </c>
      <c r="C13110" s="1" t="str">
        <f>"EISEN VILLAGE CONDOMINIUM UNIT 2 "</f>
        <v xml:space="preserve">EISEN VILLAGE CONDOMINIUM UNIT 2 </v>
      </c>
      <c r="D13110" s="1">
        <v>8589.3700000000008</v>
      </c>
    </row>
    <row r="13111" spans="1:4" x14ac:dyDescent="0.3">
      <c r="A13111" s="1" t="str">
        <f>"01033371200"</f>
        <v>01033371200</v>
      </c>
      <c r="B13111" s="1" t="str">
        <f>"VNET REAL INVESTMENT LLC"</f>
        <v>VNET REAL INVESTMENT LLC</v>
      </c>
      <c r="C13111" s="1" t="str">
        <f>"EISEN VILLAGE CONDOMINIUM UNIT 5 "</f>
        <v xml:space="preserve">EISEN VILLAGE CONDOMINIUM UNIT 5 </v>
      </c>
      <c r="D13111" s="1">
        <v>10233.73</v>
      </c>
    </row>
    <row r="13112" spans="1:4" x14ac:dyDescent="0.3">
      <c r="A13112" s="1" t="str">
        <f>"01033371300"</f>
        <v>01033371300</v>
      </c>
      <c r="B13112" s="1" t="str">
        <f>"VNET REAL INVESTMENT LLC"</f>
        <v>VNET REAL INVESTMENT LLC</v>
      </c>
      <c r="C13112" s="1" t="str">
        <f>"EISEN VILLAGE CONDOMINIUM UNIT 6 "</f>
        <v xml:space="preserve">EISEN VILLAGE CONDOMINIUM UNIT 6 </v>
      </c>
      <c r="D13112" s="1">
        <v>9128.08</v>
      </c>
    </row>
    <row r="13113" spans="1:4" x14ac:dyDescent="0.3">
      <c r="A13113" s="1" t="str">
        <f>"01033371400"</f>
        <v>01033371400</v>
      </c>
      <c r="B13113" s="1" t="str">
        <f>"VNET REAL INVESTMENT LLC"</f>
        <v>VNET REAL INVESTMENT LLC</v>
      </c>
      <c r="C13113" s="1" t="str">
        <f>"EISEN VILLAGE CONDOMINIUM UNIT 7 "</f>
        <v xml:space="preserve">EISEN VILLAGE CONDOMINIUM UNIT 7 </v>
      </c>
      <c r="D13113" s="1">
        <v>10233.73</v>
      </c>
    </row>
    <row r="13114" spans="1:4" x14ac:dyDescent="0.3">
      <c r="A13114" s="1" t="str">
        <f>"01033371500"</f>
        <v>01033371500</v>
      </c>
      <c r="B13114" s="1" t="str">
        <f>"VNET REAL INVESTMENT LLC"</f>
        <v>VNET REAL INVESTMENT LLC</v>
      </c>
      <c r="C13114" s="1" t="str">
        <f>"EISEN VILLAGE CONDOMINIUM UNIT 8 "</f>
        <v xml:space="preserve">EISEN VILLAGE CONDOMINIUM UNIT 8 </v>
      </c>
      <c r="D13114" s="1">
        <v>10233.719999999999</v>
      </c>
    </row>
    <row r="13115" spans="1:4" x14ac:dyDescent="0.3">
      <c r="A13115" s="1" t="str">
        <f>"01033371600"</f>
        <v>01033371600</v>
      </c>
      <c r="B13115" s="1" t="str">
        <f>"VNET REAL INVESTMENT LLC"</f>
        <v>VNET REAL INVESTMENT LLC</v>
      </c>
      <c r="C13115" s="1" t="str">
        <f>"EISEN VILLAGE CONDOMINIUM UNIT 9 "</f>
        <v xml:space="preserve">EISEN VILLAGE CONDOMINIUM UNIT 9 </v>
      </c>
      <c r="D13115" s="1">
        <v>10233.719999999999</v>
      </c>
    </row>
    <row r="13116" spans="1:4" x14ac:dyDescent="0.3">
      <c r="A13116" s="1" t="str">
        <f>"01033371700"</f>
        <v>01033371700</v>
      </c>
      <c r="B13116" s="1" t="str">
        <f>"VNET REAL INVESTMENT LLC"</f>
        <v>VNET REAL INVESTMENT LLC</v>
      </c>
      <c r="C13116" s="1" t="str">
        <f>"EISEN VILLAGE CONDOMINIUM UNIT 10 "</f>
        <v xml:space="preserve">EISEN VILLAGE CONDOMINIUM UNIT 10 </v>
      </c>
      <c r="D13116" s="1">
        <v>9802.6</v>
      </c>
    </row>
    <row r="13117" spans="1:4" x14ac:dyDescent="0.3">
      <c r="A13117" s="1" t="str">
        <f>"01033371800"</f>
        <v>01033371800</v>
      </c>
      <c r="B13117" s="1" t="str">
        <f>"VNET REAL INVESTMENT LLC"</f>
        <v>VNET REAL INVESTMENT LLC</v>
      </c>
      <c r="C13117" s="1" t="str">
        <f>"EISEN VILLAGE CONDOMINIUM UNIT 11 "</f>
        <v xml:space="preserve">EISEN VILLAGE CONDOMINIUM UNIT 11 </v>
      </c>
      <c r="D13117" s="1">
        <v>8286.2099999999991</v>
      </c>
    </row>
    <row r="13118" spans="1:4" x14ac:dyDescent="0.3">
      <c r="A13118" s="1" t="str">
        <f>"01033371900"</f>
        <v>01033371900</v>
      </c>
      <c r="B13118" s="1" t="str">
        <f>"VNET REAL INVESTMENT LLC"</f>
        <v>VNET REAL INVESTMENT LLC</v>
      </c>
      <c r="C13118" s="1" t="str">
        <f>"EISEN VILLAGE CONDOMINIUM UNIT 12 "</f>
        <v xml:space="preserve">EISEN VILLAGE CONDOMINIUM UNIT 12 </v>
      </c>
      <c r="D13118" s="1">
        <v>7742</v>
      </c>
    </row>
    <row r="13119" spans="1:4" x14ac:dyDescent="0.3">
      <c r="A13119" s="1" t="str">
        <f>"01033372000"</f>
        <v>01033372000</v>
      </c>
      <c r="B13119" s="1" t="str">
        <f>"VNET REAL INVESTMENT LLC"</f>
        <v>VNET REAL INVESTMENT LLC</v>
      </c>
      <c r="C13119" s="1" t="str">
        <f>"EISEN VILLAGE CONDOMINIUM UNIT 13 "</f>
        <v xml:space="preserve">EISEN VILLAGE CONDOMINIUM UNIT 13 </v>
      </c>
      <c r="D13119" s="1">
        <v>8286.2199999999993</v>
      </c>
    </row>
    <row r="13120" spans="1:4" x14ac:dyDescent="0.3">
      <c r="A13120" s="1" t="str">
        <f>"01033372100"</f>
        <v>01033372100</v>
      </c>
      <c r="B13120" s="1" t="str">
        <f>"VNET REAL INVESTMENT LLC"</f>
        <v>VNET REAL INVESTMENT LLC</v>
      </c>
      <c r="C13120" s="1" t="str">
        <f>"EISEN VILLAGE CONDOMINIUM UNIT 14 "</f>
        <v xml:space="preserve">EISEN VILLAGE CONDOMINIUM UNIT 14 </v>
      </c>
      <c r="D13120" s="1">
        <v>7742</v>
      </c>
    </row>
    <row r="13121" spans="1:4" x14ac:dyDescent="0.3">
      <c r="A13121" s="1" t="str">
        <f>"01033372200"</f>
        <v>01033372200</v>
      </c>
      <c r="B13121" s="1" t="str">
        <f>"VNET REAL INVESTMENT LLC"</f>
        <v>VNET REAL INVESTMENT LLC</v>
      </c>
      <c r="C13121" s="1" t="str">
        <f>"EISEN VILLAGE CONDOMINIUM UNIT 15 "</f>
        <v xml:space="preserve">EISEN VILLAGE CONDOMINIUM UNIT 15 </v>
      </c>
      <c r="D13121" s="1">
        <v>8286.2199999999993</v>
      </c>
    </row>
    <row r="13122" spans="1:4" x14ac:dyDescent="0.3">
      <c r="A13122" s="1" t="str">
        <f>"01033372300"</f>
        <v>01033372300</v>
      </c>
      <c r="B13122" s="1" t="str">
        <f>"VNET REAL INVESTMENT LLC"</f>
        <v>VNET REAL INVESTMENT LLC</v>
      </c>
      <c r="C13122" s="1" t="str">
        <f>"EISEN VILLAGE CONDOMINIUM UNIT 16 "</f>
        <v xml:space="preserve">EISEN VILLAGE CONDOMINIUM UNIT 16 </v>
      </c>
      <c r="D13122" s="1">
        <v>7742</v>
      </c>
    </row>
    <row r="13123" spans="1:4" x14ac:dyDescent="0.3">
      <c r="A13123" s="1" t="str">
        <f>"01033372400"</f>
        <v>01033372400</v>
      </c>
      <c r="B13123" s="1" t="str">
        <f>"VNET REAL INVESTMENT LLC"</f>
        <v>VNET REAL INVESTMENT LLC</v>
      </c>
      <c r="C13123" s="1" t="str">
        <f>"EISEN VILLAGE CONDOMINIUM UNIT 17 "</f>
        <v xml:space="preserve">EISEN VILLAGE CONDOMINIUM UNIT 17 </v>
      </c>
      <c r="D13123" s="1">
        <v>8286.2199999999993</v>
      </c>
    </row>
    <row r="13124" spans="1:4" x14ac:dyDescent="0.3">
      <c r="A13124" s="1" t="str">
        <f>"01033372500"</f>
        <v>01033372500</v>
      </c>
      <c r="B13124" s="1" t="str">
        <f>"VNET REAL INVESTMENT LLC"</f>
        <v>VNET REAL INVESTMENT LLC</v>
      </c>
      <c r="C13124" s="1" t="str">
        <f>"EISEN VILLAGE CONDOMINIUM UNIT 18 "</f>
        <v xml:space="preserve">EISEN VILLAGE CONDOMINIUM UNIT 18 </v>
      </c>
      <c r="D13124" s="1">
        <v>7742</v>
      </c>
    </row>
    <row r="13125" spans="1:4" x14ac:dyDescent="0.3">
      <c r="A13125" s="1" t="str">
        <f>"01033372600"</f>
        <v>01033372600</v>
      </c>
      <c r="B13125" s="1" t="str">
        <f>"VNET REAL INVESTMENT LLC"</f>
        <v>VNET REAL INVESTMENT LLC</v>
      </c>
      <c r="C13125" s="1" t="str">
        <f>"EISEN VILLAGE CONDOMINIUM UNIT 19 "</f>
        <v xml:space="preserve">EISEN VILLAGE CONDOMINIUM UNIT 19 </v>
      </c>
      <c r="D13125" s="1">
        <v>7646.95</v>
      </c>
    </row>
    <row r="13126" spans="1:4" x14ac:dyDescent="0.3">
      <c r="A13126" s="1" t="str">
        <f>"01033372700"</f>
        <v>01033372700</v>
      </c>
      <c r="B13126" s="1" t="str">
        <f>"VNET REAL INVESTMENT LLC"</f>
        <v>VNET REAL INVESTMENT LLC</v>
      </c>
      <c r="C13126" s="1" t="str">
        <f>"EISEN VILLAGE CONDOMINIUM UNIT 20 "</f>
        <v xml:space="preserve">EISEN VILLAGE CONDOMINIUM UNIT 20 </v>
      </c>
      <c r="D13126" s="1">
        <v>7646.95</v>
      </c>
    </row>
    <row r="13127" spans="1:4" x14ac:dyDescent="0.3">
      <c r="A13127" s="1" t="str">
        <f>"07000949500"</f>
        <v>07000949500</v>
      </c>
      <c r="B13127" s="1" t="str">
        <f>"VO HONG THANH, NGUYEN LAN P"</f>
        <v>VO HONG THANH, NGUYEN LAN P</v>
      </c>
      <c r="C13127" s="1" t="str">
        <f>"3245 AVALON ST RE-SUB PART EAST CLEFT LOT 6"</f>
        <v>3245 AVALON ST RE-SUB PART EAST CLEFT LOT 6</v>
      </c>
      <c r="D13127" s="1">
        <v>4413.18</v>
      </c>
    </row>
    <row r="13128" spans="1:4" x14ac:dyDescent="0.3">
      <c r="A13128" s="1" t="str">
        <f>"04001532000"</f>
        <v>04001532000</v>
      </c>
      <c r="B13128" s="1" t="str">
        <f>"VO JENNIFER T"</f>
        <v>VO JENNIFER T</v>
      </c>
      <c r="C13128" s="1" t="str">
        <f>"PINNACLE CLUB             SECTION 2 PHASE 8         LOT 948                  "</f>
        <v xml:space="preserve">PINNACLE CLUB             SECTION 2 PHASE 8         LOT 948                  </v>
      </c>
      <c r="D13128" s="1">
        <v>278.85000000000002</v>
      </c>
    </row>
    <row r="13129" spans="1:4" x14ac:dyDescent="0.3">
      <c r="A13129" s="1" t="str">
        <f>"01001242500"</f>
        <v>01001242500</v>
      </c>
      <c r="B13129" s="1" t="str">
        <f>"VOELKER CAROLYN S"</f>
        <v>VOELKER CAROLYN S</v>
      </c>
      <c r="C13129" s="1" t="str">
        <f>"4442 N 4TH ST BABY FARMS LOT 71-72 BLK 25"</f>
        <v>4442 N 4TH ST BABY FARMS LOT 71-72 BLK 25</v>
      </c>
      <c r="D13129" s="1">
        <v>1178.58</v>
      </c>
    </row>
    <row r="13130" spans="1:4" x14ac:dyDescent="0.3">
      <c r="A13130" s="1" t="str">
        <f>"01026844200"</f>
        <v>01026844200</v>
      </c>
      <c r="B13130" s="1" t="str">
        <f>"VOELKER DOW T TR"</f>
        <v>VOELKER DOW T TR</v>
      </c>
      <c r="C13130" s="1" t="str">
        <f>"340-342 BUTTLES CONDOMINIUM UNIT 342"</f>
        <v>340-342 BUTTLES CONDOMINIUM UNIT 342</v>
      </c>
      <c r="D13130" s="1">
        <v>2916.27</v>
      </c>
    </row>
    <row r="13131" spans="1:4" x14ac:dyDescent="0.3">
      <c r="A13131" s="1" t="str">
        <f>"01014518600"</f>
        <v>01014518600</v>
      </c>
      <c r="B13131" s="1" t="str">
        <f>"VOELKER DOW T TR"</f>
        <v>VOELKER DOW T TR</v>
      </c>
      <c r="C13131" s="1" t="str">
        <f>"GREENBORO CT NORTHCREST LOT 53"</f>
        <v>GREENBORO CT NORTHCREST LOT 53</v>
      </c>
      <c r="D13131" s="1">
        <v>239.43</v>
      </c>
    </row>
    <row r="13132" spans="1:4" x14ac:dyDescent="0.3">
      <c r="A13132" s="1" t="str">
        <f>"01014518700"</f>
        <v>01014518700</v>
      </c>
      <c r="B13132" s="1" t="str">
        <f>"VOELKER DOW T TR"</f>
        <v>VOELKER DOW T TR</v>
      </c>
      <c r="C13132" s="1" t="str">
        <f>"GREENBORO CT NORTHCREST LOT 54"</f>
        <v>GREENBORO CT NORTHCREST LOT 54</v>
      </c>
      <c r="D13132" s="1">
        <v>254.08</v>
      </c>
    </row>
    <row r="13133" spans="1:4" x14ac:dyDescent="0.3">
      <c r="A13133" s="1" t="str">
        <f>"49023966400"</f>
        <v>49023966400</v>
      </c>
      <c r="B13133" s="1" t="str">
        <f>"VOGEL HEATHER C"</f>
        <v>VOGEL HEATHER C</v>
      </c>
      <c r="C13133" s="1" t="str">
        <f>"MEADOWS AT WINCHESTER SECTION 1 LOT 76"</f>
        <v>MEADOWS AT WINCHESTER SECTION 1 LOT 76</v>
      </c>
      <c r="D13133" s="1">
        <v>241.94</v>
      </c>
    </row>
    <row r="13134" spans="1:4" x14ac:dyDescent="0.3">
      <c r="A13134" s="1" t="str">
        <f>"01005483300"</f>
        <v>01005483300</v>
      </c>
      <c r="B13134" s="1" t="str">
        <f>"VOGEL STACEY"</f>
        <v>VOGEL STACEY</v>
      </c>
      <c r="C13134" s="1" t="str">
        <f>"79 MIDLAND AVE WESTWOOD HTS LOT 39"</f>
        <v>79 MIDLAND AVE WESTWOOD HTS LOT 39</v>
      </c>
      <c r="D13134" s="1">
        <v>1553.54</v>
      </c>
    </row>
    <row r="13135" spans="1:4" x14ac:dyDescent="0.3">
      <c r="A13135" s="1" t="str">
        <f>"08000520700"</f>
        <v>08000520700</v>
      </c>
      <c r="B13135" s="1" t="str">
        <f>"VOLKMAR JOHN A, VOLKMAR KAZUKO"</f>
        <v>VOLKMAR JOHN A, VOLKMAR KAZUKO</v>
      </c>
      <c r="C13135" s="1" t="str">
        <f>"ARUNDEL AVE ANNEHURST VILLAGE 10 LOT 697"</f>
        <v>ARUNDEL AVE ANNEHURST VILLAGE 10 LOT 697</v>
      </c>
      <c r="D13135" s="1">
        <v>9</v>
      </c>
    </row>
    <row r="13136" spans="1:4" x14ac:dyDescent="0.3">
      <c r="A13136" s="1" t="str">
        <f>"60017689200"</f>
        <v>60017689200</v>
      </c>
      <c r="B13136" s="1" t="str">
        <f>"VOLL C SCOTT, VOLL KRISTINA M"</f>
        <v>VOLL C SCOTT, VOLL KRISTINA M</v>
      </c>
      <c r="C13136" s="1" t="str">
        <f>"WILLOW HOLLOW DRIVE STRAWBERRY FARMS 4 LOT 259"</f>
        <v>WILLOW HOLLOW DRIVE STRAWBERRY FARMS 4 LOT 259</v>
      </c>
      <c r="D13136" s="1">
        <v>560.54</v>
      </c>
    </row>
    <row r="13137" spans="1:4" x14ac:dyDescent="0.3">
      <c r="A13137" s="1" t="str">
        <f>"56021144200"</f>
        <v>56021144200</v>
      </c>
      <c r="B13137" s="1" t="str">
        <f>"VOLLBEHR KERRY L"</f>
        <v>VOLLBEHR KERRY L</v>
      </c>
      <c r="C13137" s="1" t="str">
        <f>"JEFFEY DRIVE THE COVENTRY LOT 72"</f>
        <v>JEFFEY DRIVE THE COVENTRY LOT 72</v>
      </c>
      <c r="D13137" s="1">
        <v>253.6</v>
      </c>
    </row>
    <row r="13138" spans="1:4" x14ac:dyDescent="0.3">
      <c r="A13138" s="1" t="str">
        <f>"01005865600"</f>
        <v>01005865600</v>
      </c>
      <c r="B13138" s="1" t="str">
        <f>"VON RAABE PHILIP J TOD"</f>
        <v>VON RAABE PHILIP J TOD</v>
      </c>
      <c r="C13138" s="1" t="str">
        <f>"205 TORRENCE RD WOODLAND CREST LOT 57"</f>
        <v>205 TORRENCE RD WOODLAND CREST LOT 57</v>
      </c>
      <c r="D13138" s="1">
        <v>5861</v>
      </c>
    </row>
    <row r="13139" spans="1:4" x14ac:dyDescent="0.3">
      <c r="A13139" s="1" t="str">
        <f>"01025492800"</f>
        <v>01025492800</v>
      </c>
      <c r="B13139" s="1" t="str">
        <f>"VONFAHNESTOCK F MICHAEL, VONFAHNESTOCK LAURI E"</f>
        <v>VONFAHNESTOCK F MICHAEL, VONFAHNESTOCK LAURI E</v>
      </c>
      <c r="C13139" s="1" t="str">
        <f>"1 MIRANOVA PL CONDO # 830 "</f>
        <v xml:space="preserve">1 MIRANOVA PL CONDO # 830 </v>
      </c>
      <c r="D13139" s="1">
        <v>320.67</v>
      </c>
    </row>
    <row r="13140" spans="1:4" x14ac:dyDescent="0.3">
      <c r="A13140" s="1" t="str">
        <f>"57014062900"</f>
        <v>57014062900</v>
      </c>
      <c r="B13140" s="1" t="str">
        <f>"VONG CHANTHA"</f>
        <v>VONG CHANTHA</v>
      </c>
      <c r="C13140" s="1" t="str">
        <f>"4008 CLIME RD HOLLY HILL 13 173.62'NS LOT 872"</f>
        <v>4008 CLIME RD HOLLY HILL 13 173.62'NS LOT 872</v>
      </c>
      <c r="D13140" s="1">
        <v>115.99</v>
      </c>
    </row>
    <row r="13141" spans="1:4" x14ac:dyDescent="0.3">
      <c r="A13141" s="1" t="str">
        <f>"01009800400"</f>
        <v>01009800400</v>
      </c>
      <c r="B13141" s="1" t="str">
        <f>"VONVOIGT JONI L"</f>
        <v>VONVOIGT JONI L</v>
      </c>
      <c r="C13141" s="1" t="str">
        <f>"RICHARDSON AVE BROOKSHIRE PK LOT 126"</f>
        <v>RICHARDSON AVE BROOKSHIRE PK LOT 126</v>
      </c>
      <c r="D13141" s="1">
        <v>2841.09</v>
      </c>
    </row>
    <row r="13142" spans="1:4" x14ac:dyDescent="0.3">
      <c r="A13142" s="1" t="str">
        <f>"61016795900"</f>
        <v>61016795900</v>
      </c>
      <c r="B13142" s="1" t="str">
        <f>"VPES FUND 1 LLC"</f>
        <v>VPES FUND 1 LLC</v>
      </c>
      <c r="C13142" s="1" t="str">
        <f>"SMOKEY ROW MANOR MAYBROOK STREET LOT 57"</f>
        <v>SMOKEY ROW MANOR MAYBROOK STREET LOT 57</v>
      </c>
      <c r="D13142" s="1">
        <v>3271.9</v>
      </c>
    </row>
    <row r="13143" spans="1:4" x14ac:dyDescent="0.3">
      <c r="A13143" s="1" t="str">
        <f>"23000088700"</f>
        <v>23000088700</v>
      </c>
      <c r="B13143" s="1" t="str">
        <f>"VPES FUND 1 LLC"</f>
        <v>VPES FUND 1 LLC</v>
      </c>
      <c r="C13143" s="1" t="str">
        <f>"LUKENS RD ACRES 2.172 ENTRY 3809"</f>
        <v>LUKENS RD ACRES 2.172 ENTRY 3809</v>
      </c>
      <c r="D13143" s="1">
        <v>4319.93</v>
      </c>
    </row>
    <row r="13144" spans="1:4" x14ac:dyDescent="0.3">
      <c r="A13144" s="1" t="str">
        <f>"07000771800"</f>
        <v>07000771800</v>
      </c>
      <c r="B13144" s="1" t="str">
        <f>"VRETENAR ERICK J, VRETENAR RAINA A"</f>
        <v>VRETENAR ERICK J, VRETENAR RAINA A</v>
      </c>
      <c r="C13144" s="1" t="str">
        <f>"2794 LAKINHURST DR RIVER LAWN 28 "</f>
        <v xml:space="preserve">2794 LAKINHURST DR RIVER LAWN 28 </v>
      </c>
      <c r="D13144" s="1">
        <v>11053.44</v>
      </c>
    </row>
    <row r="13145" spans="1:4" x14ac:dyDescent="0.3">
      <c r="A13145" s="1" t="str">
        <f>"01024649000"</f>
        <v>01024649000</v>
      </c>
      <c r="B13145" s="1" t="str">
        <f>"VS PROPERTIES LLC"</f>
        <v>VS PROPERTIES LLC</v>
      </c>
      <c r="C13145" s="1" t="str">
        <f>"CONNORS GROVE MCNAUGHTEN GROVE LOT 25"</f>
        <v>CONNORS GROVE MCNAUGHTEN GROVE LOT 25</v>
      </c>
      <c r="D13145" s="1">
        <v>6281.25</v>
      </c>
    </row>
    <row r="13146" spans="1:4" x14ac:dyDescent="0.3">
      <c r="A13146" s="1" t="str">
        <f>"01004535600"</f>
        <v>01004535600</v>
      </c>
      <c r="B13146" s="1" t="str">
        <f>"VSOP CONSTRUCTION LLC"</f>
        <v>VSOP CONSTRUCTION LLC</v>
      </c>
      <c r="C13146" s="1" t="str">
        <f>"1431 EASTWOOD AVE 40 FT WS EASTWOOD HTS LOT 23"</f>
        <v>1431 EASTWOOD AVE 40 FT WS EASTWOOD HTS LOT 23</v>
      </c>
      <c r="D13146" s="1">
        <v>5768.07</v>
      </c>
    </row>
    <row r="13147" spans="1:4" x14ac:dyDescent="0.3">
      <c r="A13147" s="1" t="str">
        <f>"04001017900"</f>
        <v>04001017900</v>
      </c>
      <c r="B13147" s="1" t="str">
        <f>"VUCJAK PATRICIA"</f>
        <v>VUCJAK PATRICIA</v>
      </c>
      <c r="C13147" s="1" t="str">
        <f>"VILLAGE AT PINE MANOR CONDOMINIUMS 8TH AMD PHASE 9 UNIT 3187"</f>
        <v>VILLAGE AT PINE MANOR CONDOMINIUMS 8TH AMD PHASE 9 UNIT 3187</v>
      </c>
      <c r="D13147" s="1">
        <v>1915.54</v>
      </c>
    </row>
    <row r="13148" spans="1:4" x14ac:dyDescent="0.3">
      <c r="A13148" s="1" t="str">
        <f>"57023116500"</f>
        <v>57023116500</v>
      </c>
      <c r="B13148" s="1" t="str">
        <f>"VUCKOVICH MICHAEL, VUCKOVICH LAURA"</f>
        <v>VUCKOVICH MICHAEL, VUCKOVICH LAURA</v>
      </c>
      <c r="C13148" s="1" t="str">
        <f>"RAVINES AT PARKWICK DRIVE CONDO 1ST AMD BLDG 8 UNIT 4483"</f>
        <v>RAVINES AT PARKWICK DRIVE CONDO 1ST AMD BLDG 8 UNIT 4483</v>
      </c>
      <c r="D13148" s="1">
        <v>1053.43</v>
      </c>
    </row>
    <row r="13149" spans="1:4" x14ac:dyDescent="0.3">
      <c r="A13149" s="1" t="str">
        <f>"07001487400"</f>
        <v>07001487400</v>
      </c>
      <c r="B13149" s="1" t="str">
        <f>"VV FARMS LLC"</f>
        <v>VV FARMS LLC</v>
      </c>
      <c r="C13149" s="1" t="str">
        <f>"HILLVIEW DR SURREY HILL 0.374 AC"</f>
        <v>HILLVIEW DR SURREY HILL 0.374 AC</v>
      </c>
      <c r="D13149" s="1">
        <v>107.51</v>
      </c>
    </row>
    <row r="13150" spans="1:4" x14ac:dyDescent="0.3">
      <c r="A13150" s="1" t="str">
        <f>"08000947600"</f>
        <v>08000947600</v>
      </c>
      <c r="B13150" s="1" t="str">
        <f>"VYAS DHRUVA R"</f>
        <v>VYAS DHRUVA R</v>
      </c>
      <c r="C13150" s="1" t="str">
        <f>"CROSSHAVEN COURT SPRINGBOROUGH SEC 5 PT 4 LOT 354"</f>
        <v>CROSSHAVEN COURT SPRINGBOROUGH SEC 5 PT 4 LOT 354</v>
      </c>
      <c r="D13150" s="1">
        <v>3321.46</v>
      </c>
    </row>
    <row r="13151" spans="1:4" x14ac:dyDescent="0.3">
      <c r="A13151" s="1" t="str">
        <f>"56029212700"</f>
        <v>56029212700</v>
      </c>
      <c r="B13151" s="1" t="str">
        <f>"VYAS PARTH"</f>
        <v>VYAS PARTH</v>
      </c>
      <c r="C13151" s="1" t="str">
        <f>"HILLIARD WOODS PART 1 LOT 36 WINDING OAKS DRIVE"</f>
        <v>HILLIARD WOODS PART 1 LOT 36 WINDING OAKS DRIVE</v>
      </c>
      <c r="D13151" s="1">
        <v>4614.5</v>
      </c>
    </row>
    <row r="13152" spans="1:4" x14ac:dyDescent="0.3">
      <c r="A13152" s="1" t="str">
        <f>"61028076200"</f>
        <v>61028076200</v>
      </c>
      <c r="B13152" s="1" t="str">
        <f>"W INVESTMENT RE LLC"</f>
        <v>W INVESTMENT RE LLC</v>
      </c>
      <c r="C13152" s="1" t="str">
        <f>"THE TRADITIONS AT POLARIS CONDOMINIUMS 6TH AMD BLDG 13 UNIT 1157"</f>
        <v>THE TRADITIONS AT POLARIS CONDOMINIUMS 6TH AMD BLDG 13 UNIT 1157</v>
      </c>
      <c r="D13152" s="1">
        <v>245.02</v>
      </c>
    </row>
    <row r="13153" spans="1:4" x14ac:dyDescent="0.3">
      <c r="A13153" s="1" t="str">
        <f>"01014030600"</f>
        <v>01014030600</v>
      </c>
      <c r="B13153" s="1" t="str">
        <f>"W J H"</f>
        <v>W J H</v>
      </c>
      <c r="C13153" s="1" t="str">
        <f>"1074 SEDGWICK CT INDIAN HILLS 4 LOT 220"</f>
        <v>1074 SEDGWICK CT INDIAN HILLS 4 LOT 220</v>
      </c>
      <c r="D13153" s="1">
        <v>7497.29</v>
      </c>
    </row>
    <row r="13154" spans="1:4" x14ac:dyDescent="0.3">
      <c r="A13154" s="1" t="str">
        <f>"06000979600"</f>
        <v>06000979600</v>
      </c>
      <c r="B13154" s="1" t="str">
        <f>"W K BRICE RD PARTNERS LLC"</f>
        <v>W K BRICE RD PARTNERS LLC</v>
      </c>
      <c r="C13154" s="1" t="str">
        <f>"W K BRICE ROAD CENTER CONDOMINIUM UNIT 1900 "</f>
        <v xml:space="preserve">W K BRICE ROAD CENTER CONDOMINIUM UNIT 1900 </v>
      </c>
      <c r="D13154" s="1">
        <v>9860.82</v>
      </c>
    </row>
    <row r="13155" spans="1:4" x14ac:dyDescent="0.3">
      <c r="A13155" s="1" t="str">
        <f>"06000979700"</f>
        <v>06000979700</v>
      </c>
      <c r="B13155" s="1" t="str">
        <f>"W K BRICE RD PARTNERS LLC"</f>
        <v>W K BRICE RD PARTNERS LLC</v>
      </c>
      <c r="C13155" s="1" t="str">
        <f>"W K BRICE ROAD CENTER CONDOMINIUM UNIT 1910 "</f>
        <v xml:space="preserve">W K BRICE ROAD CENTER CONDOMINIUM UNIT 1910 </v>
      </c>
      <c r="D13155" s="1">
        <v>6170.85</v>
      </c>
    </row>
    <row r="13156" spans="1:4" x14ac:dyDescent="0.3">
      <c r="A13156" s="1" t="str">
        <f>"06000979800"</f>
        <v>06000979800</v>
      </c>
      <c r="B13156" s="1" t="str">
        <f>"W K BRICE RD PARTNERS LLC"</f>
        <v>W K BRICE RD PARTNERS LLC</v>
      </c>
      <c r="C13156" s="1" t="str">
        <f>"W K BRICE ROAD CENTER CONDOMINIUM UNIT 1914 "</f>
        <v xml:space="preserve">W K BRICE ROAD CENTER CONDOMINIUM UNIT 1914 </v>
      </c>
      <c r="D13156" s="1">
        <v>5273.2</v>
      </c>
    </row>
    <row r="13157" spans="1:4" x14ac:dyDescent="0.3">
      <c r="A13157" s="1" t="str">
        <f>"06000979900"</f>
        <v>06000979900</v>
      </c>
      <c r="B13157" s="1" t="str">
        <f>"W K BRICE RD PARTNERS LLC"</f>
        <v>W K BRICE RD PARTNERS LLC</v>
      </c>
      <c r="C13157" s="1" t="str">
        <f>"W K BRICE ROAD CENTER CONDOMINIUM UNIT 1920 "</f>
        <v xml:space="preserve">W K BRICE ROAD CENTER CONDOMINIUM UNIT 1920 </v>
      </c>
      <c r="D13157" s="1">
        <v>4752.3900000000003</v>
      </c>
    </row>
    <row r="13158" spans="1:4" x14ac:dyDescent="0.3">
      <c r="A13158" s="1" t="str">
        <f>"06000980000"</f>
        <v>06000980000</v>
      </c>
      <c r="B13158" s="1" t="str">
        <f>"W K BRICE RD PARTNERS LLC"</f>
        <v>W K BRICE RD PARTNERS LLC</v>
      </c>
      <c r="C13158" s="1" t="str">
        <f>"W K BRICE ROAD CENTER CONDOMINIUM UNIT 1922 "</f>
        <v xml:space="preserve">W K BRICE ROAD CENTER CONDOMINIUM UNIT 1922 </v>
      </c>
      <c r="D13158" s="1">
        <v>5583.1</v>
      </c>
    </row>
    <row r="13159" spans="1:4" x14ac:dyDescent="0.3">
      <c r="A13159" s="1" t="str">
        <f>"06000980100"</f>
        <v>06000980100</v>
      </c>
      <c r="B13159" s="1" t="str">
        <f>"W K BRICE RD PARTNERS LLC"</f>
        <v>W K BRICE RD PARTNERS LLC</v>
      </c>
      <c r="C13159" s="1" t="str">
        <f>"W K BRICE ROAD CENTER CONDOMINIUM UNIT 1924 "</f>
        <v xml:space="preserve">W K BRICE ROAD CENTER CONDOMINIUM UNIT 1924 </v>
      </c>
      <c r="D13159" s="1">
        <v>5945.93</v>
      </c>
    </row>
    <row r="13160" spans="1:4" x14ac:dyDescent="0.3">
      <c r="A13160" s="1" t="str">
        <f>"01004048600"</f>
        <v>01004048600</v>
      </c>
      <c r="B13160" s="1" t="str">
        <f>"WAATERCOLORS LLC"</f>
        <v>WAATERCOLORS LLC</v>
      </c>
      <c r="C13160" s="1" t="str">
        <f>"262 S 3RD ST INLOT INLOT 568"</f>
        <v>262 S 3RD ST INLOT INLOT 568</v>
      </c>
      <c r="D13160" s="1">
        <v>11183.8</v>
      </c>
    </row>
    <row r="13161" spans="1:4" x14ac:dyDescent="0.3">
      <c r="A13161" s="1" t="str">
        <f>"01002596400"</f>
        <v>01002596400</v>
      </c>
      <c r="B13161" s="1" t="str">
        <f>"WADDELL TODD"</f>
        <v>WADDELL TODD</v>
      </c>
      <c r="C13161" s="1" t="str">
        <f>"2209 MARGARET AVE 50 X 100 FT W E LOT 17-1-3-10"</f>
        <v>2209 MARGARET AVE 50 X 100 FT W E LOT 17-1-3-10</v>
      </c>
      <c r="D13161" s="1">
        <v>1607.68</v>
      </c>
    </row>
    <row r="13162" spans="1:4" x14ac:dyDescent="0.3">
      <c r="A13162" s="1" t="str">
        <f>"51014602300"</f>
        <v>51014602300</v>
      </c>
      <c r="B13162" s="1" t="str">
        <f>"WADE ROBERT A, WADE SHANNON MICHELLE"</f>
        <v>WADE ROBERT A, WADE SHANNON MICHELLE</v>
      </c>
      <c r="C13162" s="1" t="str">
        <f>"895 ALLISON DR SOUTHERN PINES SEC 8 LOT 542"</f>
        <v>895 ALLISON DR SOUTHERN PINES SEC 8 LOT 542</v>
      </c>
      <c r="D13162" s="1">
        <v>1157.3499999999999</v>
      </c>
    </row>
    <row r="13163" spans="1:4" x14ac:dyDescent="0.3">
      <c r="A13163" s="1" t="str">
        <f>"15000032900"</f>
        <v>15000032900</v>
      </c>
      <c r="B13163" s="1" t="str">
        <f>"WADE ROBERT A, WADE SHANNON MICHELLE"</f>
        <v>WADE ROBERT A, WADE SHANNON MICHELLE</v>
      </c>
      <c r="C13163" s="1" t="str">
        <f>"3616 S CHAMPION AVE GREEN ACRES 3 LOT 25"</f>
        <v>3616 S CHAMPION AVE GREEN ACRES 3 LOT 25</v>
      </c>
      <c r="D13163" s="1">
        <v>1600.68</v>
      </c>
    </row>
    <row r="13164" spans="1:4" x14ac:dyDescent="0.3">
      <c r="A13164" s="1" t="str">
        <f>"01003103800"</f>
        <v>01003103800</v>
      </c>
      <c r="B13164" s="1" t="str">
        <f>"WADE SANDRA, WOODS OSCAR"</f>
        <v>WADE SANDRA, WOODS OSCAR</v>
      </c>
      <c r="C13164" s="1" t="str">
        <f>"1389 GRANVILLE ST BACHMAN LOT 9"</f>
        <v>1389 GRANVILLE ST BACHMAN LOT 9</v>
      </c>
      <c r="D13164" s="1">
        <v>253.09</v>
      </c>
    </row>
    <row r="13165" spans="1:4" x14ac:dyDescent="0.3">
      <c r="A13165" s="1" t="str">
        <f>"13000189200"</f>
        <v>13000189200</v>
      </c>
      <c r="B13165" s="1" t="str">
        <f>"WADE TIMOTHY, WADE LETICIA"</f>
        <v>WADE TIMOTHY, WADE LETICIA</v>
      </c>
      <c r="C13165" s="1" t="str">
        <f>"FERRIS ROAD NORTH LINDEN 1 259 "</f>
        <v xml:space="preserve">FERRIS ROAD NORTH LINDEN 1 259 </v>
      </c>
      <c r="D13165" s="1">
        <v>2551.35</v>
      </c>
    </row>
    <row r="13166" spans="1:4" x14ac:dyDescent="0.3">
      <c r="A13166" s="1" t="str">
        <f>"01018748700"</f>
        <v>01018748700</v>
      </c>
      <c r="B13166" s="1" t="str">
        <f>"WADIE GODFRED YEBOAH"</f>
        <v>WADIE GODFRED YEBOAH</v>
      </c>
      <c r="C13166" s="1" t="str">
        <f>"PINE TREE W TAMARACK CONDOMINIUM UNIT 5742-K BLDG 14"</f>
        <v>PINE TREE W TAMARACK CONDOMINIUM UNIT 5742-K BLDG 14</v>
      </c>
      <c r="D13166" s="1">
        <v>2023.73</v>
      </c>
    </row>
    <row r="13167" spans="1:4" x14ac:dyDescent="0.3">
      <c r="A13167" s="1" t="str">
        <f>"08000263000"</f>
        <v>08000263000</v>
      </c>
      <c r="B13167" s="1" t="str">
        <f>"WAGENSCHEIN DAVID T, WAGENSCHEIN STEPHANIE R"</f>
        <v>WAGENSCHEIN DAVID T, WAGENSCHEIN STEPHANIE R</v>
      </c>
      <c r="C13167" s="1" t="str">
        <f>"COLLEGE AVE FURNISS 2 "</f>
        <v xml:space="preserve">COLLEGE AVE FURNISS 2 </v>
      </c>
      <c r="D13167" s="1">
        <v>632.57000000000005</v>
      </c>
    </row>
    <row r="13168" spans="1:4" x14ac:dyDescent="0.3">
      <c r="A13168" s="1" t="str">
        <f>"03000347400"</f>
        <v>03000347400</v>
      </c>
      <c r="B13168" s="1" t="str">
        <f>"WAGNER DOUGLAS S, WAGNER PEGGY P"</f>
        <v>WAGNER DOUGLAS S, WAGNER PEGGY P</v>
      </c>
      <c r="C13168" s="1" t="str">
        <f>"THE EDINGTON CONDOMINIUM UNIT 209 "</f>
        <v xml:space="preserve">THE EDINGTON CONDOMINIUM UNIT 209 </v>
      </c>
      <c r="D13168" s="1">
        <v>1391.78</v>
      </c>
    </row>
    <row r="13169" spans="1:4" x14ac:dyDescent="0.3">
      <c r="A13169" s="1" t="str">
        <f>"02500803200"</f>
        <v>02500803200</v>
      </c>
      <c r="B13169" s="1" t="str">
        <f>"WAGNER JULI D TR"</f>
        <v>WAGNER JULI D TR</v>
      </c>
      <c r="C13169" s="1" t="str">
        <f>"927 WINDBOURNE STREE HIGH MEADOWS OF GAHANNA SEC 2 LOT 48"</f>
        <v>927 WINDBOURNE STREE HIGH MEADOWS OF GAHANNA SEC 2 LOT 48</v>
      </c>
      <c r="D13169" s="1">
        <v>352.24</v>
      </c>
    </row>
    <row r="13170" spans="1:4" x14ac:dyDescent="0.3">
      <c r="A13170" s="1" t="str">
        <f>"07000514000"</f>
        <v>07000514000</v>
      </c>
      <c r="B13170" s="1" t="str">
        <f>"WAGNER ROBERT A"</f>
        <v>WAGNER ROBERT A</v>
      </c>
      <c r="C13170" s="1" t="str">
        <f>"SOMERFORD RD N MOUNTVIEW LOT 1 &amp; 11 BLK 280"</f>
        <v>SOMERFORD RD N MOUNTVIEW LOT 1 &amp; 11 BLK 280</v>
      </c>
      <c r="D13170" s="1">
        <v>3715.32</v>
      </c>
    </row>
    <row r="13171" spans="1:4" x14ac:dyDescent="0.3">
      <c r="A13171" s="1" t="str">
        <f>"01008906200"</f>
        <v>01008906200</v>
      </c>
      <c r="B13171" s="1" t="str">
        <f>"WAGNERZ LLC"</f>
        <v>WAGNERZ LLC</v>
      </c>
      <c r="C13171" s="1" t="str">
        <f>"NATIONAL RD CALDWELLS MAIN ST LOT 68"</f>
        <v>NATIONAL RD CALDWELLS MAIN ST LOT 68</v>
      </c>
      <c r="D13171" s="1">
        <v>7896.64</v>
      </c>
    </row>
    <row r="13172" spans="1:4" x14ac:dyDescent="0.3">
      <c r="A13172" s="1" t="str">
        <f>"01015942900"</f>
        <v>01015942900</v>
      </c>
      <c r="B13172" s="1" t="str">
        <f>"WAHAB MOHAMMED, SHIKHIYEVA AYNUR"</f>
        <v>WAHAB MOHAMMED, SHIKHIYEVA AYNUR</v>
      </c>
      <c r="C13172" s="1" t="str">
        <f>"SHARON WOODS SEC 8 GLOUCHESTER AV LOT 793"</f>
        <v>SHARON WOODS SEC 8 GLOUCHESTER AV LOT 793</v>
      </c>
      <c r="D13172" s="1">
        <v>2629.23</v>
      </c>
    </row>
    <row r="13173" spans="1:4" x14ac:dyDescent="0.3">
      <c r="A13173" s="1" t="str">
        <f>"23000127000"</f>
        <v>23000127000</v>
      </c>
      <c r="B13173" s="1" t="str">
        <f>"WAITS REGENIA S"</f>
        <v>WAITS REGENIA S</v>
      </c>
      <c r="C13173" s="1" t="str">
        <f>"2793 SANDUSKY 39 FT N S J L MOORE 65"</f>
        <v>2793 SANDUSKY 39 FT N S J L MOORE 65</v>
      </c>
      <c r="D13173" s="1">
        <v>4931.01</v>
      </c>
    </row>
    <row r="13174" spans="1:4" x14ac:dyDescent="0.3">
      <c r="A13174" s="1" t="str">
        <f>"01013953900"</f>
        <v>01013953900</v>
      </c>
      <c r="B13174" s="1" t="str">
        <f>"WAKEFIELD WILLIAM P"</f>
        <v>WAKEFIELD WILLIAM P</v>
      </c>
      <c r="C13174" s="1" t="str">
        <f>"KEY PL FLORAVIEW HEIGHTS LOT 17"</f>
        <v>KEY PL FLORAVIEW HEIGHTS LOT 17</v>
      </c>
      <c r="D13174" s="1">
        <v>1299.93</v>
      </c>
    </row>
    <row r="13175" spans="1:4" x14ac:dyDescent="0.3">
      <c r="A13175" s="1" t="str">
        <f>"56024925500"</f>
        <v>56024925500</v>
      </c>
      <c r="B13175" s="1" t="str">
        <f>"WALDECK GAIL M"</f>
        <v>WALDECK GAIL M</v>
      </c>
      <c r="C13175" s="1" t="str">
        <f>"RIVER SEINE STREET RIVER'S GATE LOT 5"</f>
        <v>RIVER SEINE STREET RIVER'S GATE LOT 5</v>
      </c>
      <c r="D13175" s="1">
        <v>687.19</v>
      </c>
    </row>
    <row r="13176" spans="1:4" x14ac:dyDescent="0.3">
      <c r="A13176" s="1" t="str">
        <f>"56017978100"</f>
        <v>56017978100</v>
      </c>
      <c r="B13176" s="1" t="str">
        <f>"WALDEN RAVINES RECREATION ASSOCIATI ON"</f>
        <v>WALDEN RAVINES RECREATION ASSOCIATI ON</v>
      </c>
      <c r="C13176" s="1" t="str">
        <f>"THOBURN RD WALDEN RAVINES 1.132 ACRES"</f>
        <v>THOBURN RD WALDEN RAVINES 1.132 ACRES</v>
      </c>
      <c r="D13176" s="1">
        <v>109.08</v>
      </c>
    </row>
    <row r="13177" spans="1:4" x14ac:dyDescent="0.3">
      <c r="A13177" s="1" t="str">
        <f>"22200177500"</f>
        <v>22200177500</v>
      </c>
      <c r="B13177" s="1" t="str">
        <f>"WALDOCK WILLIAM L JR"</f>
        <v>WALDOCK WILLIAM L JR</v>
      </c>
      <c r="C13177" s="1" t="str">
        <f>"PRESTWOULD CLOSE N ALBANY COUNTRY CL SECTION 13 LOT 9"</f>
        <v>PRESTWOULD CLOSE N ALBANY COUNTRY CL SECTION 13 LOT 9</v>
      </c>
      <c r="D13177" s="1">
        <v>10328.32</v>
      </c>
    </row>
    <row r="13178" spans="1:4" x14ac:dyDescent="0.3">
      <c r="A13178" s="1" t="str">
        <f>"07000347300"</f>
        <v>07000347300</v>
      </c>
      <c r="B13178" s="1" t="str">
        <f>"WALEGA DAVID"</f>
        <v>WALEGA DAVID</v>
      </c>
      <c r="C13178" s="1" t="str">
        <f>"WALTHAM RD UPPER ARLINGTON 6 BLK 122"</f>
        <v>WALTHAM RD UPPER ARLINGTON 6 BLK 122</v>
      </c>
      <c r="D13178" s="1">
        <v>1052.81</v>
      </c>
    </row>
    <row r="13179" spans="1:4" x14ac:dyDescent="0.3">
      <c r="A13179" s="1" t="str">
        <f>"01016709500"</f>
        <v>01016709500</v>
      </c>
      <c r="B13179" s="1" t="str">
        <f>"WALID PROPERTIES LLC"</f>
        <v>WALID PROPERTIES LLC</v>
      </c>
      <c r="C13179" s="1" t="str">
        <f>"2258 HOLT AVE AMVET HOMESTD SUB 1 LOT 47 BLK B"</f>
        <v>2258 HOLT AVE AMVET HOMESTD SUB 1 LOT 47 BLK B</v>
      </c>
      <c r="D13179" s="1">
        <v>1431.05</v>
      </c>
    </row>
    <row r="13180" spans="1:4" x14ac:dyDescent="0.3">
      <c r="A13180" s="1" t="str">
        <f>"01008713900"</f>
        <v>01008713900</v>
      </c>
      <c r="B13180" s="1" t="str">
        <f>"WALID PROPERTIES LLC"</f>
        <v>WALID PROPERTIES LLC</v>
      </c>
      <c r="C13180" s="1" t="str">
        <f>"4120 INDIANOLA AVE .647 ACRES LOT 3-4-9-10"</f>
        <v>4120 INDIANOLA AVE .647 ACRES LOT 3-4-9-10</v>
      </c>
      <c r="D13180" s="1">
        <v>8593.5499999999993</v>
      </c>
    </row>
    <row r="13181" spans="1:4" x14ac:dyDescent="0.3">
      <c r="A13181" s="1" t="str">
        <f>"01006154100"</f>
        <v>01006154100</v>
      </c>
      <c r="B13181" s="1" t="str">
        <f>"WALID PROPERTIES, LLC"</f>
        <v>WALID PROPERTIES, LLC</v>
      </c>
      <c r="C13181" s="1" t="str">
        <f>"520NELSONRDNORTH .632ACRES LOT 22-5-2"</f>
        <v>520NELSONRDNORTH .632ACRES LOT 22-5-2</v>
      </c>
      <c r="D13181" s="1">
        <v>4411</v>
      </c>
    </row>
    <row r="13182" spans="1:4" x14ac:dyDescent="0.3">
      <c r="A13182" s="1" t="str">
        <f>"01010018700"</f>
        <v>01010018700</v>
      </c>
      <c r="B13182" s="1" t="str">
        <f>"WALKER AMOS MICHAEL"</f>
        <v>WALKER AMOS MICHAEL</v>
      </c>
      <c r="C13182" s="1" t="str">
        <f>"MARBLE DR SHADY LANE PARK LOT 135"</f>
        <v>MARBLE DR SHADY LANE PARK LOT 135</v>
      </c>
      <c r="D13182" s="1">
        <v>2434.9899999999998</v>
      </c>
    </row>
    <row r="13183" spans="1:4" x14ac:dyDescent="0.3">
      <c r="A13183" s="1" t="str">
        <f>"01001767000"</f>
        <v>01001767000</v>
      </c>
      <c r="B13183" s="1" t="str">
        <f>"WALKER ANN B AFDT"</f>
        <v>WALKER ANN B AFDT</v>
      </c>
      <c r="C13183" s="1" t="str">
        <f>"1819 FRANKLIN PARK S LOTS 7&amp;8 RHODES FRANKLIN PK PLC"</f>
        <v>1819 FRANKLIN PARK S LOTS 7&amp;8 RHODES FRANKLIN PK PLC</v>
      </c>
      <c r="D13183" s="1">
        <v>7172.39</v>
      </c>
    </row>
    <row r="13184" spans="1:4" x14ac:dyDescent="0.3">
      <c r="A13184" s="1" t="str">
        <f>"09000122800"</f>
        <v>09000122800</v>
      </c>
      <c r="B13184" s="1" t="str">
        <f>"WALKER DORIS A"</f>
        <v>WALKER DORIS A</v>
      </c>
      <c r="C13184" s="1" t="str">
        <f>"270 ST CHRISTOPHER NORTON FIELD PLAT 2 LOT 343"</f>
        <v>270 ST CHRISTOPHER NORTON FIELD PLAT 2 LOT 343</v>
      </c>
      <c r="D13184" s="1">
        <v>472.04</v>
      </c>
    </row>
    <row r="13185" spans="1:4" x14ac:dyDescent="0.3">
      <c r="A13185" s="1" t="str">
        <f>"09000352900"</f>
        <v>09000352900</v>
      </c>
      <c r="B13185" s="1" t="str">
        <f>"WALKER ELIZABETH C"</f>
        <v>WALKER ELIZABETH C</v>
      </c>
      <c r="C13185" s="1" t="str">
        <f>"5077 WINSLOW DR TRURO ESTATES 299"</f>
        <v>5077 WINSLOW DR TRURO ESTATES 299</v>
      </c>
      <c r="D13185" s="1">
        <v>2683.57</v>
      </c>
    </row>
    <row r="13186" spans="1:4" x14ac:dyDescent="0.3">
      <c r="A13186" s="1" t="str">
        <f>"01006955800"</f>
        <v>01006955800</v>
      </c>
      <c r="B13186" s="1" t="str">
        <f>"WALKER ENTERPRISES INVESTMENT COMPANY LLC"</f>
        <v>WALKER ENTERPRISES INVESTMENT COMPANY LLC</v>
      </c>
      <c r="C13186" s="1" t="str">
        <f>"2854 JOYCE AVE 50 X 187.7 FT R.18 T.1 S.1 1-4S.2"</f>
        <v>2854 JOYCE AVE 50 X 187.7 FT R.18 T.1 S.1 1-4S.2</v>
      </c>
      <c r="D13186" s="1">
        <v>1684.64</v>
      </c>
    </row>
    <row r="13187" spans="1:4" x14ac:dyDescent="0.3">
      <c r="A13187" s="1" t="str">
        <f>"01006938500"</f>
        <v>01006938500</v>
      </c>
      <c r="B13187" s="1" t="str">
        <f>"WALKER ENTERPRISES INVESTMENT COMPANY LLC"</f>
        <v>WALKER ENTERPRISES INVESTMENT COMPANY LLC</v>
      </c>
      <c r="C13187" s="1" t="str">
        <f>"2838 JOYCE AVE 50 FT S S 18-1-1-2"</f>
        <v>2838 JOYCE AVE 50 FT S S 18-1-1-2</v>
      </c>
      <c r="D13187" s="1">
        <v>1863.62</v>
      </c>
    </row>
    <row r="13188" spans="1:4" x14ac:dyDescent="0.3">
      <c r="A13188" s="1" t="str">
        <f>"01007947100"</f>
        <v>01007947100</v>
      </c>
      <c r="B13188" s="1" t="str">
        <f>"WALKER ENTERPRISES INVESTMENT COMPANY LLC"</f>
        <v>WALKER ENTERPRISES INVESTMENT COMPANY LLC</v>
      </c>
      <c r="C13188" s="1" t="str">
        <f>"2846 JOYCE AVE 50 FT N S 18.1.1.2 "</f>
        <v xml:space="preserve">2846 JOYCE AVE 50 FT N S 18.1.1.2 </v>
      </c>
      <c r="D13188" s="1">
        <v>1784.44</v>
      </c>
    </row>
    <row r="13189" spans="1:4" x14ac:dyDescent="0.3">
      <c r="A13189" s="1" t="str">
        <f>"01003650300"</f>
        <v>01003650300</v>
      </c>
      <c r="B13189" s="1" t="str">
        <f>"WALKER JOYCE Y"</f>
        <v>WALKER JOYCE Y</v>
      </c>
      <c r="C13189" s="1" t="str">
        <f>"1404 OAKWOOD AVENUE ROSE HILL 2 LOT 45"</f>
        <v>1404 OAKWOOD AVENUE ROSE HILL 2 LOT 45</v>
      </c>
      <c r="D13189" s="1">
        <v>1988.64</v>
      </c>
    </row>
    <row r="13190" spans="1:4" x14ac:dyDescent="0.3">
      <c r="A13190" s="1" t="str">
        <f>"01008167900"</f>
        <v>01008167900</v>
      </c>
      <c r="B13190" s="1" t="str">
        <f>"WALKER KIM A"</f>
        <v>WALKER KIM A</v>
      </c>
      <c r="C13190" s="1" t="str">
        <f>"795 BASSETT ST BELLS &amp; ESTICE PAR LOT 3"</f>
        <v>795 BASSETT ST BELLS &amp; ESTICE PAR LOT 3</v>
      </c>
      <c r="D13190" s="1">
        <v>2369.9899999999998</v>
      </c>
    </row>
    <row r="13191" spans="1:4" x14ac:dyDescent="0.3">
      <c r="A13191" s="1" t="str">
        <f>"01004574400"</f>
        <v>01004574400</v>
      </c>
      <c r="B13191" s="1" t="str">
        <f>"WALKER MAURICE L"</f>
        <v>WALKER MAURICE L</v>
      </c>
      <c r="C13191" s="1" t="str">
        <f>"811 MILLER AVE T MILLER LOT 150-51"</f>
        <v>811 MILLER AVE T MILLER LOT 150-51</v>
      </c>
      <c r="D13191" s="1">
        <v>3190.66</v>
      </c>
    </row>
    <row r="13192" spans="1:4" x14ac:dyDescent="0.3">
      <c r="A13192" s="1" t="str">
        <f>"01005030000"</f>
        <v>01005030000</v>
      </c>
      <c r="B13192" s="1" t="str">
        <f>"WALKER REGINA N"</f>
        <v>WALKER REGINA N</v>
      </c>
      <c r="C13192" s="1" t="str">
        <f>"GREENWAY N E GATE 2 LOT 8 BLK 12"</f>
        <v>GREENWAY N E GATE 2 LOT 8 BLK 12</v>
      </c>
      <c r="D13192" s="1">
        <v>3245.09</v>
      </c>
    </row>
    <row r="13193" spans="1:4" x14ac:dyDescent="0.3">
      <c r="A13193" s="1" t="str">
        <f>"12000003800"</f>
        <v>12000003800</v>
      </c>
      <c r="B13193" s="1" t="str">
        <f>"WALKER ROAD VENTURES LLC"</f>
        <v>WALKER ROAD VENTURES LLC</v>
      </c>
      <c r="C13193" s="1" t="str">
        <f>"3489 WALKER ROAD ENTRY 882-5985 194.272 ACRES"</f>
        <v>3489 WALKER ROAD ENTRY 882-5985 194.272 ACRES</v>
      </c>
      <c r="D13193" s="1">
        <v>26583.67</v>
      </c>
    </row>
    <row r="13194" spans="1:4" x14ac:dyDescent="0.3">
      <c r="A13194" s="1" t="str">
        <f>"12000004200"</f>
        <v>12000004200</v>
      </c>
      <c r="B13194" s="1" t="str">
        <f>"WALKER ROAD VENTURES LLC"</f>
        <v>WALKER ROAD VENTURES LLC</v>
      </c>
      <c r="C13194" s="1" t="str">
        <f>"WALKER RD ENTRY 5985-885 142.128 ACRES"</f>
        <v>WALKER RD ENTRY 5985-885 142.128 ACRES</v>
      </c>
      <c r="D13194" s="1">
        <v>18270.3</v>
      </c>
    </row>
    <row r="13195" spans="1:4" x14ac:dyDescent="0.3">
      <c r="A13195" s="1" t="str">
        <f>"12000102300"</f>
        <v>12000102300</v>
      </c>
      <c r="B13195" s="1" t="str">
        <f>"WALKER ROAD VENTURES LLC"</f>
        <v>WALKER ROAD VENTURES LLC</v>
      </c>
      <c r="C13195" s="1" t="str">
        <f>"WALKER ROAD ENTRY 882-5985 5.002 ACRES"</f>
        <v>WALKER ROAD ENTRY 882-5985 5.002 ACRES</v>
      </c>
      <c r="D13195" s="1">
        <v>11606.44</v>
      </c>
    </row>
    <row r="13196" spans="1:4" x14ac:dyDescent="0.3">
      <c r="A13196" s="1" t="str">
        <f>"01016296800"</f>
        <v>01016296800</v>
      </c>
      <c r="B13196" s="1" t="str">
        <f>"WALKER SHANNON"</f>
        <v>WALKER SHANNON</v>
      </c>
      <c r="C13196" s="1" t="str">
        <f>"GLENBROOK GREEN CONDOMINIUM BLDG 9 UNIT C"</f>
        <v>GLENBROOK GREEN CONDOMINIUM BLDG 9 UNIT C</v>
      </c>
      <c r="D13196" s="1">
        <v>1325.56</v>
      </c>
    </row>
    <row r="13197" spans="1:4" x14ac:dyDescent="0.3">
      <c r="A13197" s="1" t="str">
        <f>"57015567200"</f>
        <v>57015567200</v>
      </c>
      <c r="B13197" s="1" t="str">
        <f>"WALKER SHELLA, WALKER WADE"</f>
        <v>WALKER SHELLA, WALKER WADE</v>
      </c>
      <c r="C13197" s="1" t="str">
        <f>"HARDESTY HEIGHTS CONDO NO U UNIT 13"</f>
        <v>HARDESTY HEIGHTS CONDO NO U UNIT 13</v>
      </c>
      <c r="D13197" s="1">
        <v>1645.48</v>
      </c>
    </row>
    <row r="13198" spans="1:4" x14ac:dyDescent="0.3">
      <c r="A13198" s="1" t="str">
        <f>"06000706800"</f>
        <v>06000706800</v>
      </c>
      <c r="B13198" s="1" t="str">
        <f>"WALKER SONDRA M TTEE"</f>
        <v>WALKER SONDRA M TTEE</v>
      </c>
      <c r="C13198" s="1" t="str">
        <f>"CROFTON PLACE CROFTON PLACE LOT 73A"</f>
        <v>CROFTON PLACE CROFTON PLACE LOT 73A</v>
      </c>
      <c r="D13198" s="1">
        <v>118.58</v>
      </c>
    </row>
    <row r="13199" spans="1:4" x14ac:dyDescent="0.3">
      <c r="A13199" s="1" t="str">
        <f>"01012899000"</f>
        <v>01012899000</v>
      </c>
      <c r="B13199" s="1" t="str">
        <f>"WALKER TERA K, DENTON TIA L, WALKER ROGER T"</f>
        <v>WALKER TERA K, DENTON TIA L, WALKER ROGER T</v>
      </c>
      <c r="C13199" s="1" t="str">
        <f>"NASON AVE MILLBROOK LOT 128"</f>
        <v>NASON AVE MILLBROOK LOT 128</v>
      </c>
      <c r="D13199" s="1">
        <v>4645.45</v>
      </c>
    </row>
    <row r="13200" spans="1:4" x14ac:dyDescent="0.3">
      <c r="A13200" s="1" t="str">
        <f>"01009770200"</f>
        <v>01009770200</v>
      </c>
      <c r="B13200" s="1" t="str">
        <f>"WALKER TOIA"</f>
        <v>WALKER TOIA</v>
      </c>
      <c r="C13200" s="1" t="str">
        <f>"TWENTY SECOND AVE HAMILTON PARK 4 LOT 17"</f>
        <v>TWENTY SECOND AVE HAMILTON PARK 4 LOT 17</v>
      </c>
      <c r="D13200" s="1">
        <v>837.16</v>
      </c>
    </row>
    <row r="13201" spans="1:4" x14ac:dyDescent="0.3">
      <c r="A13201" s="1" t="str">
        <f>"01015314100"</f>
        <v>01015314100</v>
      </c>
      <c r="B13201" s="1" t="str">
        <f>"WALKER TOIA A, LITTLEFIELD DALE L"</f>
        <v>WALKER TOIA A, LITTLEFIELD DALE L</v>
      </c>
      <c r="C13201" s="1" t="str">
        <f>"DUNNING RD BRITTANY HILLS SEC 2 LOT 188"</f>
        <v>DUNNING RD BRITTANY HILLS SEC 2 LOT 188</v>
      </c>
      <c r="D13201" s="1">
        <v>128.26</v>
      </c>
    </row>
    <row r="13202" spans="1:4" x14ac:dyDescent="0.3">
      <c r="A13202" s="1" t="str">
        <f>"01014724900"</f>
        <v>01014724900</v>
      </c>
      <c r="B13202" s="1" t="str">
        <f>"WALKER TOMMY I"</f>
        <v>WALKER TOMMY I</v>
      </c>
      <c r="C13202" s="1" t="str">
        <f>"CHESFORD RD HYDE PARK PLAT 1 LOT 28"</f>
        <v>CHESFORD RD HYDE PARK PLAT 1 LOT 28</v>
      </c>
      <c r="D13202" s="1">
        <v>2331.5100000000002</v>
      </c>
    </row>
    <row r="13203" spans="1:4" x14ac:dyDescent="0.3">
      <c r="A13203" s="1" t="str">
        <f>"01013006500"</f>
        <v>01013006500</v>
      </c>
      <c r="B13203" s="1" t="str">
        <f>"WALKER TYLER L"</f>
        <v>WALKER TYLER L</v>
      </c>
      <c r="C13203" s="1" t="str">
        <f>"BRIGGS RD ACRES 1.165 ENTRY 971"</f>
        <v>BRIGGS RD ACRES 1.165 ENTRY 971</v>
      </c>
      <c r="D13203" s="1">
        <v>1923.81</v>
      </c>
    </row>
    <row r="13204" spans="1:4" x14ac:dyDescent="0.3">
      <c r="A13204" s="1" t="str">
        <f>"01013005600"</f>
        <v>01013005600</v>
      </c>
      <c r="B13204" s="1" t="str">
        <f>"WALKER TYLER L"</f>
        <v>WALKER TYLER L</v>
      </c>
      <c r="C13204" s="1" t="str">
        <f>"BRIGGS ACRES .883 O Q 1000 ENTRY 971"</f>
        <v>BRIGGS ACRES .883 O Q 1000 ENTRY 971</v>
      </c>
      <c r="D13204" s="1">
        <v>573.42999999999995</v>
      </c>
    </row>
    <row r="13205" spans="1:4" x14ac:dyDescent="0.3">
      <c r="A13205" s="1" t="str">
        <f>"01009885000"</f>
        <v>01009885000</v>
      </c>
      <c r="B13205" s="1" t="str">
        <f>"WALKER WILLIAM"</f>
        <v>WALKER WILLIAM</v>
      </c>
      <c r="C13205" s="1" t="str">
        <f>"BLAKE AVE DUXBERRY PK LOT 202"</f>
        <v>BLAKE AVE DUXBERRY PK LOT 202</v>
      </c>
      <c r="D13205" s="1">
        <v>864.77</v>
      </c>
    </row>
    <row r="13206" spans="1:4" x14ac:dyDescent="0.3">
      <c r="A13206" s="1" t="str">
        <f>"01006367900"</f>
        <v>01006367900</v>
      </c>
      <c r="B13206" s="1" t="str">
        <f>"WALKER WILLIAM"</f>
        <v>WALKER WILLIAM</v>
      </c>
      <c r="C13206" s="1" t="str">
        <f>"1472 HARVARD AVE LOT 11 TRUSTEES"</f>
        <v>1472 HARVARD AVE LOT 11 TRUSTEES</v>
      </c>
      <c r="D13206" s="1">
        <v>1110.4100000000001</v>
      </c>
    </row>
    <row r="13207" spans="1:4" x14ac:dyDescent="0.3">
      <c r="A13207" s="1" t="str">
        <f>"01002516000"</f>
        <v>01002516000</v>
      </c>
      <c r="B13207" s="1" t="str">
        <f>"WALKER WILLIAM"</f>
        <v>WALKER WILLIAM</v>
      </c>
      <c r="C13207" s="1" t="str">
        <f>"1401 E GRANVILLE ST BACHMAN LOT 12"</f>
        <v>1401 E GRANVILLE ST BACHMAN LOT 12</v>
      </c>
      <c r="D13207" s="1">
        <v>1344.24</v>
      </c>
    </row>
    <row r="13208" spans="1:4" x14ac:dyDescent="0.3">
      <c r="A13208" s="1" t="str">
        <f>"01006367800"</f>
        <v>01006367800</v>
      </c>
      <c r="B13208" s="1" t="str">
        <f>"WALKER WILLIAM O"</f>
        <v>WALKER WILLIAM O</v>
      </c>
      <c r="C13208" s="1" t="str">
        <f>"HARVARD AVE TRUSTEES LOT 10"</f>
        <v>HARVARD AVE TRUSTEES LOT 10</v>
      </c>
      <c r="D13208" s="1">
        <v>984.92</v>
      </c>
    </row>
    <row r="13209" spans="1:4" x14ac:dyDescent="0.3">
      <c r="A13209" s="1" t="str">
        <f>"01005452300"</f>
        <v>01005452300</v>
      </c>
      <c r="B13209" s="1" t="str">
        <f>"WALKER WILLIAM O"</f>
        <v>WALKER WILLIAM O</v>
      </c>
      <c r="C13209" s="1" t="str">
        <f>"GRANVILLE STREET J.L. BACHMANS ADD LT 14 (31.11' X 175)"</f>
        <v>GRANVILLE STREET J.L. BACHMANS ADD LT 14 (31.11' X 175)</v>
      </c>
      <c r="D13209" s="1">
        <v>587.22</v>
      </c>
    </row>
    <row r="13210" spans="1:4" x14ac:dyDescent="0.3">
      <c r="A13210" s="1" t="str">
        <f>"18100003600"</f>
        <v>18100003600</v>
      </c>
      <c r="B13210" s="1" t="str">
        <f>"WALKOWICZ JOHN T"</f>
        <v>WALKOWICZ JOHN T</v>
      </c>
      <c r="C13210" s="1" t="str">
        <f>"6040 LITHOPOLIS RD R21T10S1 .672 ACRE"</f>
        <v>6040 LITHOPOLIS RD R21T10S1 .672 ACRE</v>
      </c>
      <c r="D13210" s="1">
        <v>2623.27</v>
      </c>
    </row>
    <row r="13211" spans="1:4" x14ac:dyDescent="0.3">
      <c r="A13211" s="1" t="str">
        <f>"56027336100"</f>
        <v>56027336100</v>
      </c>
      <c r="B13211" s="1" t="str">
        <f>"WALLACE BRYAN"</f>
        <v>WALLACE BRYAN</v>
      </c>
      <c r="C13211" s="1" t="str">
        <f>"MILLINGTON CONDOMINIUM AT MILL RUN 2ND AMD BLDG B-7 UNIT 3660"</f>
        <v>MILLINGTON CONDOMINIUM AT MILL RUN 2ND AMD BLDG B-7 UNIT 3660</v>
      </c>
      <c r="D13211" s="1">
        <v>2336.08</v>
      </c>
    </row>
    <row r="13212" spans="1:4" x14ac:dyDescent="0.3">
      <c r="A13212" s="1" t="str">
        <f>"01016379000"</f>
        <v>01016379000</v>
      </c>
      <c r="B13212" s="1" t="str">
        <f>"WALLACE DAVID"</f>
        <v>WALLACE DAVID</v>
      </c>
      <c r="C13212" s="1" t="str">
        <f>"KIMBERLY VILLAS CONDO PHASE V BLDG 62 UNIT A"</f>
        <v>KIMBERLY VILLAS CONDO PHASE V BLDG 62 UNIT A</v>
      </c>
      <c r="D13212" s="1">
        <v>1396.02</v>
      </c>
    </row>
    <row r="13213" spans="1:4" x14ac:dyDescent="0.3">
      <c r="A13213" s="1" t="str">
        <f>"01016494500"</f>
        <v>01016494500</v>
      </c>
      <c r="B13213" s="1" t="str">
        <f>"WALLACE DAVID"</f>
        <v>WALLACE DAVID</v>
      </c>
      <c r="C13213" s="1" t="str">
        <f>"KIMBERLY VILLAS CONDOMINIUM PHASE VI UNIT A BLDG 52"</f>
        <v>KIMBERLY VILLAS CONDOMINIUM PHASE VI UNIT A BLDG 52</v>
      </c>
      <c r="D13213" s="1">
        <v>1396.02</v>
      </c>
    </row>
    <row r="13214" spans="1:4" x14ac:dyDescent="0.3">
      <c r="A13214" s="1" t="str">
        <f>"57021990600"</f>
        <v>57021990600</v>
      </c>
      <c r="B13214" s="1" t="str">
        <f>"WALLACE DEBORAH S"</f>
        <v>WALLACE DEBORAH S</v>
      </c>
      <c r="C13214" s="1" t="str">
        <f>"WESTERN RUN DRIVE WESTERN RUN SEC 1 LOT 44"</f>
        <v>WESTERN RUN DRIVE WESTERN RUN SEC 1 LOT 44</v>
      </c>
      <c r="D13214" s="1">
        <v>169.67</v>
      </c>
    </row>
    <row r="13215" spans="1:4" x14ac:dyDescent="0.3">
      <c r="A13215" s="1" t="str">
        <f>"01014797400"</f>
        <v>01014797400</v>
      </c>
      <c r="B13215" s="1" t="str">
        <f>"WALLACE DONNA L"</f>
        <v>WALLACE DONNA L</v>
      </c>
      <c r="C13215" s="1" t="str">
        <f>"PEBBLE LANE GABLES SOUTH LOT 27"</f>
        <v>PEBBLE LANE GABLES SOUTH LOT 27</v>
      </c>
      <c r="D13215" s="1">
        <v>250.15</v>
      </c>
    </row>
    <row r="13216" spans="1:4" x14ac:dyDescent="0.3">
      <c r="A13216" s="1" t="str">
        <f>"61019786200"</f>
        <v>61019786200</v>
      </c>
      <c r="B13216" s="1" t="str">
        <f>"WALLACE JAMES J, WALLACE BARBARA J"</f>
        <v>WALLACE JAMES J, WALLACE BARBARA J</v>
      </c>
      <c r="C13216" s="1" t="str">
        <f>"BUCKPOINT LA DEER CREEK SEC TWO LOT 110"</f>
        <v>BUCKPOINT LA DEER CREEK SEC TWO LOT 110</v>
      </c>
      <c r="D13216" s="1">
        <v>413.75</v>
      </c>
    </row>
    <row r="13217" spans="1:4" x14ac:dyDescent="0.3">
      <c r="A13217" s="1" t="str">
        <f>"56019294600"</f>
        <v>56019294600</v>
      </c>
      <c r="B13217" s="1" t="str">
        <f>"WALLACE JANET L"</f>
        <v>WALLACE JANET L</v>
      </c>
      <c r="C13217" s="1" t="str">
        <f>"WINESAP DR RESUB PT CIDER MILL LOT 126"</f>
        <v>WINESAP DR RESUB PT CIDER MILL LOT 126</v>
      </c>
      <c r="D13217" s="1">
        <v>767.81</v>
      </c>
    </row>
    <row r="13218" spans="1:4" x14ac:dyDescent="0.3">
      <c r="A13218" s="1" t="str">
        <f>"56017850700"</f>
        <v>56017850700</v>
      </c>
      <c r="B13218" s="1" t="str">
        <f>"WALLACE JANET L"</f>
        <v>WALLACE JANET L</v>
      </c>
      <c r="C13218" s="1" t="str">
        <f>"DUNLAVIN GLEN RD HIGHPOINT SECTION 2 LOT 153"</f>
        <v>DUNLAVIN GLEN RD HIGHPOINT SECTION 2 LOT 153</v>
      </c>
      <c r="D13218" s="1">
        <v>772.4</v>
      </c>
    </row>
    <row r="13219" spans="1:4" x14ac:dyDescent="0.3">
      <c r="A13219" s="1" t="str">
        <f>"01013380700"</f>
        <v>01013380700</v>
      </c>
      <c r="B13219" s="1" t="str">
        <f>"WALLACE JEFFREY D"</f>
        <v>WALLACE JEFFREY D</v>
      </c>
      <c r="C13219" s="1" t="str">
        <f>"CHESTERTON SQ SO DEVONSHIRE 1 LOT 28"</f>
        <v>CHESTERTON SQ SO DEVONSHIRE 1 LOT 28</v>
      </c>
      <c r="D13219" s="1">
        <v>1303.8</v>
      </c>
    </row>
    <row r="13220" spans="1:4" x14ac:dyDescent="0.3">
      <c r="A13220" s="1" t="str">
        <f>"05000176500"</f>
        <v>05000176500</v>
      </c>
      <c r="B13220" s="1" t="str">
        <f>"WALLACE MARGARET E"</f>
        <v>WALLACE MARGARET E</v>
      </c>
      <c r="C13220" s="1" t="str">
        <f>"5176 SCIOTO DARBY RD LUXAIR 3 LOT 59"</f>
        <v>5176 SCIOTO DARBY RD LUXAIR 3 LOT 59</v>
      </c>
      <c r="D13220" s="1">
        <v>2722.68</v>
      </c>
    </row>
    <row r="13221" spans="1:4" x14ac:dyDescent="0.3">
      <c r="A13221" s="1" t="str">
        <f>"16000084700"</f>
        <v>16000084700</v>
      </c>
      <c r="B13221" s="1" t="str">
        <f>"WALLACE MICHAEL J"</f>
        <v>WALLACE MICHAEL J</v>
      </c>
      <c r="C13221" s="1" t="str">
        <f>"GANTZ RD M JEANNETTE MCDOWELL LOT 9"</f>
        <v>GANTZ RD M JEANNETTE MCDOWELL LOT 9</v>
      </c>
      <c r="D13221" s="1">
        <v>2334.0100000000002</v>
      </c>
    </row>
    <row r="13222" spans="1:4" x14ac:dyDescent="0.3">
      <c r="A13222" s="1" t="str">
        <f>"01006059500"</f>
        <v>01006059500</v>
      </c>
      <c r="B13222" s="1" t="str">
        <f>"WALLACE VERNARD"</f>
        <v>WALLACE VERNARD</v>
      </c>
      <c r="C13222" s="1" t="str">
        <f>"19TH AVE WALDEMERE LOT 365"</f>
        <v>19TH AVE WALDEMERE LOT 365</v>
      </c>
      <c r="D13222" s="1">
        <v>479.04</v>
      </c>
    </row>
    <row r="13223" spans="1:4" x14ac:dyDescent="0.3">
      <c r="A13223" s="1" t="str">
        <f>"01013818200"</f>
        <v>01013818200</v>
      </c>
      <c r="B13223" s="1" t="str">
        <f>"WALLACE WANNETTA M"</f>
        <v>WALLACE WANNETTA M</v>
      </c>
      <c r="C13223" s="1" t="str">
        <f>"WADSOWRTH DR GLENBROOK SEC 2 LOT 98"</f>
        <v>WADSOWRTH DR GLENBROOK SEC 2 LOT 98</v>
      </c>
      <c r="D13223" s="1">
        <v>2442.8000000000002</v>
      </c>
    </row>
    <row r="13224" spans="1:4" x14ac:dyDescent="0.3">
      <c r="A13224" s="1" t="str">
        <f>"10000149800"</f>
        <v>10000149800</v>
      </c>
      <c r="B13224" s="1" t="str">
        <f>"WALLAKE EZRA"</f>
        <v>WALLAKE EZRA</v>
      </c>
      <c r="C13224" s="1" t="str">
        <f>"285 DUNLAP AVE PTS LOTS 106-108 MORRIS ADDN"</f>
        <v>285 DUNLAP AVE PTS LOTS 106-108 MORRIS ADDN</v>
      </c>
      <c r="D13224" s="1">
        <v>18988.669999999998</v>
      </c>
    </row>
    <row r="13225" spans="1:4" x14ac:dyDescent="0.3">
      <c r="A13225" s="1" t="str">
        <f>"01007308700"</f>
        <v>01007308700</v>
      </c>
      <c r="B13225" s="1" t="str">
        <f>"WALLER DONALD R, WALLER DIANE L"</f>
        <v>WALLER DONALD R, WALLER DIANE L</v>
      </c>
      <c r="C13225" s="1" t="str">
        <f>"AUDUBON RD HOMECROFT LOT 91"</f>
        <v>AUDUBON RD HOMECROFT LOT 91</v>
      </c>
      <c r="D13225" s="1">
        <v>2799.49</v>
      </c>
    </row>
    <row r="13226" spans="1:4" x14ac:dyDescent="0.3">
      <c r="A13226" s="1" t="str">
        <f>"01013161500"</f>
        <v>01013161500</v>
      </c>
      <c r="B13226" s="1" t="str">
        <f>"WALLER EUGENE G SR, WALLER VICTORIA E"</f>
        <v>WALLER EUGENE G SR, WALLER VICTORIA E</v>
      </c>
      <c r="C13226" s="1" t="str">
        <f>"OMAR DR RADCLIFF LOT 59"</f>
        <v>OMAR DR RADCLIFF LOT 59</v>
      </c>
      <c r="D13226" s="1">
        <v>109.38</v>
      </c>
    </row>
    <row r="13227" spans="1:4" x14ac:dyDescent="0.3">
      <c r="A13227" s="1" t="str">
        <f>"18000408100"</f>
        <v>18000408100</v>
      </c>
      <c r="B13227" s="1" t="str">
        <f>"WALLER GLENN H, WALLER DONNA M"</f>
        <v>WALLER GLENN H, WALLER DONNA M</v>
      </c>
      <c r="C13227" s="1" t="str">
        <f>"FAYCREST RD BLACKLICK ESTATES 6 1312"</f>
        <v>FAYCREST RD BLACKLICK ESTATES 6 1312</v>
      </c>
      <c r="D13227" s="1">
        <v>1089.56</v>
      </c>
    </row>
    <row r="13228" spans="1:4" x14ac:dyDescent="0.3">
      <c r="A13228" s="1" t="str">
        <f>"01008400700"</f>
        <v>01008400700</v>
      </c>
      <c r="B13228" s="1" t="str">
        <f>"WALLINGFORD DAVID M TR"</f>
        <v>WALLINGFORD DAVID M TR</v>
      </c>
      <c r="C13228" s="1" t="str">
        <f>"RIVERVIEW PARK DR BEECHWOLD SUB LOT 164"</f>
        <v>RIVERVIEW PARK DR BEECHWOLD SUB LOT 164</v>
      </c>
      <c r="D13228" s="1">
        <v>13653.26</v>
      </c>
    </row>
    <row r="13229" spans="1:4" x14ac:dyDescent="0.3">
      <c r="A13229" s="1" t="str">
        <f>"60015529700"</f>
        <v>60015529700</v>
      </c>
      <c r="B13229" s="1" t="str">
        <f>"WALLO JOE"</f>
        <v>WALLO JOE</v>
      </c>
      <c r="C13229" s="1" t="str">
        <f>"SOUTH PARK DRIVE GOULD PARK 2 210"</f>
        <v>SOUTH PARK DRIVE GOULD PARK 2 210</v>
      </c>
      <c r="D13229" s="1">
        <v>97.27</v>
      </c>
    </row>
    <row r="13230" spans="1:4" x14ac:dyDescent="0.3">
      <c r="A13230" s="1" t="str">
        <f>"60015530000"</f>
        <v>60015530000</v>
      </c>
      <c r="B13230" s="1" t="str">
        <f>"WALLO LIDA"</f>
        <v>WALLO LIDA</v>
      </c>
      <c r="C13230" s="1" t="str">
        <f>"SOUTH PARK DRIVE GOULD PARK 2 213"</f>
        <v>SOUTH PARK DRIVE GOULD PARK 2 213</v>
      </c>
      <c r="D13230" s="1">
        <v>97.72</v>
      </c>
    </row>
    <row r="13231" spans="1:4" x14ac:dyDescent="0.3">
      <c r="A13231" s="1" t="str">
        <f>"60015529900"</f>
        <v>60015529900</v>
      </c>
      <c r="B13231" s="1" t="str">
        <f>"WALLO LIDA"</f>
        <v>WALLO LIDA</v>
      </c>
      <c r="C13231" s="1" t="str">
        <f>"SOUTH PARK DRIVE GOULD PARK 2 212"</f>
        <v>SOUTH PARK DRIVE GOULD PARK 2 212</v>
      </c>
      <c r="D13231" s="1">
        <v>97.27</v>
      </c>
    </row>
    <row r="13232" spans="1:4" x14ac:dyDescent="0.3">
      <c r="A13232" s="1" t="str">
        <f>"21615112100"</f>
        <v>21615112100</v>
      </c>
      <c r="B13232" s="1" t="str">
        <f>"WALSAM PROPERTIES LLC"</f>
        <v>WALSAM PROPERTIES LLC</v>
      </c>
      <c r="C13232" s="1" t="str">
        <f>"2040 BETHEL ROAD R19 T2 1/4T4 0.488 ACRE"</f>
        <v>2040 BETHEL ROAD R19 T2 1/4T4 0.488 ACRE</v>
      </c>
      <c r="D13232" s="1">
        <v>2077.9499999999998</v>
      </c>
    </row>
    <row r="13233" spans="1:4" x14ac:dyDescent="0.3">
      <c r="A13233" s="1" t="str">
        <f>"16000205200"</f>
        <v>16000205200</v>
      </c>
      <c r="B13233" s="1" t="str">
        <f>"WALSH ELIZABETH A, WALSH BRANDON C, TAYLOR STEVEN R"</f>
        <v>WALSH ELIZABETH A, WALSH BRANDON C, TAYLOR STEVEN R</v>
      </c>
      <c r="C13233" s="1" t="str">
        <f>"2121 BERRY HILL DR BRIARWOOD HILLS 2 LOT 27"</f>
        <v>2121 BERRY HILL DR BRIARWOOD HILLS 2 LOT 27</v>
      </c>
      <c r="D13233" s="1">
        <v>4757.3599999999997</v>
      </c>
    </row>
    <row r="13234" spans="1:4" x14ac:dyDescent="0.3">
      <c r="A13234" s="1" t="str">
        <f>"01008838700"</f>
        <v>01008838700</v>
      </c>
      <c r="B13234" s="1" t="str">
        <f>"WALSH JONATHAN A"</f>
        <v>WALSH JONATHAN A</v>
      </c>
      <c r="C13234" s="1" t="str">
        <f>"360SGOULDRD&amp;1/2 ALLEYVACBROADLEIGH EXT"</f>
        <v>360SGOULDRD&amp;1/2 ALLEYVACBROADLEIGH EXT</v>
      </c>
      <c r="D13234" s="1">
        <v>5123.21</v>
      </c>
    </row>
    <row r="13235" spans="1:4" x14ac:dyDescent="0.3">
      <c r="A13235" s="1" t="str">
        <f>"16000145400"</f>
        <v>16000145400</v>
      </c>
      <c r="B13235" s="1" t="str">
        <f>"WALSH MARY E, MCCARTY MARY E"</f>
        <v>WALSH MARY E, MCCARTY MARY E</v>
      </c>
      <c r="C13235" s="1" t="str">
        <f>"LONDON GROVEPORT RD ENTRY 6839 .642 ACRE"</f>
        <v>LONDON GROVEPORT RD ENTRY 6839 .642 ACRE</v>
      </c>
      <c r="D13235" s="1">
        <v>3159.78</v>
      </c>
    </row>
    <row r="13236" spans="1:4" x14ac:dyDescent="0.3">
      <c r="A13236" s="1" t="str">
        <f>"02500383800"</f>
        <v>02500383800</v>
      </c>
      <c r="B13236" s="1" t="str">
        <f>"WALSH SANDRA J"</f>
        <v>WALSH SANDRA J</v>
      </c>
      <c r="C13236" s="1" t="str">
        <f>"192 COLONY COURT THE COLONY LOT 22"</f>
        <v>192 COLONY COURT THE COLONY LOT 22</v>
      </c>
      <c r="D13236" s="1">
        <v>4469.08</v>
      </c>
    </row>
    <row r="13237" spans="1:4" x14ac:dyDescent="0.3">
      <c r="A13237" s="1" t="str">
        <f>"08000410100"</f>
        <v>08000410100</v>
      </c>
      <c r="B13237" s="1" t="str">
        <f>"WALSH SARA R"</f>
        <v>WALSH SARA R</v>
      </c>
      <c r="C13237" s="1" t="str">
        <f>"KENNEBEC PL E ANNEHURST VILLAGE 6 LOT 316"</f>
        <v>KENNEBEC PL E ANNEHURST VILLAGE 6 LOT 316</v>
      </c>
      <c r="D13237" s="1">
        <v>6550.36</v>
      </c>
    </row>
    <row r="13238" spans="1:4" x14ac:dyDescent="0.3">
      <c r="A13238" s="1" t="str">
        <f>"01015043600"</f>
        <v>01015043600</v>
      </c>
      <c r="B13238" s="1" t="str">
        <f>"WALSH VICTORIA W"</f>
        <v>WALSH VICTORIA W</v>
      </c>
      <c r="C13238" s="1" t="str">
        <f>"AUTUMN HILL DR SYCAMORE HILLS SEC 2 LOT 162"</f>
        <v>AUTUMN HILL DR SYCAMORE HILLS SEC 2 LOT 162</v>
      </c>
      <c r="D13238" s="1">
        <v>864.55</v>
      </c>
    </row>
    <row r="13239" spans="1:4" x14ac:dyDescent="0.3">
      <c r="A13239" s="1" t="str">
        <f>"27300537400"</f>
        <v>27300537400</v>
      </c>
      <c r="B13239" s="1" t="str">
        <f>"WALTER SHANNON E, WALTER BARKLAY D"</f>
        <v>WALTER SHANNON E, WALTER BARKLAY D</v>
      </c>
      <c r="C13239" s="1" t="str">
        <f>"5611 WILCOX RD 1.285 ACRES ENTRY 3004"</f>
        <v>5611 WILCOX RD 1.285 ACRES ENTRY 3004</v>
      </c>
      <c r="D13239" s="1">
        <v>4868.5200000000004</v>
      </c>
    </row>
    <row r="13240" spans="1:4" x14ac:dyDescent="0.3">
      <c r="A13240" s="1" t="str">
        <f>"60015017500"</f>
        <v>60015017500</v>
      </c>
      <c r="B13240" s="1" t="str">
        <f>"WALTERMEYER RUTH"</f>
        <v>WALTERMEYER RUTH</v>
      </c>
      <c r="C13240" s="1" t="str">
        <f>"PELDEN COURT PARKRIDGE VILLAGE SEC 2 LOT 263"</f>
        <v>PELDEN COURT PARKRIDGE VILLAGE SEC 2 LOT 263</v>
      </c>
      <c r="D13240" s="1">
        <v>1642.83</v>
      </c>
    </row>
    <row r="13241" spans="1:4" x14ac:dyDescent="0.3">
      <c r="A13241" s="1" t="str">
        <f>"19000143300"</f>
        <v>19000143300</v>
      </c>
      <c r="B13241" s="1" t="str">
        <f>"WALTERS JOSEPH E"</f>
        <v>WALTERS JOSEPH E</v>
      </c>
      <c r="C13241" s="1" t="str">
        <f>"BRIARWOOD AVE GREENDALE PLACE 79 "</f>
        <v xml:space="preserve">BRIARWOOD AVE GREENDALE PLACE 79 </v>
      </c>
      <c r="D13241" s="1">
        <v>849.43</v>
      </c>
    </row>
    <row r="13242" spans="1:4" x14ac:dyDescent="0.3">
      <c r="A13242" s="1" t="str">
        <f>"01006190400"</f>
        <v>01006190400</v>
      </c>
      <c r="B13242" s="1" t="str">
        <f>"WALTERS VICKI LOUISE"</f>
        <v>WALTERS VICKI LOUISE</v>
      </c>
      <c r="C13242" s="1" t="str">
        <f>"WEST VIEW LOT 45 "</f>
        <v xml:space="preserve">WEST VIEW LOT 45 </v>
      </c>
      <c r="D13242" s="1">
        <v>258.56</v>
      </c>
    </row>
    <row r="13243" spans="1:4" x14ac:dyDescent="0.3">
      <c r="A13243" s="1" t="str">
        <f>"01003676300"</f>
        <v>01003676300</v>
      </c>
      <c r="B13243" s="1" t="str">
        <f>"WALTON DAVID"</f>
        <v>WALTON DAVID</v>
      </c>
      <c r="C13243" s="1" t="str">
        <f>"1967 MARYLAND AVE EAST GATE 2 LOT 36 BLK 15"</f>
        <v>1967 MARYLAND AVE EAST GATE 2 LOT 36 BLK 15</v>
      </c>
      <c r="D13243" s="1">
        <v>1804.52</v>
      </c>
    </row>
    <row r="13244" spans="1:4" x14ac:dyDescent="0.3">
      <c r="A13244" s="1" t="str">
        <f>"10000560900"</f>
        <v>10000560900</v>
      </c>
      <c r="B13244" s="1" t="str">
        <f>"WALTON JAMES A TR"</f>
        <v>WALTON JAMES A TR</v>
      </c>
      <c r="C13244" s="1" t="str">
        <f>"191 WHIELDON LN BAINBRIDGE COND UNIT 13"</f>
        <v>191 WHIELDON LN BAINBRIDGE COND UNIT 13</v>
      </c>
      <c r="D13244" s="1">
        <v>337.44</v>
      </c>
    </row>
    <row r="13245" spans="1:4" x14ac:dyDescent="0.3">
      <c r="A13245" s="1" t="str">
        <f>"60017695200"</f>
        <v>60017695200</v>
      </c>
      <c r="B13245" s="1" t="str">
        <f>"WALTON S MICHAEL"</f>
        <v>WALTON S MICHAEL</v>
      </c>
      <c r="C13245" s="1" t="str">
        <f>"COLUMBINE CT FOREST EDGE SEC NO 1 LOT 17"</f>
        <v>COLUMBINE CT FOREST EDGE SEC NO 1 LOT 17</v>
      </c>
      <c r="D13245" s="1">
        <v>192.44</v>
      </c>
    </row>
    <row r="13246" spans="1:4" x14ac:dyDescent="0.3">
      <c r="A13246" s="1" t="str">
        <f>"02501218500"</f>
        <v>02501218500</v>
      </c>
      <c r="B13246" s="1" t="str">
        <f>"WALTZ PROPERTIES COLUMBUS LLC"</f>
        <v>WALTZ PROPERTIES COLUMBUS LLC</v>
      </c>
      <c r="C13246" s="1" t="str">
        <f>"TAYLOR STATION COMMERCE CENTER CONDOMINIUMS UNIT 950 E"</f>
        <v>TAYLOR STATION COMMERCE CENTER CONDOMINIUMS UNIT 950 E</v>
      </c>
      <c r="D13246" s="1">
        <v>605.48</v>
      </c>
    </row>
    <row r="13247" spans="1:4" x14ac:dyDescent="0.3">
      <c r="A13247" s="1" t="str">
        <f>"06000516000"</f>
        <v>06000516000</v>
      </c>
      <c r="B13247" s="1" t="str">
        <f>"WAMCO PROPERTIES LLC"</f>
        <v>WAMCO PROPERTIES LLC</v>
      </c>
      <c r="C13247" s="1" t="str">
        <f>"6504 E MAIN ST WEIBERGS ROSE HILL SE PT LOT 1=0.295 ACRE"</f>
        <v>6504 E MAIN ST WEIBERGS ROSE HILL SE PT LOT 1=0.295 ACRE</v>
      </c>
      <c r="D13247" s="1">
        <v>8502.52</v>
      </c>
    </row>
    <row r="13248" spans="1:4" x14ac:dyDescent="0.3">
      <c r="A13248" s="1" t="str">
        <f>"01014552500"</f>
        <v>01014552500</v>
      </c>
      <c r="B13248" s="1" t="str">
        <f>"WAMSHER HEIDI"</f>
        <v>WAMSHER HEIDI</v>
      </c>
      <c r="C13248" s="1" t="str">
        <f>"TOWNE WOOD LOT 39 "</f>
        <v xml:space="preserve">TOWNE WOOD LOT 39 </v>
      </c>
      <c r="D13248" s="1">
        <v>2134.5700000000002</v>
      </c>
    </row>
    <row r="13249" spans="1:4" x14ac:dyDescent="0.3">
      <c r="A13249" s="1" t="str">
        <f>"61021567000"</f>
        <v>61021567000</v>
      </c>
      <c r="B13249" s="1" t="str">
        <f>"WANG HUA"</f>
        <v>WANG HUA</v>
      </c>
      <c r="C13249" s="1" t="str">
        <f>"THE BLUFFS SECTION 6 PART 1 LOT 170"</f>
        <v>THE BLUFFS SECTION 6 PART 1 LOT 170</v>
      </c>
      <c r="D13249" s="1">
        <v>275.10000000000002</v>
      </c>
    </row>
    <row r="13250" spans="1:4" x14ac:dyDescent="0.3">
      <c r="A13250" s="1" t="str">
        <f>"56024472200"</f>
        <v>56024472200</v>
      </c>
      <c r="B13250" s="1" t="str">
        <f>"WANG JOSEPH M TR, WANG PEGGY Y TR"</f>
        <v>WANG JOSEPH M TR, WANG PEGGY Y TR</v>
      </c>
      <c r="C13250" s="1" t="str">
        <f>"SISKIN AVENUE LIMESTONE POINTE SEC 2 PART 1 LOT 49"</f>
        <v>SISKIN AVENUE LIMESTONE POINTE SEC 2 PART 1 LOT 49</v>
      </c>
      <c r="D13250" s="1">
        <v>7348.23</v>
      </c>
    </row>
    <row r="13251" spans="1:4" x14ac:dyDescent="0.3">
      <c r="A13251" s="1" t="str">
        <f>"05000800400"</f>
        <v>05000800400</v>
      </c>
      <c r="B13251" s="1" t="str">
        <f>"WANG KEYU, KUK WUN"</f>
        <v>WANG KEYU, KUK WUN</v>
      </c>
      <c r="C13251" s="1" t="str">
        <f>"BRITTON FARMS DRIVE BRITTON FARMS SEC 4 PHASE 1 LOT 264"</f>
        <v>BRITTON FARMS DRIVE BRITTON FARMS SEC 4 PHASE 1 LOT 264</v>
      </c>
      <c r="D13251" s="1">
        <v>6428.96</v>
      </c>
    </row>
    <row r="13252" spans="1:4" x14ac:dyDescent="0.3">
      <c r="A13252" s="1" t="str">
        <f>"02000266300"</f>
        <v>02000266300</v>
      </c>
      <c r="B13252" s="1" t="str">
        <f>"WANG LIN"</f>
        <v>WANG LIN</v>
      </c>
      <c r="C13252" s="1" t="str">
        <f>"499 N COLUMBIA AVE RUHLS AMD 7 "</f>
        <v xml:space="preserve">499 N COLUMBIA AVE RUHLS AMD 7 </v>
      </c>
      <c r="D13252" s="1">
        <v>17365.080000000002</v>
      </c>
    </row>
    <row r="13253" spans="1:4" x14ac:dyDescent="0.3">
      <c r="A13253" s="1" t="str">
        <f>"07001168200"</f>
        <v>07001168200</v>
      </c>
      <c r="B13253" s="1" t="str">
        <f>"WANG SHIN-I, WANG SHU W"</f>
        <v>WANG SHIN-I, WANG SHU W</v>
      </c>
      <c r="C13253" s="1" t="str">
        <f>"1960 KESWICK DRIVE DUNBAR TERRACE 2 LOT 20"</f>
        <v>1960 KESWICK DRIVE DUNBAR TERRACE 2 LOT 20</v>
      </c>
      <c r="D13253" s="1">
        <v>5754.36</v>
      </c>
    </row>
    <row r="13254" spans="1:4" x14ac:dyDescent="0.3">
      <c r="A13254" s="1" t="str">
        <f>"59020002700"</f>
        <v>59020002700</v>
      </c>
      <c r="B13254" s="1" t="str">
        <f>"WANG YI"</f>
        <v>WANG YI</v>
      </c>
      <c r="C13254" s="1" t="str">
        <f>"7851 MEADOWHAVEN BL MILLCREEK COM CONDO 1ST AMD UNIT 64"</f>
        <v>7851 MEADOWHAVEN BL MILLCREEK COM CONDO 1ST AMD UNIT 64</v>
      </c>
      <c r="D13254" s="1">
        <v>1736.96</v>
      </c>
    </row>
    <row r="13255" spans="1:4" x14ac:dyDescent="0.3">
      <c r="A13255" s="1" t="str">
        <f>"07000065900"</f>
        <v>07000065900</v>
      </c>
      <c r="B13255" s="1" t="str">
        <f>"WANKE JOHN, WANKE ERIN"</f>
        <v>WANKE JOHN, WANKE ERIN</v>
      </c>
      <c r="C13255" s="1" t="str">
        <f>"2101 YORKSHIRE RD UPPER ARLINGTON LOT 18-19 BLK 86"</f>
        <v>2101 YORKSHIRE RD UPPER ARLINGTON LOT 18-19 BLK 86</v>
      </c>
      <c r="D13255" s="1">
        <v>1296.26</v>
      </c>
    </row>
    <row r="13256" spans="1:4" x14ac:dyDescent="0.3">
      <c r="A13256" s="1" t="str">
        <f>"01007154000"</f>
        <v>01007154000</v>
      </c>
      <c r="B13256" s="1" t="str">
        <f>"WANNEMACHER ERIC J, WANNEMACHER KATHERINE F"</f>
        <v>WANNEMACHER ERIC J, WANNEMACHER KATHERINE F</v>
      </c>
      <c r="C13256" s="1" t="str">
        <f>"FALLIS ROAD DOMINION PARK LOT 273"</f>
        <v>FALLIS ROAD DOMINION PARK LOT 273</v>
      </c>
      <c r="D13256" s="1">
        <v>2826.13</v>
      </c>
    </row>
    <row r="13257" spans="1:4" x14ac:dyDescent="0.3">
      <c r="A13257" s="1" t="str">
        <f>"18000042100"</f>
        <v>18000042100</v>
      </c>
      <c r="B13257" s="1" t="str">
        <f>"WARD BOB FAMILY LP"</f>
        <v>WARD BOB FAMILY LP</v>
      </c>
      <c r="C13257" s="1" t="str">
        <f>"CORBETT RD R21 T11 S28 .687 ACRE"</f>
        <v>CORBETT RD R21 T11 S28 .687 ACRE</v>
      </c>
      <c r="D13257" s="1">
        <v>3075.27</v>
      </c>
    </row>
    <row r="13258" spans="1:4" x14ac:dyDescent="0.3">
      <c r="A13258" s="1" t="str">
        <f>"05000265100"</f>
        <v>05000265100</v>
      </c>
      <c r="B13258" s="1" t="str">
        <f>"WARD CAROLYN S"</f>
        <v>WARD CAROLYN S</v>
      </c>
      <c r="C13258" s="1" t="str">
        <f>"4508 PAXTON DRIVE BEACON 2ND LOT 224"</f>
        <v>4508 PAXTON DRIVE BEACON 2ND LOT 224</v>
      </c>
      <c r="D13258" s="1">
        <v>2117.6799999999998</v>
      </c>
    </row>
    <row r="13259" spans="1:4" x14ac:dyDescent="0.3">
      <c r="A13259" s="1" t="str">
        <f>"01009078300"</f>
        <v>01009078300</v>
      </c>
      <c r="B13259" s="1" t="str">
        <f>"WARD DASHAWN A"</f>
        <v>WARD DASHAWN A</v>
      </c>
      <c r="C13259" s="1" t="str">
        <f>"451 RUMSEY RD ACRES .176 R22T 4 S 10"</f>
        <v>451 RUMSEY RD ACRES .176 R22T 4 S 10</v>
      </c>
      <c r="D13259" s="1">
        <v>866.69</v>
      </c>
    </row>
    <row r="13260" spans="1:4" x14ac:dyDescent="0.3">
      <c r="A13260" s="1" t="str">
        <f>"15200136400"</f>
        <v>15200136400</v>
      </c>
      <c r="B13260" s="1" t="str">
        <f>"WARD DONNA"</f>
        <v>WARD DONNA</v>
      </c>
      <c r="C13260" s="1" t="str">
        <f>"POPLAR STREET BRIDLEWOOD NO II LOT 75"</f>
        <v>POPLAR STREET BRIDLEWOOD NO II LOT 75</v>
      </c>
      <c r="D13260" s="1">
        <v>3146.73</v>
      </c>
    </row>
    <row r="13261" spans="1:4" x14ac:dyDescent="0.3">
      <c r="A13261" s="1" t="str">
        <f>"01016697900"</f>
        <v>01016697900</v>
      </c>
      <c r="B13261" s="1" t="str">
        <f>"WARD ELAINE M"</f>
        <v>WARD ELAINE M</v>
      </c>
      <c r="C13261" s="1" t="str">
        <f>"1801 WOODLAND AVE AMVET HOMESTEAD 2 LOT 21 BLK O"</f>
        <v>1801 WOODLAND AVE AMVET HOMESTEAD 2 LOT 21 BLK O</v>
      </c>
      <c r="D13261" s="1">
        <v>395.38</v>
      </c>
    </row>
    <row r="13262" spans="1:4" x14ac:dyDescent="0.3">
      <c r="A13262" s="1" t="str">
        <f>"59021876500"</f>
        <v>59021876500</v>
      </c>
      <c r="B13262" s="1" t="str">
        <f>"WARD GEORGE A TTEE, SKELTON MICHAEL K JR TTEE"</f>
        <v>WARD GEORGE A TTEE, SKELTON MICHAEL K JR TTEE</v>
      </c>
      <c r="C13262" s="1" t="str">
        <f>"3846 OAKBRIDGE LANE NORTHBRIDGE VILLAGE CONDO 5AMD UNIT 23-2"</f>
        <v>3846 OAKBRIDGE LANE NORTHBRIDGE VILLAGE CONDO 5AMD UNIT 23-2</v>
      </c>
      <c r="D13262" s="1">
        <v>2004.59</v>
      </c>
    </row>
    <row r="13263" spans="1:4" x14ac:dyDescent="0.3">
      <c r="A13263" s="1" t="str">
        <f>"08000816700"</f>
        <v>08000816700</v>
      </c>
      <c r="B13263" s="1" t="str">
        <f>"WARD JULIANNE C"</f>
        <v>WARD JULIANNE C</v>
      </c>
      <c r="C13263" s="1" t="str">
        <f>"1177 LAUREL DR TWELVE TREES 3 PH 2 LOT 192"</f>
        <v>1177 LAUREL DR TWELVE TREES 3 PH 2 LOT 192</v>
      </c>
      <c r="D13263" s="1">
        <v>488.59</v>
      </c>
    </row>
    <row r="13264" spans="1:4" x14ac:dyDescent="0.3">
      <c r="A13264" s="1" t="str">
        <f>"01005396900"</f>
        <v>01005396900</v>
      </c>
      <c r="B13264" s="1" t="str">
        <f>"WARD MADELINE G, ALLEN ALBERT"</f>
        <v>WARD MADELINE G, ALLEN ALBERT</v>
      </c>
      <c r="C13264" s="1" t="str">
        <f>"GLENOLA HTS ALL LOT 132 &amp; 11.45'TRI SW COR LOT 133"</f>
        <v>GLENOLA HTS ALL LOT 132 &amp; 11.45'TRI SW COR LOT 133</v>
      </c>
      <c r="D13264" s="1">
        <v>3044.51</v>
      </c>
    </row>
    <row r="13265" spans="1:4" x14ac:dyDescent="0.3">
      <c r="A13265" s="1" t="str">
        <f>"05000042900"</f>
        <v>05000042900</v>
      </c>
      <c r="B13265" s="1" t="str">
        <f>"WARD MARILYN M"</f>
        <v>WARD MARILYN M</v>
      </c>
      <c r="C13265" s="1" t="str">
        <f>"3971 LINDA ROAD CONNOR-MC DAVID LOT 19"</f>
        <v>3971 LINDA ROAD CONNOR-MC DAVID LOT 19</v>
      </c>
      <c r="D13265" s="1">
        <v>2764.35</v>
      </c>
    </row>
    <row r="13266" spans="1:4" x14ac:dyDescent="0.3">
      <c r="A13266" s="1" t="str">
        <f>"04000190900"</f>
        <v>04000190900</v>
      </c>
      <c r="B13266" s="1" t="str">
        <f>"WARD PEARL"</f>
        <v>WARD PEARL</v>
      </c>
      <c r="C13266" s="1" t="str">
        <f>"3047 DENNIS LN JACKSON HOMES LOT 149"</f>
        <v>3047 DENNIS LN JACKSON HOMES LOT 149</v>
      </c>
      <c r="D13266" s="1">
        <v>1949.32</v>
      </c>
    </row>
    <row r="13267" spans="1:4" x14ac:dyDescent="0.3">
      <c r="A13267" s="1" t="str">
        <f>"01005921300"</f>
        <v>01005921300</v>
      </c>
      <c r="B13267" s="1" t="str">
        <f>"WARD TONYA"</f>
        <v>WARD TONYA</v>
      </c>
      <c r="C13267" s="1" t="str">
        <f>"1593 MINNESOTA AVE LINDEN LOT 686-7"</f>
        <v>1593 MINNESOTA AVE LINDEN LOT 686-7</v>
      </c>
      <c r="D13267" s="1">
        <v>439.9</v>
      </c>
    </row>
    <row r="13268" spans="1:4" x14ac:dyDescent="0.3">
      <c r="A13268" s="1" t="str">
        <f>"01029121800"</f>
        <v>01029121800</v>
      </c>
      <c r="B13268" s="1" t="str">
        <f>"WARD WILLIAM R, WARD JANE D"</f>
        <v>WARD WILLIAM R, WARD JANE D</v>
      </c>
      <c r="C13268" s="1" t="str">
        <f>"THE WOODS AT HAYDEN RUN CONDOMINIUM 19TH AMD UNIT 26-5745"</f>
        <v>THE WOODS AT HAYDEN RUN CONDOMINIUM 19TH AMD UNIT 26-5745</v>
      </c>
      <c r="D13268" s="1">
        <v>2817.29</v>
      </c>
    </row>
    <row r="13269" spans="1:4" x14ac:dyDescent="0.3">
      <c r="A13269" s="1" t="str">
        <f>"18000064200"</f>
        <v>18000064200</v>
      </c>
      <c r="B13269" s="1" t="str">
        <f>"WARD-BRIGHT DIANA"</f>
        <v>WARD-BRIGHT DIANA</v>
      </c>
      <c r="C13269" s="1" t="str">
        <f>"5141 BIXFORD AVE SE &amp; SW QR .462 ACR "</f>
        <v xml:space="preserve">5141 BIXFORD AVE SE &amp; SW QR .462 ACR </v>
      </c>
      <c r="D13269" s="1">
        <v>2093.25</v>
      </c>
    </row>
    <row r="13270" spans="1:4" x14ac:dyDescent="0.3">
      <c r="A13270" s="1" t="str">
        <f>"60022958300"</f>
        <v>60022958300</v>
      </c>
      <c r="B13270" s="1" t="str">
        <f>"WARDHERE FADUMO, MOHAMUD ABDIAZIZ SHUCEEB"</f>
        <v>WARDHERE FADUMO, MOHAMUD ABDIAZIZ SHUCEEB</v>
      </c>
      <c r="C13270" s="1" t="str">
        <f>"WESTERVILLE RUN DR WESTERVILLE RUN LOT 16"</f>
        <v>WESTERVILLE RUN DR WESTERVILLE RUN LOT 16</v>
      </c>
      <c r="D13270" s="1">
        <v>3138.99</v>
      </c>
    </row>
    <row r="13271" spans="1:4" x14ac:dyDescent="0.3">
      <c r="A13271" s="1" t="str">
        <f>"01012566500"</f>
        <v>01012566500</v>
      </c>
      <c r="B13271" s="1" t="str">
        <f>"WARE BARBARA E"</f>
        <v>WARE BARBARA E</v>
      </c>
      <c r="C13271" s="1" t="str">
        <f>"NORTHERN PINE PLACE BLENDON PARK LOT 16"</f>
        <v>NORTHERN PINE PLACE BLENDON PARK LOT 16</v>
      </c>
      <c r="D13271" s="1">
        <v>211.16</v>
      </c>
    </row>
    <row r="13272" spans="1:4" x14ac:dyDescent="0.3">
      <c r="A13272" s="1" t="str">
        <f>"01008542600"</f>
        <v>01008542600</v>
      </c>
      <c r="B13272" s="1" t="str">
        <f>"WARE CHERYL L"</f>
        <v>WARE CHERYL L</v>
      </c>
      <c r="C13272" s="1" t="str">
        <f>"591 CHATHAM RD NORTHRIDGE INDIANOLA LOT 42"</f>
        <v>591 CHATHAM RD NORTHRIDGE INDIANOLA LOT 42</v>
      </c>
      <c r="D13272" s="1">
        <v>270.33999999999997</v>
      </c>
    </row>
    <row r="13273" spans="1:4" x14ac:dyDescent="0.3">
      <c r="A13273" s="1" t="str">
        <f>"05000264100"</f>
        <v>05000264100</v>
      </c>
      <c r="B13273" s="1" t="str">
        <f>"WARE MICHAEL T"</f>
        <v>WARE MICHAEL T</v>
      </c>
      <c r="C13273" s="1" t="str">
        <f>"3445 TORRINGTON ST BEACON 2ND LOT 213"</f>
        <v>3445 TORRINGTON ST BEACON 2ND LOT 213</v>
      </c>
      <c r="D13273" s="1">
        <v>2974.46</v>
      </c>
    </row>
    <row r="13274" spans="1:4" x14ac:dyDescent="0.3">
      <c r="A13274" s="1" t="str">
        <f>"01017117900"</f>
        <v>01017117900</v>
      </c>
      <c r="B13274" s="1" t="str">
        <f>"WARE ROBERT N"</f>
        <v>WARE ROBERT N</v>
      </c>
      <c r="C13274" s="1" t="str">
        <f>"CHATEAU MORSE CONDO LOT 3184 "</f>
        <v xml:space="preserve">CHATEAU MORSE CONDO LOT 3184 </v>
      </c>
      <c r="D13274" s="1">
        <v>461.29</v>
      </c>
    </row>
    <row r="13275" spans="1:4" x14ac:dyDescent="0.3">
      <c r="A13275" s="1" t="str">
        <f>"24100117000"</f>
        <v>24100117000</v>
      </c>
      <c r="B13275" s="1" t="str">
        <f>"WAREHAM KENT J, WAREHAM MICHELLE L"</f>
        <v>WAREHAM KENT J, WAREHAM MICHELLE L</v>
      </c>
      <c r="C13275" s="1" t="str">
        <f>"MAJOR PLACE WESTPOINT NORTH LOT 26"</f>
        <v>MAJOR PLACE WESTPOINT NORTH LOT 26</v>
      </c>
      <c r="D13275" s="1">
        <v>7324.15</v>
      </c>
    </row>
    <row r="13276" spans="1:4" x14ac:dyDescent="0.3">
      <c r="A13276" s="1" t="str">
        <f>"52028369300"</f>
        <v>52028369300</v>
      </c>
      <c r="B13276" s="1" t="str">
        <f>"WARFIELD KEYA J"</f>
        <v>WARFIELD KEYA J</v>
      </c>
      <c r="C13276" s="1" t="str">
        <f>"330 GIOVANNA AVENUE       LAKES AT TAYLOR STATION   SECTION 2 PART 1 LOT 137 "</f>
        <v xml:space="preserve">330 GIOVANNA AVENUE       LAKES AT TAYLOR STATION   SECTION 2 PART 1 LOT 137 </v>
      </c>
      <c r="D13276" s="1">
        <v>6256.54</v>
      </c>
    </row>
    <row r="13277" spans="1:4" x14ac:dyDescent="0.3">
      <c r="A13277" s="1" t="str">
        <f>"02500890000"</f>
        <v>02500890000</v>
      </c>
      <c r="B13277" s="1" t="str">
        <f>"WARING WAY LLC"</f>
        <v>WARING WAY LLC</v>
      </c>
      <c r="C13277" s="1" t="str">
        <f>"479 WARING WAY WOODSIDE GREEN SOUTH SECTION 2 LOT 121"</f>
        <v>479 WARING WAY WOODSIDE GREEN SOUTH SECTION 2 LOT 121</v>
      </c>
      <c r="D13277" s="1">
        <v>8548.4699999999993</v>
      </c>
    </row>
    <row r="13278" spans="1:4" x14ac:dyDescent="0.3">
      <c r="A13278" s="1" t="str">
        <f>"02501311000"</f>
        <v>02501311000</v>
      </c>
      <c r="B13278" s="1" t="str">
        <f>"WARING WAY LLC"</f>
        <v>WARING WAY LLC</v>
      </c>
      <c r="C13278" s="1" t="str">
        <f>"GAHANNA GROVE CONDOMINIUM 2ND AMD BLDG 9 UNIT 902"</f>
        <v>GAHANNA GROVE CONDOMINIUM 2ND AMD BLDG 9 UNIT 902</v>
      </c>
      <c r="D13278" s="1">
        <v>4460.59</v>
      </c>
    </row>
    <row r="13279" spans="1:4" x14ac:dyDescent="0.3">
      <c r="A13279" s="1" t="str">
        <f>"61020577800"</f>
        <v>61020577800</v>
      </c>
      <c r="B13279" s="1" t="str">
        <f>"WARING WAY LLC"</f>
        <v>WARING WAY LLC</v>
      </c>
      <c r="C13279" s="1" t="str">
        <f>"WORTHINGTON WOODS WEST CONDO #9 1ST AMD UNIT 27-E"</f>
        <v>WORTHINGTON WOODS WEST CONDO #9 1ST AMD UNIT 27-E</v>
      </c>
      <c r="D13279" s="1">
        <v>4147.21</v>
      </c>
    </row>
    <row r="13280" spans="1:4" x14ac:dyDescent="0.3">
      <c r="A13280" s="1" t="str">
        <f>"60019762100"</f>
        <v>60019762100</v>
      </c>
      <c r="B13280" s="1" t="str">
        <f>"WARING WAY LLC"</f>
        <v>WARING WAY LLC</v>
      </c>
      <c r="C13280" s="1" t="str">
        <f>"BECKENHAM CT DARYNGTON PL CONDO 3 UNIT 5060"</f>
        <v>BECKENHAM CT DARYNGTON PL CONDO 3 UNIT 5060</v>
      </c>
      <c r="D13280" s="1">
        <v>2295.4699999999998</v>
      </c>
    </row>
    <row r="13281" spans="1:4" x14ac:dyDescent="0.3">
      <c r="A13281" s="1" t="str">
        <f>"09000399700"</f>
        <v>09000399700</v>
      </c>
      <c r="B13281" s="1" t="str">
        <f>"WARLING NATALIE N"</f>
        <v>WARLING NATALIE N</v>
      </c>
      <c r="C13281" s="1" t="str">
        <f>"4407 ETNA ST E1/2 LOT 201-202-203 GLENCOE LOT 201-2-3"</f>
        <v>4407 ETNA ST E1/2 LOT 201-202-203 GLENCOE LOT 201-2-3</v>
      </c>
      <c r="D13281" s="1">
        <v>103.85</v>
      </c>
    </row>
    <row r="13282" spans="1:4" x14ac:dyDescent="0.3">
      <c r="A13282" s="1" t="str">
        <f>"07001149500"</f>
        <v>07001149500</v>
      </c>
      <c r="B13282" s="1" t="str">
        <f>"WARMAN GENE L, WARMAN SANDRA"</f>
        <v>WARMAN GENE L, WARMAN SANDRA</v>
      </c>
      <c r="C13282" s="1" t="str">
        <f>"1320 MARLYN DRIVE STRATFORD PLACE LOT 26"</f>
        <v>1320 MARLYN DRIVE STRATFORD PLACE LOT 26</v>
      </c>
      <c r="D13282" s="1">
        <v>775.48</v>
      </c>
    </row>
    <row r="13283" spans="1:4" x14ac:dyDescent="0.3">
      <c r="A13283" s="1" t="str">
        <f>"61025652600"</f>
        <v>61025652600</v>
      </c>
      <c r="B13283" s="1" t="str">
        <f>"WARNER MELINDA K"</f>
        <v>WARNER MELINDA K</v>
      </c>
      <c r="C13283" s="1" t="str">
        <f>"ANDREW HILL PLACE MAPLE HILL RETREAT LOT 16"</f>
        <v>ANDREW HILL PLACE MAPLE HILL RETREAT LOT 16</v>
      </c>
      <c r="D13283" s="1">
        <v>7837.28</v>
      </c>
    </row>
    <row r="13284" spans="1:4" x14ac:dyDescent="0.3">
      <c r="A13284" s="1" t="str">
        <f>"52026721700"</f>
        <v>52026721700</v>
      </c>
      <c r="B13284" s="1" t="str">
        <f>"WARREN DOLORES A"</f>
        <v>WARREN DOLORES A</v>
      </c>
      <c r="C13284" s="1" t="str">
        <f>"THE VILLAS AT BROADMERE CONDOMINIUM 2ND AMD BLDG 9 UNIT 9-106"</f>
        <v>THE VILLAS AT BROADMERE CONDOMINIUM 2ND AMD BLDG 9 UNIT 9-106</v>
      </c>
      <c r="D13284" s="1">
        <v>1794.11</v>
      </c>
    </row>
    <row r="13285" spans="1:4" x14ac:dyDescent="0.3">
      <c r="A13285" s="1" t="str">
        <f>"18400067000"</f>
        <v>18400067000</v>
      </c>
      <c r="B13285" s="1" t="str">
        <f>"WARREN SHAWN R, WARREN DONNA L, WARREN ROBERT"</f>
        <v>WARREN SHAWN R, WARREN DONNA L, WARREN ROBERT</v>
      </c>
      <c r="C13285" s="1" t="str">
        <f>"FAIRFIELD ST ALL 7 &amp; W 1/2 8 N WINCHESTER 7-8"</f>
        <v>FAIRFIELD ST ALL 7 &amp; W 1/2 8 N WINCHESTER 7-8</v>
      </c>
      <c r="D13285" s="1">
        <v>2617.6</v>
      </c>
    </row>
    <row r="13286" spans="1:4" x14ac:dyDescent="0.3">
      <c r="A13286" s="1" t="str">
        <f>"01007813500"</f>
        <v>01007813500</v>
      </c>
      <c r="B13286" s="1" t="str">
        <f>"WARREN SUSANNA K"</f>
        <v>WARREN SUSANNA K</v>
      </c>
      <c r="C13286" s="1" t="str">
        <f>"718 S WAYNE AVE WESTLAND EXTENSION LOT 160"</f>
        <v>718 S WAYNE AVE WESTLAND EXTENSION LOT 160</v>
      </c>
      <c r="D13286" s="1">
        <v>827.52</v>
      </c>
    </row>
    <row r="13287" spans="1:4" x14ac:dyDescent="0.3">
      <c r="A13287" s="1" t="str">
        <f>"01001085300"</f>
        <v>01001085300</v>
      </c>
      <c r="B13287" s="1" t="str">
        <f>"WARRIOR REALTY COMPANY LLC"</f>
        <v>WARRIOR REALTY COMPANY LLC</v>
      </c>
      <c r="C13287" s="1" t="str">
        <f>"860 E LONG ST EAST GROVE LOT 42"</f>
        <v>860 E LONG ST EAST GROVE LOT 42</v>
      </c>
      <c r="D13287" s="1">
        <v>693.24</v>
      </c>
    </row>
    <row r="13288" spans="1:4" x14ac:dyDescent="0.3">
      <c r="A13288" s="1" t="str">
        <f>"57023344300"</f>
        <v>57023344300</v>
      </c>
      <c r="B13288" s="1" t="str">
        <f>"WARSAME IBADA TR"</f>
        <v>WARSAME IBADA TR</v>
      </c>
      <c r="C13288" s="1" t="str">
        <f>"ALBROOK DRIVE WESTBROOK VILLAGE SEC 1 PART 1 LOT 2"</f>
        <v>ALBROOK DRIVE WESTBROOK VILLAGE SEC 1 PART 1 LOT 2</v>
      </c>
      <c r="D13288" s="1">
        <v>176.83</v>
      </c>
    </row>
    <row r="13289" spans="1:4" x14ac:dyDescent="0.3">
      <c r="A13289" s="1" t="str">
        <f>"07000167800"</f>
        <v>07000167800</v>
      </c>
      <c r="B13289" s="1" t="str">
        <f>"WARTHMAN ARLISS J"</f>
        <v>WARTHMAN ARLISS J</v>
      </c>
      <c r="C13289" s="1" t="str">
        <f>"1680 GRENOBLE RD UNIVERSITY LOT 10 BLK 9"</f>
        <v>1680 GRENOBLE RD UNIVERSITY LOT 10 BLK 9</v>
      </c>
      <c r="D13289" s="1">
        <v>531.04</v>
      </c>
    </row>
    <row r="13290" spans="1:4" x14ac:dyDescent="0.3">
      <c r="A13290" s="1" t="str">
        <f>"57016762500"</f>
        <v>57016762500</v>
      </c>
      <c r="B13290" s="1" t="str">
        <f>"WASHBURN CHRISTOPHER T"</f>
        <v>WASHBURN CHRISTOPHER T</v>
      </c>
      <c r="C13290" s="1" t="str">
        <f>"GREENE COUNTRIE GREENDALE DRIVE LOT 79"</f>
        <v>GREENE COUNTRIE GREENDALE DRIVE LOT 79</v>
      </c>
      <c r="D13290" s="1">
        <v>2280.25</v>
      </c>
    </row>
    <row r="13291" spans="1:4" x14ac:dyDescent="0.3">
      <c r="A13291" s="1" t="str">
        <f>"01013526600"</f>
        <v>01013526600</v>
      </c>
      <c r="B13291" s="1" t="str">
        <f>"WASHINGTON ALLISON F"</f>
        <v>WASHINGTON ALLISON F</v>
      </c>
      <c r="C13291" s="1" t="str">
        <f>"ROXBURY RD RESUB PT OF KENSINGTON LOT 36"</f>
        <v>ROXBURY RD RESUB PT OF KENSINGTON LOT 36</v>
      </c>
      <c r="D13291" s="1">
        <v>1451.87</v>
      </c>
    </row>
    <row r="13292" spans="1:4" x14ac:dyDescent="0.3">
      <c r="A13292" s="1" t="str">
        <f>"01003231100"</f>
        <v>01003231100</v>
      </c>
      <c r="B13292" s="1" t="str">
        <f>"WASHINGTON JAMES"</f>
        <v>WASHINGTON JAMES</v>
      </c>
      <c r="C13292" s="1" t="str">
        <f>"OHIO AVE ROSE HILL LOT 46"</f>
        <v>OHIO AVE ROSE HILL LOT 46</v>
      </c>
      <c r="D13292" s="1">
        <v>4485.12</v>
      </c>
    </row>
    <row r="13293" spans="1:4" x14ac:dyDescent="0.3">
      <c r="A13293" s="1" t="str">
        <f>"01004993900"</f>
        <v>01004993900</v>
      </c>
      <c r="B13293" s="1" t="str">
        <f>"WASHINGTON JAMES"</f>
        <v>WASHINGTON JAMES</v>
      </c>
      <c r="C13293" s="1" t="str">
        <f>"708 ANN ST COR ANN&amp; SWAYNE SWAYNE LOT 173"</f>
        <v>708 ANN ST COR ANN&amp; SWAYNE SWAYNE LOT 173</v>
      </c>
      <c r="D13293" s="1">
        <v>3622.31</v>
      </c>
    </row>
    <row r="13294" spans="1:4" x14ac:dyDescent="0.3">
      <c r="A13294" s="1" t="str">
        <f>"01002307300"</f>
        <v>01002307300</v>
      </c>
      <c r="B13294" s="1" t="str">
        <f>"WASHINGTON JAMES"</f>
        <v>WASHINGTON JAMES</v>
      </c>
      <c r="C13294" s="1" t="str">
        <f>"935 HEYL AVE BLEILE LOTS 180 &amp; 181"</f>
        <v>935 HEYL AVE BLEILE LOTS 180 &amp; 181</v>
      </c>
      <c r="D13294" s="1">
        <v>3158.25</v>
      </c>
    </row>
    <row r="13295" spans="1:4" x14ac:dyDescent="0.3">
      <c r="A13295" s="1" t="str">
        <f>"01001744400"</f>
        <v>01001744400</v>
      </c>
      <c r="B13295" s="1" t="str">
        <f>"WASHINGTON JAMES"</f>
        <v>WASHINGTON JAMES</v>
      </c>
      <c r="C13295" s="1" t="str">
        <f>"631 E 4TH AVE E1/2OF 75&amp;25FT WS OF 76 M KINGRY HRS LT 75-76"</f>
        <v>631 E 4TH AVE E1/2OF 75&amp;25FT WS OF 76 M KINGRY HRS LT 75-76</v>
      </c>
      <c r="D13295" s="1">
        <v>3501.43</v>
      </c>
    </row>
    <row r="13296" spans="1:4" x14ac:dyDescent="0.3">
      <c r="A13296" s="1" t="str">
        <f>"01003022200"</f>
        <v>01003022200</v>
      </c>
      <c r="B13296" s="1" t="str">
        <f>"WASHINGTON JAMES H"</f>
        <v>WASHINGTON JAMES H</v>
      </c>
      <c r="C13296" s="1" t="str">
        <f>"1147 49 ATCHESON ST HILDRETH LOT 40"</f>
        <v>1147 49 ATCHESON ST HILDRETH LOT 40</v>
      </c>
      <c r="D13296" s="1">
        <v>4261.58</v>
      </c>
    </row>
    <row r="13297" spans="1:4" x14ac:dyDescent="0.3">
      <c r="A13297" s="1" t="str">
        <f>"01000798500"</f>
        <v>01000798500</v>
      </c>
      <c r="B13297" s="1" t="str">
        <f>"WASHINGTON JAMES H"</f>
        <v>WASHINGTON JAMES H</v>
      </c>
      <c r="C13297" s="1" t="str">
        <f>"699 FRANKLIN AVE ROBBINS 37.5'X95' SUB 1"</f>
        <v>699 FRANKLIN AVE ROBBINS 37.5'X95' SUB 1</v>
      </c>
      <c r="D13297" s="1">
        <v>5345.61</v>
      </c>
    </row>
    <row r="13298" spans="1:4" x14ac:dyDescent="0.3">
      <c r="A13298" s="1" t="str">
        <f>"01009232300"</f>
        <v>01009232300</v>
      </c>
      <c r="B13298" s="1" t="str">
        <f>"WASHINGTON MAURICE, WASHINGTON WILHELMINA"</f>
        <v>WASHINGTON MAURICE, WASHINGTON WILHELMINA</v>
      </c>
      <c r="C13298" s="1" t="str">
        <f>"3161 E 13TH AVENUE CASSADY PEAKE MEADOW LOT 82"</f>
        <v>3161 E 13TH AVENUE CASSADY PEAKE MEADOW LOT 82</v>
      </c>
      <c r="D13298" s="1">
        <v>591.07000000000005</v>
      </c>
    </row>
    <row r="13299" spans="1:4" x14ac:dyDescent="0.3">
      <c r="A13299" s="1" t="str">
        <f>"07001236700"</f>
        <v>07001236700</v>
      </c>
      <c r="B13299" s="1" t="str">
        <f>"WASHINGTON SQUARE NW APARTMENTS LLC"</f>
        <v>WASHINGTON SQUARE NW APARTMENTS LLC</v>
      </c>
      <c r="C13299" s="1" t="str">
        <f>"4881 DIERKER RD DIERKER ADDITION LOT 3"</f>
        <v>4881 DIERKER RD DIERKER ADDITION LOT 3</v>
      </c>
      <c r="D13299" s="1">
        <v>12291.8</v>
      </c>
    </row>
    <row r="13300" spans="1:4" x14ac:dyDescent="0.3">
      <c r="A13300" s="1" t="str">
        <f>"01008777000"</f>
        <v>01008777000</v>
      </c>
      <c r="B13300" s="1" t="str">
        <f>"WASSERSTROM ARTHUR HERBERT TR"</f>
        <v>WASSERSTROM ARTHUR HERBERT TR</v>
      </c>
      <c r="C13300" s="1" t="str">
        <f>"BROOKWOOD RD BERWICK LOT 250-251"</f>
        <v>BROOKWOOD RD BERWICK LOT 250-251</v>
      </c>
      <c r="D13300" s="1">
        <v>295.32</v>
      </c>
    </row>
    <row r="13301" spans="1:4" x14ac:dyDescent="0.3">
      <c r="A13301" s="1" t="str">
        <f>"57024105200"</f>
        <v>57024105200</v>
      </c>
      <c r="B13301" s="1" t="str">
        <f>"WATERCUTTER WILLIAM A, WATERCUTTER ELIZABETH L"</f>
        <v>WATERCUTTER WILLIAM A, WATERCUTTER ELIZABETH L</v>
      </c>
      <c r="C13301" s="1" t="str">
        <f>"CHADSTERZ DRIVE SOUTHFIELD VILLAGE SECTION 4 LOT 280"</f>
        <v>CHADSTERZ DRIVE SOUTHFIELD VILLAGE SECTION 4 LOT 280</v>
      </c>
      <c r="D13301" s="1">
        <v>147.74</v>
      </c>
    </row>
    <row r="13302" spans="1:4" x14ac:dyDescent="0.3">
      <c r="A13302" s="1" t="str">
        <f>"01013096200"</f>
        <v>01013096200</v>
      </c>
      <c r="B13302" s="1" t="str">
        <f>"WATERS CLAUDETTE"</f>
        <v>WATERS CLAUDETTE</v>
      </c>
      <c r="C13302" s="1" t="str">
        <f>"WICK COURT KEYSQUARE LOT 76"</f>
        <v>WICK COURT KEYSQUARE LOT 76</v>
      </c>
      <c r="D13302" s="1">
        <v>112.66</v>
      </c>
    </row>
    <row r="13303" spans="1:4" x14ac:dyDescent="0.3">
      <c r="A13303" s="1" t="str">
        <f>"01013856100"</f>
        <v>01013856100</v>
      </c>
      <c r="B13303" s="1" t="str">
        <f>"WATERS HARRY A JR"</f>
        <v>WATERS HARRY A JR</v>
      </c>
      <c r="C13303" s="1" t="str">
        <f>"BARNETT COURT E HAVILAND 2 LOT 122"</f>
        <v>BARNETT COURT E HAVILAND 2 LOT 122</v>
      </c>
      <c r="D13303" s="1">
        <v>1794.39</v>
      </c>
    </row>
    <row r="13304" spans="1:4" x14ac:dyDescent="0.3">
      <c r="A13304" s="1" t="str">
        <f>"61019313000"</f>
        <v>61019313000</v>
      </c>
      <c r="B13304" s="1" t="str">
        <f>"WATERS JAMES S"</f>
        <v>WATERS JAMES S</v>
      </c>
      <c r="C13304" s="1" t="str">
        <f>"PARK PLACE DR PARK PLACE LOT 49"</f>
        <v>PARK PLACE DR PARK PLACE LOT 49</v>
      </c>
      <c r="D13304" s="1">
        <v>2501.08</v>
      </c>
    </row>
    <row r="13305" spans="1:4" x14ac:dyDescent="0.3">
      <c r="A13305" s="1" t="str">
        <f>"01002335600"</f>
        <v>01002335600</v>
      </c>
      <c r="B13305" s="1" t="str">
        <f>"WATKINS CANDICE L"</f>
        <v>WATKINS CANDICE L</v>
      </c>
      <c r="C13305" s="1" t="str">
        <f>"923 FRANKLIN AVE MITCHELL WATSON&amp; MORRISON LOTS 56-7"</f>
        <v>923 FRANKLIN AVE MITCHELL WATSON&amp; MORRISON LOTS 56-7</v>
      </c>
      <c r="D13305" s="1">
        <v>2465.89</v>
      </c>
    </row>
    <row r="13306" spans="1:4" x14ac:dyDescent="0.3">
      <c r="A13306" s="1" t="str">
        <f>"01013348700"</f>
        <v>01013348700</v>
      </c>
      <c r="B13306" s="1" t="str">
        <f>"WATKINS DELISA A"</f>
        <v>WATKINS DELISA A</v>
      </c>
      <c r="C13306" s="1" t="str">
        <f>"VENICE DR SOUTHFIELD 3 LOT 386"</f>
        <v>VENICE DR SOUTHFIELD 3 LOT 386</v>
      </c>
      <c r="D13306" s="1">
        <v>2607.48</v>
      </c>
    </row>
    <row r="13307" spans="1:4" x14ac:dyDescent="0.3">
      <c r="A13307" s="1" t="str">
        <f>"23000268600"</f>
        <v>23000268600</v>
      </c>
      <c r="B13307" s="1" t="str">
        <f>"WATKINS DONALD"</f>
        <v>WATKINS DONALD</v>
      </c>
      <c r="C13307" s="1" t="str">
        <f>"LONDON GROVEPORT RD ENTRY 978 1.930 ACRE"</f>
        <v>LONDON GROVEPORT RD ENTRY 978 1.930 ACRE</v>
      </c>
      <c r="D13307" s="1">
        <v>1084.3399999999999</v>
      </c>
    </row>
    <row r="13308" spans="1:4" x14ac:dyDescent="0.3">
      <c r="A13308" s="1" t="str">
        <f>"01009964400"</f>
        <v>01009964400</v>
      </c>
      <c r="B13308" s="1" t="str">
        <f>"WATKINS DONALD, WATKINS KIM M"</f>
        <v>WATKINS DONALD, WATKINS KIM M</v>
      </c>
      <c r="C13308" s="1" t="str">
        <f>"BEECHWOOD LOT 172 "</f>
        <v xml:space="preserve">BEECHWOOD LOT 172 </v>
      </c>
      <c r="D13308" s="1">
        <v>158.30000000000001</v>
      </c>
    </row>
    <row r="13309" spans="1:4" x14ac:dyDescent="0.3">
      <c r="A13309" s="1" t="str">
        <f>"18000057400"</f>
        <v>18000057400</v>
      </c>
      <c r="B13309" s="1" t="str">
        <f>"WATKINS EARL D"</f>
        <v>WATKINS EARL D</v>
      </c>
      <c r="C13309" s="1" t="str">
        <f>"BRAUN RD R21 T10 S9 12.314 ACRES"</f>
        <v>BRAUN RD R21 T10 S9 12.314 ACRES</v>
      </c>
      <c r="D13309" s="1">
        <v>470.38</v>
      </c>
    </row>
    <row r="13310" spans="1:4" x14ac:dyDescent="0.3">
      <c r="A13310" s="1" t="str">
        <f>"18000012800"</f>
        <v>18000012800</v>
      </c>
      <c r="B13310" s="1" t="str">
        <f>"WATKINS EARL D"</f>
        <v>WATKINS EARL D</v>
      </c>
      <c r="C13310" s="1" t="str">
        <f>"BRAUN RD GROOM TRACT 0.8178 ACRE"</f>
        <v>BRAUN RD GROOM TRACT 0.8178 ACRE</v>
      </c>
      <c r="D13310" s="1">
        <v>4.09</v>
      </c>
    </row>
    <row r="13311" spans="1:4" x14ac:dyDescent="0.3">
      <c r="A13311" s="1" t="str">
        <f>"18000538400"</f>
        <v>18000538400</v>
      </c>
      <c r="B13311" s="1" t="str">
        <f>"WATKINS EARL D"</f>
        <v>WATKINS EARL D</v>
      </c>
      <c r="C13311" s="1" t="str">
        <f>"BRAUN ROAD R21 T10 S9 11.3660 ACRES"</f>
        <v>BRAUN ROAD R21 T10 S9 11.3660 ACRES</v>
      </c>
      <c r="D13311" s="1">
        <v>907.43</v>
      </c>
    </row>
    <row r="13312" spans="1:4" x14ac:dyDescent="0.3">
      <c r="A13312" s="1" t="str">
        <f>"01014949300"</f>
        <v>01014949300</v>
      </c>
      <c r="B13312" s="1" t="str">
        <f>"WATKINS HARVEY"</f>
        <v>WATKINS HARVEY</v>
      </c>
      <c r="C13312" s="1" t="str">
        <f>"NEW VILLAGE RD LEXINGTON SECTION #1 LOT 55"</f>
        <v>NEW VILLAGE RD LEXINGTON SECTION #1 LOT 55</v>
      </c>
      <c r="D13312" s="1">
        <v>4121.21</v>
      </c>
    </row>
    <row r="13313" spans="1:4" x14ac:dyDescent="0.3">
      <c r="A13313" s="1" t="str">
        <f>"01014061500"</f>
        <v>01014061500</v>
      </c>
      <c r="B13313" s="1" t="str">
        <f>"WATKINS MATTHEW WAYNE"</f>
        <v>WATKINS MATTHEW WAYNE</v>
      </c>
      <c r="C13313" s="1" t="str">
        <f>"HILLMAN RD E SOUTHERN PINES SEC 3 LOT 308"</f>
        <v>HILLMAN RD E SOUTHERN PINES SEC 3 LOT 308</v>
      </c>
      <c r="D13313" s="1">
        <v>704.42</v>
      </c>
    </row>
    <row r="13314" spans="1:4" x14ac:dyDescent="0.3">
      <c r="A13314" s="1" t="str">
        <f>"01010791200"</f>
        <v>01010791200</v>
      </c>
      <c r="B13314" s="1" t="str">
        <f>"WATKINS SAMUEL, BARRON-WATKINS TRACEY"</f>
        <v>WATKINS SAMUEL, BARRON-WATKINS TRACEY</v>
      </c>
      <c r="C13314" s="1" t="str">
        <f>"CASTLEWOOD RD AMD PLAT LOTS 211-B12 BERWICK HTS 2 LT 211"</f>
        <v>CASTLEWOOD RD AMD PLAT LOTS 211-B12 BERWICK HTS 2 LT 211</v>
      </c>
      <c r="D13314" s="1">
        <v>6558.85</v>
      </c>
    </row>
    <row r="13315" spans="1:4" x14ac:dyDescent="0.3">
      <c r="A13315" s="1" t="str">
        <f>"01014476200"</f>
        <v>01014476200</v>
      </c>
      <c r="B13315" s="1" t="str">
        <f>"WATKINS SAMUEL, BARRON-WATKINS TRACEY A"</f>
        <v>WATKINS SAMUEL, BARRON-WATKINS TRACEY A</v>
      </c>
      <c r="C13315" s="1" t="str">
        <f>"CHATFORD DR AMD WALNUT HILL PARK SEC 2 LOT 266"</f>
        <v>CHATFORD DR AMD WALNUT HILL PARK SEC 2 LOT 266</v>
      </c>
      <c r="D13315" s="1">
        <v>4248.7</v>
      </c>
    </row>
    <row r="13316" spans="1:4" x14ac:dyDescent="0.3">
      <c r="A13316" s="1" t="str">
        <f>"06000582800"</f>
        <v>06000582800</v>
      </c>
      <c r="B13316" s="1" t="str">
        <f>"WATKINS SAMUEL, BARRON-WATKINS TRACEY A"</f>
        <v>WATKINS SAMUEL, BARRON-WATKINS TRACEY A</v>
      </c>
      <c r="C13316" s="1" t="str">
        <f>"2177-79 LYNBRIDGE DR EASTSHIRE LOT 169"</f>
        <v>2177-79 LYNBRIDGE DR EASTSHIRE LOT 169</v>
      </c>
      <c r="D13316" s="1">
        <v>5611.68</v>
      </c>
    </row>
    <row r="13317" spans="1:4" x14ac:dyDescent="0.3">
      <c r="A13317" s="1" t="str">
        <f>"57022790600"</f>
        <v>57022790600</v>
      </c>
      <c r="B13317" s="1" t="str">
        <f>"WATKINS THOMAS S, WATKINS DORTHY A"</f>
        <v>WATKINS THOMAS S, WATKINS DORTHY A</v>
      </c>
      <c r="C13317" s="1" t="str">
        <f>"SOUTHFIELD VILLAGE SECTION 2 LOT 202"</f>
        <v>SOUTHFIELD VILLAGE SECTION 2 LOT 202</v>
      </c>
      <c r="D13317" s="1">
        <v>269.93</v>
      </c>
    </row>
    <row r="13318" spans="1:4" x14ac:dyDescent="0.3">
      <c r="A13318" s="1" t="str">
        <f>"01004891500"</f>
        <v>01004891500</v>
      </c>
      <c r="B13318" s="1" t="str">
        <f>"WATSON ERICA"</f>
        <v>WATSON ERICA</v>
      </c>
      <c r="C13318" s="1" t="str">
        <f>"814 S CHAMPION AVE OLD ORCHARD LOT 233"</f>
        <v>814 S CHAMPION AVE OLD ORCHARD LOT 233</v>
      </c>
      <c r="D13318" s="1">
        <v>6426.82</v>
      </c>
    </row>
    <row r="13319" spans="1:4" x14ac:dyDescent="0.3">
      <c r="A13319" s="1" t="str">
        <f>"01011301700"</f>
        <v>01011301700</v>
      </c>
      <c r="B13319" s="1" t="str">
        <f>"WATSON TOMEKA"</f>
        <v>WATSON TOMEKA</v>
      </c>
      <c r="C13319" s="1" t="str">
        <f>"BENFIELD AVE S HIGH ST LOT 71"</f>
        <v>BENFIELD AVE S HIGH ST LOT 71</v>
      </c>
      <c r="D13319" s="1">
        <v>399.8</v>
      </c>
    </row>
    <row r="13320" spans="1:4" x14ac:dyDescent="0.3">
      <c r="A13320" s="1" t="str">
        <f>"01018158100"</f>
        <v>01018158100</v>
      </c>
      <c r="B13320" s="1" t="str">
        <f>"WATTS DAVID A"</f>
        <v>WATTS DAVID A</v>
      </c>
      <c r="C13320" s="1" t="str">
        <f>"JEWETT CT ROGER BERLIN NO 1 LOT 14"</f>
        <v>JEWETT CT ROGER BERLIN NO 1 LOT 14</v>
      </c>
      <c r="D13320" s="1">
        <v>1206.27</v>
      </c>
    </row>
    <row r="13321" spans="1:4" x14ac:dyDescent="0.3">
      <c r="A13321" s="1" t="str">
        <f>"24000402400"</f>
        <v>24000402400</v>
      </c>
      <c r="B13321" s="1" t="str">
        <f>"WATTS RALPH V JR, WATTS KAREN E"</f>
        <v>WATTS RALPH V JR, WATTS KAREN E</v>
      </c>
      <c r="C13321" s="1" t="str">
        <f>"BEACON HILL RD LINCOLN VILLAGE LOT 868  RES A&amp;B"</f>
        <v>BEACON HILL RD LINCOLN VILLAGE LOT 868  RES A&amp;B</v>
      </c>
      <c r="D13321" s="1">
        <v>143.25</v>
      </c>
    </row>
    <row r="13322" spans="1:4" x14ac:dyDescent="0.3">
      <c r="A13322" s="1" t="str">
        <f>"18500007900"</f>
        <v>18500007900</v>
      </c>
      <c r="B13322" s="1" t="str">
        <f>"WATTS-BAILEY BRENDA K, BAILEY BRENDA K"</f>
        <v>WATTS-BAILEY BRENDA K, BAILEY BRENDA K</v>
      </c>
      <c r="C13322" s="1" t="str">
        <f>"COLLEGE ST CAMPBELL LOT 9"</f>
        <v>COLLEGE ST CAMPBELL LOT 9</v>
      </c>
      <c r="D13322" s="1">
        <v>1705.83</v>
      </c>
    </row>
    <row r="13323" spans="1:4" x14ac:dyDescent="0.3">
      <c r="A13323" s="1" t="str">
        <f>"21300212200"</f>
        <v>21300212200</v>
      </c>
      <c r="B13323" s="1" t="str">
        <f>"WAYMAN JAMES JR"</f>
        <v>WAYMAN JAMES JR</v>
      </c>
      <c r="C13323" s="1" t="str">
        <f>"PARK RIDGE DR WORTHINGTON HILLS 3 523"</f>
        <v>PARK RIDGE DR WORTHINGTON HILLS 3 523</v>
      </c>
      <c r="D13323" s="1">
        <v>5439.69</v>
      </c>
    </row>
    <row r="13324" spans="1:4" x14ac:dyDescent="0.3">
      <c r="A13324" s="1" t="str">
        <f>"02501343500"</f>
        <v>02501343500</v>
      </c>
      <c r="B13324" s="1" t="str">
        <f>"WB HUNTERS RIDGE LLC"</f>
        <v>WB HUNTERS RIDGE LLC</v>
      </c>
      <c r="C13324" s="1" t="str">
        <f>"HAMILTON RD HUNTERS RIDGE SEC 4 PT RES N (7.356 ACRES)"</f>
        <v>HAMILTON RD HUNTERS RIDGE SEC 4 PT RES N (7.356 ACRES)</v>
      </c>
      <c r="D13324" s="1">
        <v>10880.48</v>
      </c>
    </row>
    <row r="13325" spans="1:4" x14ac:dyDescent="0.3">
      <c r="A13325" s="1" t="str">
        <f>"57016646600"</f>
        <v>57016646600</v>
      </c>
      <c r="B13325" s="1" t="str">
        <f>"WBV RENTALS LLC"</f>
        <v>WBV RENTALS LLC</v>
      </c>
      <c r="C13325" s="1" t="str">
        <f>"WESTBURY VILLAGE CONDOMINIUM NO 2 UNIT 17-B"</f>
        <v>WESTBURY VILLAGE CONDOMINIUM NO 2 UNIT 17-B</v>
      </c>
      <c r="D13325" s="1">
        <v>92.99</v>
      </c>
    </row>
    <row r="13326" spans="1:4" x14ac:dyDescent="0.3">
      <c r="A13326" s="1" t="str">
        <f>"57016646800"</f>
        <v>57016646800</v>
      </c>
      <c r="B13326" s="1" t="str">
        <f>"WBV RENTALS LLC"</f>
        <v>WBV RENTALS LLC</v>
      </c>
      <c r="C13326" s="1" t="str">
        <f>"WESTBURY VILLAGE CONDOMINIUM NO 2 UNIT 17-D"</f>
        <v>WESTBURY VILLAGE CONDOMINIUM NO 2 UNIT 17-D</v>
      </c>
      <c r="D13326" s="1">
        <v>84.44</v>
      </c>
    </row>
    <row r="13327" spans="1:4" x14ac:dyDescent="0.3">
      <c r="A13327" s="1" t="str">
        <f>"01007325800"</f>
        <v>01007325800</v>
      </c>
      <c r="B13327" s="1" t="str">
        <f>"WC CASH BUYERS LLC"</f>
        <v>WC CASH BUYERS LLC</v>
      </c>
      <c r="C13327" s="1" t="str">
        <f>"20TH AVE RICHMAOND LOT 179"</f>
        <v>20TH AVE RICHMAOND LOT 179</v>
      </c>
      <c r="D13327" s="1">
        <v>244.48</v>
      </c>
    </row>
    <row r="13328" spans="1:4" x14ac:dyDescent="0.3">
      <c r="A13328" s="1" t="str">
        <f>"15100003600"</f>
        <v>15100003600</v>
      </c>
      <c r="B13328" s="1" t="str">
        <f>"WEAKLEY CAROL I"</f>
        <v>WEAKLEY CAROL I</v>
      </c>
      <c r="C13328" s="1" t="str">
        <f>"191 COMMERCE ST PT WS LOTS 112 &amp; 114 &amp; PT VAC MECHANIC ST"</f>
        <v>191 COMMERCE ST PT WS LOTS 112 &amp; 114 &amp; PT VAC MECHANIC ST</v>
      </c>
      <c r="D13328" s="1">
        <v>1788.49</v>
      </c>
    </row>
    <row r="13329" spans="1:4" x14ac:dyDescent="0.3">
      <c r="A13329" s="1" t="str">
        <f>"59017165500"</f>
        <v>59017165500</v>
      </c>
      <c r="B13329" s="1" t="str">
        <f>"WEATHERBY THOMAS M, WEATHERBY MICHEALEEN J"</f>
        <v>WEATHERBY THOMAS M, WEATHERBY MICHEALEEN J</v>
      </c>
      <c r="C13329" s="1" t="str">
        <f>"RAMBLEWOOD AVE MCKITRICK EST SEC 1 LOT 25 EX"</f>
        <v>RAMBLEWOOD AVE MCKITRICK EST SEC 1 LOT 25 EX</v>
      </c>
      <c r="D13329" s="1">
        <v>351.12</v>
      </c>
    </row>
    <row r="13330" spans="1:4" x14ac:dyDescent="0.3">
      <c r="A13330" s="1" t="str">
        <f>"03000131900"</f>
        <v>03000131900</v>
      </c>
      <c r="B13330" s="1" t="str">
        <f>"WEAVER MICHAEL"</f>
        <v>WEAVER MICHAEL</v>
      </c>
      <c r="C13330" s="1" t="str">
        <f>"1422 W FIRST AVE ALLENS LOT 8 "</f>
        <v xml:space="preserve">1422 W FIRST AVE ALLENS LOT 8 </v>
      </c>
      <c r="D13330" s="1">
        <v>693.99</v>
      </c>
    </row>
    <row r="13331" spans="1:4" x14ac:dyDescent="0.3">
      <c r="A13331" s="1" t="str">
        <f>"07001195000"</f>
        <v>07001195000</v>
      </c>
      <c r="B13331" s="1" t="str">
        <f>"WEAVER SCOTT D"</f>
        <v>WEAVER SCOTT D</v>
      </c>
      <c r="C13331" s="1" t="str">
        <f>"3862 WALDO PL L 44 ORCHARD VIEW EXT 2 "</f>
        <v xml:space="preserve">3862 WALDO PL L 44 ORCHARD VIEW EXT 2 </v>
      </c>
      <c r="D13331" s="1">
        <v>6421.21</v>
      </c>
    </row>
    <row r="13332" spans="1:4" x14ac:dyDescent="0.3">
      <c r="A13332" s="1" t="str">
        <f>"01009896100"</f>
        <v>01009896100</v>
      </c>
      <c r="B13332" s="1" t="str">
        <f>"WEAVER VERNON L, JACKSON TRINITA"</f>
        <v>WEAVER VERNON L, JACKSON TRINITA</v>
      </c>
      <c r="C13332" s="1" t="str">
        <f>"CORDELL AVE NORLEA PARK LOT 53-54 N 1/2 VAC ALLEY"</f>
        <v>CORDELL AVE NORLEA PARK LOT 53-54 N 1/2 VAC ALLEY</v>
      </c>
      <c r="D13332" s="1">
        <v>1717.91</v>
      </c>
    </row>
    <row r="13333" spans="1:4" x14ac:dyDescent="0.3">
      <c r="A13333" s="1" t="str">
        <f>"02500115600"</f>
        <v>02500115600</v>
      </c>
      <c r="B13333" s="1" t="str">
        <f>"WEBB BRIAN A, WEBB JILL A"</f>
        <v>WEBB BRIAN A, WEBB JILL A</v>
      </c>
      <c r="C13333" s="1" t="str">
        <f>"201 HEIL DR GAHANNA HTS 2 LOT 26"</f>
        <v>201 HEIL DR GAHANNA HTS 2 LOT 26</v>
      </c>
      <c r="D13333" s="1">
        <v>604.21</v>
      </c>
    </row>
    <row r="13334" spans="1:4" x14ac:dyDescent="0.3">
      <c r="A13334" s="1" t="str">
        <f>"60020136500"</f>
        <v>60020136500</v>
      </c>
      <c r="B13334" s="1" t="str">
        <f>"WEBB BRYAN D, WEBB JENNIFER L"</f>
        <v>WEBB BRYAN D, WEBB JENNIFER L</v>
      </c>
      <c r="C13334" s="1" t="str">
        <f>"THE RAVINES AT STRAWBERRY FARMS 1 LOT 8"</f>
        <v>THE RAVINES AT STRAWBERRY FARMS 1 LOT 8</v>
      </c>
      <c r="D13334" s="1">
        <v>208.21</v>
      </c>
    </row>
    <row r="13335" spans="1:4" x14ac:dyDescent="0.3">
      <c r="A13335" s="1" t="str">
        <f>"15100010600"</f>
        <v>15100010600</v>
      </c>
      <c r="B13335" s="1" t="str">
        <f>"WEBB DEBORAH D"</f>
        <v>WEBB DEBORAH D</v>
      </c>
      <c r="C13335" s="1" t="str">
        <f>"COMMERCE ST LOCKBOURNE LOTS 65 &amp; 66"</f>
        <v>COMMERCE ST LOCKBOURNE LOTS 65 &amp; 66</v>
      </c>
      <c r="D13335" s="1">
        <v>985.89</v>
      </c>
    </row>
    <row r="13336" spans="1:4" x14ac:dyDescent="0.3">
      <c r="A13336" s="1" t="str">
        <f>"15100010500"</f>
        <v>15100010500</v>
      </c>
      <c r="B13336" s="1" t="str">
        <f>"WEBB DEBORAH D"</f>
        <v>WEBB DEBORAH D</v>
      </c>
      <c r="C13336" s="1" t="str">
        <f>"86 COMMERCE ST LOCKBOURNE LOT 34"</f>
        <v>86 COMMERCE ST LOCKBOURNE LOT 34</v>
      </c>
      <c r="D13336" s="1">
        <v>4579.62</v>
      </c>
    </row>
    <row r="13337" spans="1:4" x14ac:dyDescent="0.3">
      <c r="A13337" s="1" t="str">
        <f>"58030001500"</f>
        <v>58030001500</v>
      </c>
      <c r="B13337" s="1" t="str">
        <f>"WEBER J HOPE TR, LYONS ORVILLE R TR"</f>
        <v>WEBER J HOPE TR, LYONS ORVILLE R TR</v>
      </c>
      <c r="C13337" s="1" t="str">
        <f>"CHEVY CHASE WOODS CONDOMINIUM UNIT 5125 "</f>
        <v xml:space="preserve">CHEVY CHASE WOODS CONDOMINIUM UNIT 5125 </v>
      </c>
      <c r="D13337" s="1">
        <v>5828.41</v>
      </c>
    </row>
    <row r="13338" spans="1:4" x14ac:dyDescent="0.3">
      <c r="A13338" s="1" t="str">
        <f>"01011027900"</f>
        <v>01011027900</v>
      </c>
      <c r="B13338" s="1" t="str">
        <f>"WEBER JOHN D, WEBER LAURIE L"</f>
        <v>WEBER JOHN D, WEBER LAURIE L</v>
      </c>
      <c r="C13338" s="1" t="str">
        <f>"KANAWHA AVE 30 FT W S SHARON HTS"</f>
        <v>KANAWHA AVE 30 FT W S SHARON HTS</v>
      </c>
      <c r="D13338" s="1">
        <v>132.74</v>
      </c>
    </row>
    <row r="13339" spans="1:4" x14ac:dyDescent="0.3">
      <c r="A13339" s="1" t="str">
        <f>"01010965000"</f>
        <v>01010965000</v>
      </c>
      <c r="B13339" s="1" t="str">
        <f>"WEBER JOHN D, WEBER LAURIE L"</f>
        <v>WEBER JOHN D, WEBER LAURIE L</v>
      </c>
      <c r="C13339" s="1" t="str">
        <f>"KANAWHA AVE SHARON HTS LOT 124"</f>
        <v>KANAWHA AVE SHARON HTS LOT 124</v>
      </c>
      <c r="D13339" s="1">
        <v>2640.68</v>
      </c>
    </row>
    <row r="13340" spans="1:4" x14ac:dyDescent="0.3">
      <c r="A13340" s="1" t="str">
        <f>"01011047100"</f>
        <v>01011047100</v>
      </c>
      <c r="B13340" s="1" t="str">
        <f>"WEBER JOHN D, WEBER LAURIE L"</f>
        <v>WEBER JOHN D, WEBER LAURIE L</v>
      </c>
      <c r="C13340" s="1" t="str">
        <f>"KANAWHA AVE SHARON HTS LOT 123 &amp; PT AV VAC"</f>
        <v>KANAWHA AVE SHARON HTS LOT 123 &amp; PT AV VAC</v>
      </c>
      <c r="D13340" s="1">
        <v>624</v>
      </c>
    </row>
    <row r="13341" spans="1:4" x14ac:dyDescent="0.3">
      <c r="A13341" s="1" t="str">
        <f>"07000313500"</f>
        <v>07000313500</v>
      </c>
      <c r="B13341" s="1" t="str">
        <f>"WEBSTER RAIF C, WEBSTER DIANNA L"</f>
        <v>WEBSTER RAIF C, WEBSTER DIANNA L</v>
      </c>
      <c r="C13341" s="1" t="str">
        <f>"1834 GLENN AVE KINGSWOOD LOT 3 BLK 162"</f>
        <v>1834 GLENN AVE KINGSWOOD LOT 3 BLK 162</v>
      </c>
      <c r="D13341" s="1">
        <v>764.76</v>
      </c>
    </row>
    <row r="13342" spans="1:4" x14ac:dyDescent="0.3">
      <c r="A13342" s="1" t="str">
        <f>"01003672600"</f>
        <v>01003672600</v>
      </c>
      <c r="B13342" s="1" t="str">
        <f>"WEDDINGTON GILLIAM KIMBERLY K"</f>
        <v>WEDDINGTON GILLIAM KIMBERLY K</v>
      </c>
      <c r="C13342" s="1" t="str">
        <f>"1977 MERRYHILL DRIVE EAST GATE 2 LOT 24 BLK 14"</f>
        <v>1977 MERRYHILL DRIVE EAST GATE 2 LOT 24 BLK 14</v>
      </c>
      <c r="D13342" s="1">
        <v>2498.39</v>
      </c>
    </row>
    <row r="13343" spans="1:4" x14ac:dyDescent="0.3">
      <c r="A13343" s="1" t="str">
        <f>"18500063900"</f>
        <v>18500063900</v>
      </c>
      <c r="B13343" s="1" t="str">
        <f>"WEEKS JAMES M JR"</f>
        <v>WEEKS JAMES M JR</v>
      </c>
      <c r="C13343" s="1" t="str">
        <f>"KINSEL AVE PT LOT 36 &amp; PT RES J SUNRISE"</f>
        <v>KINSEL AVE PT LOT 36 &amp; PT RES J SUNRISE</v>
      </c>
      <c r="D13343" s="1">
        <v>3342.32</v>
      </c>
    </row>
    <row r="13344" spans="1:4" x14ac:dyDescent="0.3">
      <c r="A13344" s="1" t="str">
        <f>"16000149500"</f>
        <v>16000149500</v>
      </c>
      <c r="B13344" s="1" t="str">
        <f>"WEESE SCOTT R"</f>
        <v>WEESE SCOTT R</v>
      </c>
      <c r="C13344" s="1" t="str">
        <f>"ORDERS RD ENTRY 1383 OQ 2222 2-3 5.000 ACRES"</f>
        <v>ORDERS RD ENTRY 1383 OQ 2222 2-3 5.000 ACRES</v>
      </c>
      <c r="D13344" s="1">
        <v>278.10000000000002</v>
      </c>
    </row>
    <row r="13345" spans="1:4" x14ac:dyDescent="0.3">
      <c r="A13345" s="1" t="str">
        <f>"16000151300"</f>
        <v>16000151300</v>
      </c>
      <c r="B13345" s="1" t="str">
        <f>"WEESE SCOTT R"</f>
        <v>WEESE SCOTT R</v>
      </c>
      <c r="C13345" s="1" t="str">
        <f>"ORDERS RD ENTRY 1383 OQ 2222 2-3"</f>
        <v>ORDERS RD ENTRY 1383 OQ 2222 2-3</v>
      </c>
      <c r="D13345" s="1">
        <v>78.22</v>
      </c>
    </row>
    <row r="13346" spans="1:4" x14ac:dyDescent="0.3">
      <c r="A13346" s="1" t="str">
        <f>"25415188100"</f>
        <v>25415188100</v>
      </c>
      <c r="B13346" s="1" t="str">
        <f>"WEHRLE MATTHEW"</f>
        <v>WEHRLE MATTHEW</v>
      </c>
      <c r="C13346" s="1" t="str">
        <f>"ROSSLYN AVE TREMOUNT GRDNS 2 LOT 317"</f>
        <v>ROSSLYN AVE TREMOUNT GRDNS 2 LOT 317</v>
      </c>
      <c r="D13346" s="1">
        <v>1350.38</v>
      </c>
    </row>
    <row r="13347" spans="1:4" x14ac:dyDescent="0.3">
      <c r="A13347" s="1" t="str">
        <f>"25415134600"</f>
        <v>25415134600</v>
      </c>
      <c r="B13347" s="1" t="str">
        <f>"WEHRLE MATTHEW"</f>
        <v>WEHRLE MATTHEW</v>
      </c>
      <c r="C13347" s="1" t="str">
        <f>"470 ROSSLYN AVE TREMONT GARDENS 2 LOT 318"</f>
        <v>470 ROSSLYN AVE TREMONT GARDENS 2 LOT 318</v>
      </c>
      <c r="D13347" s="1">
        <v>5967.17</v>
      </c>
    </row>
    <row r="13348" spans="1:4" x14ac:dyDescent="0.3">
      <c r="A13348" s="1" t="str">
        <f>"01007659800"</f>
        <v>01007659800</v>
      </c>
      <c r="B13348" s="1" t="str">
        <f>"WEHRLE MATTHEW L"</f>
        <v>WEHRLE MATTHEW L</v>
      </c>
      <c r="C13348" s="1" t="str">
        <f>"MELROSE AVE .408 ACRES 67.88X261.73 FT NS COURT SUB 3-5"</f>
        <v>MELROSE AVE .408 ACRES 67.88X261.73 FT NS COURT SUB 3-5</v>
      </c>
      <c r="D13348" s="1">
        <v>2951.03</v>
      </c>
    </row>
    <row r="13349" spans="1:4" x14ac:dyDescent="0.3">
      <c r="A13349" s="1" t="str">
        <f>"01008392600"</f>
        <v>01008392600</v>
      </c>
      <c r="B13349" s="1" t="str">
        <f>"WEIDNER GREGG"</f>
        <v>WEIDNER GREGG</v>
      </c>
      <c r="C13349" s="1" t="str">
        <f>"BEECHWOLD LOT 44 "</f>
        <v xml:space="preserve">BEECHWOLD LOT 44 </v>
      </c>
      <c r="D13349" s="1">
        <v>5171.93</v>
      </c>
    </row>
    <row r="13350" spans="1:4" x14ac:dyDescent="0.3">
      <c r="A13350" s="1" t="str">
        <f>"20000077500"</f>
        <v>20000077500</v>
      </c>
      <c r="B13350" s="1" t="str">
        <f>"WEIH JENNIFER, WEIH BRADLEY"</f>
        <v>WEIH JENNIFER, WEIH BRADLEY</v>
      </c>
      <c r="C13350" s="1" t="str">
        <f>"SMILEY RD ENTRY 547 0.942 ACRE"</f>
        <v>SMILEY RD ENTRY 547 0.942 ACRE</v>
      </c>
      <c r="D13350" s="1">
        <v>7826.76</v>
      </c>
    </row>
    <row r="13351" spans="1:4" x14ac:dyDescent="0.3">
      <c r="A13351" s="1" t="str">
        <f>"01000239000"</f>
        <v>01000239000</v>
      </c>
      <c r="B13351" s="1" t="str">
        <f>"WEIL MYRA PARISEY"</f>
        <v>WEIL MYRA PARISEY</v>
      </c>
      <c r="C13351" s="1" t="str">
        <f>"801 DISTRIBUTION DR ENTRY 3315-7325 1.547 ACRES"</f>
        <v>801 DISTRIBUTION DR ENTRY 3315-7325 1.547 ACRES</v>
      </c>
      <c r="D13351" s="1">
        <v>1299.9100000000001</v>
      </c>
    </row>
    <row r="13352" spans="1:4" x14ac:dyDescent="0.3">
      <c r="A13352" s="1" t="str">
        <f>"01029009600"</f>
        <v>01029009600</v>
      </c>
      <c r="B13352" s="1" t="str">
        <f>"WEIMER JORDAN L"</f>
        <v>WEIMER JORDAN L</v>
      </c>
      <c r="C13352" s="1" t="str">
        <f>"FALLS AT HAYDEN RUN       CONDOMINIUM 16TH AMD      BLDG 43 UNIT 43-5279     "</f>
        <v xml:space="preserve">FALLS AT HAYDEN RUN       CONDOMINIUM 16TH AMD      BLDG 43 UNIT 43-5279     </v>
      </c>
      <c r="D13352" s="1">
        <v>5564.2</v>
      </c>
    </row>
    <row r="13353" spans="1:4" x14ac:dyDescent="0.3">
      <c r="A13353" s="1" t="str">
        <f>"09000087500"</f>
        <v>09000087500</v>
      </c>
      <c r="B13353" s="1" t="str">
        <f>"WEINGARTEN CHANOCH HENDEL TR"</f>
        <v>WEINGARTEN CHANOCH HENDEL TR</v>
      </c>
      <c r="C13353" s="1" t="str">
        <f>"ROBINWOOD AVE 275 FT W E OF S 1/2 LOT 342 LOWRIE BROS"</f>
        <v>ROBINWOOD AVE 275 FT W E OF S 1/2 LOT 342 LOWRIE BROS</v>
      </c>
      <c r="D13353" s="1">
        <v>1534.76</v>
      </c>
    </row>
    <row r="13354" spans="1:4" x14ac:dyDescent="0.3">
      <c r="A13354" s="1" t="str">
        <f>"01010085100"</f>
        <v>01010085100</v>
      </c>
      <c r="B13354" s="1" t="str">
        <f>"WEINMAN MICHAEL S, WEINMAN ANN M"</f>
        <v>WEINMAN MICHAEL S, WEINMAN ANN M</v>
      </c>
      <c r="C13354" s="1" t="str">
        <f>"SPRINGS DR IND. SPGS. VLGE PTS BLK L M T 9 BLK M"</f>
        <v>SPRINGS DR IND. SPGS. VLGE PTS BLK L M T 9 BLK M</v>
      </c>
      <c r="D13354" s="1">
        <v>468.58</v>
      </c>
    </row>
    <row r="13355" spans="1:4" x14ac:dyDescent="0.3">
      <c r="A13355" s="1" t="str">
        <f>"01009045700"</f>
        <v>01009045700</v>
      </c>
      <c r="B13355" s="1" t="str">
        <f>"WEINRICH AMY L"</f>
        <v>WEINRICH AMY L</v>
      </c>
      <c r="C13355" s="1" t="str">
        <f>"E MINSTER EASTMINSTER LOT 234"</f>
        <v>E MINSTER EASTMINSTER LOT 234</v>
      </c>
      <c r="D13355" s="1">
        <v>192.66</v>
      </c>
    </row>
    <row r="13356" spans="1:4" x14ac:dyDescent="0.3">
      <c r="A13356" s="1" t="str">
        <f>"06000726400"</f>
        <v>06000726400</v>
      </c>
      <c r="B13356" s="1" t="str">
        <f>"WEIRICH HEINZ G, WEIRICH BONNIE L"</f>
        <v>WEIRICH HEINZ G, WEIRICH BONNIE L</v>
      </c>
      <c r="C13356" s="1" t="str">
        <f>"PALMER RD R20 T16 S17 1/4 S28 1.50 ACS"</f>
        <v>PALMER RD R20 T16 S17 1/4 S28 1.50 ACS</v>
      </c>
      <c r="D13356" s="1">
        <v>724.58</v>
      </c>
    </row>
    <row r="13357" spans="1:4" x14ac:dyDescent="0.3">
      <c r="A13357" s="1" t="str">
        <f>"07001455500"</f>
        <v>07001455500</v>
      </c>
      <c r="B13357" s="1" t="str">
        <f>"WEISENBERGER EDWARD J TTEE"</f>
        <v>WEISENBERGER EDWARD J TTEE</v>
      </c>
      <c r="C13357" s="1" t="str">
        <f>"NORMANDY SQUARE CONDOMINIUMS UNIT 13"</f>
        <v>NORMANDY SQUARE CONDOMINIUMS UNIT 13</v>
      </c>
      <c r="D13357" s="1">
        <v>2822.95</v>
      </c>
    </row>
    <row r="13358" spans="1:4" x14ac:dyDescent="0.3">
      <c r="A13358" s="1" t="str">
        <f>"01008534400"</f>
        <v>01008534400</v>
      </c>
      <c r="B13358" s="1" t="str">
        <f>"WEISS PAUL, SARACHEK MARGARET"</f>
        <v>WEISS PAUL, SARACHEK MARGARET</v>
      </c>
      <c r="C13358" s="1" t="str">
        <f>"N S FAIRMONT CT INDIAN SPRINGS LOT 81"</f>
        <v>N S FAIRMONT CT INDIAN SPRINGS LOT 81</v>
      </c>
      <c r="D13358" s="1">
        <v>141.5</v>
      </c>
    </row>
    <row r="13359" spans="1:4" x14ac:dyDescent="0.3">
      <c r="A13359" s="1" t="str">
        <f>"01008489200"</f>
        <v>01008489200</v>
      </c>
      <c r="B13359" s="1" t="str">
        <f>"WEISS PAUL, SARACHEK MARGARET"</f>
        <v>WEISS PAUL, SARACHEK MARGARET</v>
      </c>
      <c r="C13359" s="1" t="str">
        <f>"S S LENAPPE DRIVE INDIAN SPRINGS LOT 105"</f>
        <v>S S LENAPPE DRIVE INDIAN SPRINGS LOT 105</v>
      </c>
      <c r="D13359" s="1">
        <v>6906.69</v>
      </c>
    </row>
    <row r="13360" spans="1:4" x14ac:dyDescent="0.3">
      <c r="A13360" s="1" t="str">
        <f>"60022938500"</f>
        <v>60022938500</v>
      </c>
      <c r="B13360" s="1" t="str">
        <f>"WELCH ALEXA"</f>
        <v>WELCH ALEXA</v>
      </c>
      <c r="C13360" s="1" t="str">
        <f>"WESTERVILLE WOODS SECTION 2 PART 2 LOT 154"</f>
        <v>WESTERVILLE WOODS SECTION 2 PART 2 LOT 154</v>
      </c>
      <c r="D13360" s="1">
        <v>1740.18</v>
      </c>
    </row>
    <row r="13361" spans="1:4" x14ac:dyDescent="0.3">
      <c r="A13361" s="1" t="str">
        <f>"01004414300"</f>
        <v>01004414300</v>
      </c>
      <c r="B13361" s="1" t="str">
        <f>"WELCH ALYCE"</f>
        <v>WELCH ALYCE</v>
      </c>
      <c r="C13361" s="1" t="str">
        <f>"693 OHIO AVE WILLIAMS OHIO AVE LOT 29"</f>
        <v>693 OHIO AVE WILLIAMS OHIO AVE LOT 29</v>
      </c>
      <c r="D13361" s="1">
        <v>374.59</v>
      </c>
    </row>
    <row r="13362" spans="1:4" x14ac:dyDescent="0.3">
      <c r="A13362" s="1" t="str">
        <f>"01007461300"</f>
        <v>01007461300</v>
      </c>
      <c r="B13362" s="1" t="str">
        <f>"WELCH DAVID JR"</f>
        <v>WELCH DAVID JR</v>
      </c>
      <c r="C13362" s="1" t="str">
        <f>"BRIARWOOD AVE HIGHWAY PARK LOT 328"</f>
        <v>BRIARWOOD AVE HIGHWAY PARK LOT 328</v>
      </c>
      <c r="D13362" s="1">
        <v>814.93</v>
      </c>
    </row>
    <row r="13363" spans="1:4" x14ac:dyDescent="0.3">
      <c r="A13363" s="1" t="str">
        <f>"15000143100"</f>
        <v>15000143100</v>
      </c>
      <c r="B13363" s="1" t="str">
        <f>"WELCH JEFFREY A, WELCH HEATHER A"</f>
        <v>WELCH JEFFREY A, WELCH HEATHER A</v>
      </c>
      <c r="C13363" s="1" t="str">
        <f>"4999 ROOT ST HAMILTON MEADOWS 6 LOT 629"</f>
        <v>4999 ROOT ST HAMILTON MEADOWS 6 LOT 629</v>
      </c>
      <c r="D13363" s="1">
        <v>2865.45</v>
      </c>
    </row>
    <row r="13364" spans="1:4" x14ac:dyDescent="0.3">
      <c r="A13364" s="1" t="str">
        <f>"01007770300"</f>
        <v>01007770300</v>
      </c>
      <c r="B13364" s="1" t="str">
        <f>"WELCH RAELYN E"</f>
        <v>WELCH RAELYN E</v>
      </c>
      <c r="C13364" s="1" t="str">
        <f>"NORWOOD AVE LINDEN GARDENS LOT 41"</f>
        <v>NORWOOD AVE LINDEN GARDENS LOT 41</v>
      </c>
      <c r="D13364" s="1">
        <v>3478.02</v>
      </c>
    </row>
    <row r="13365" spans="1:4" x14ac:dyDescent="0.3">
      <c r="A13365" s="1" t="str">
        <f>"01004088000"</f>
        <v>01004088000</v>
      </c>
      <c r="B13365" s="1" t="str">
        <f>"WELCOME TO THE MONKEY HOUSE LLC"</f>
        <v>WELCOME TO THE MONKEY HOUSE LLC</v>
      </c>
      <c r="C13365" s="1" t="str">
        <f>"666 E 3RD AVE WOOLEYS LOT 83"</f>
        <v>666 E 3RD AVE WOOLEYS LOT 83</v>
      </c>
      <c r="D13365" s="1">
        <v>4358.74</v>
      </c>
    </row>
    <row r="13366" spans="1:4" x14ac:dyDescent="0.3">
      <c r="A13366" s="1" t="str">
        <f>"06000613400"</f>
        <v>06000613400</v>
      </c>
      <c r="B13366" s="1" t="str">
        <f>"WELDON JOAN F, WELDON MARY K"</f>
        <v>WELDON JOAN F, WELDON MARY K</v>
      </c>
      <c r="C13366" s="1" t="str">
        <f>"QUAIL HOLLOW CONDO UNIT 1796 BLDG C "</f>
        <v xml:space="preserve">QUAIL HOLLOW CONDO UNIT 1796 BLDG C </v>
      </c>
      <c r="D13366" s="1">
        <v>1864.01</v>
      </c>
    </row>
    <row r="13367" spans="1:4" x14ac:dyDescent="0.3">
      <c r="A13367" s="1" t="str">
        <f>"01026012200"</f>
        <v>01026012200</v>
      </c>
      <c r="B13367" s="1" t="str">
        <f>"WELDON MARY KAY, WELDON JOAN F"</f>
        <v>WELDON MARY KAY, WELDON JOAN F</v>
      </c>
      <c r="C13367" s="1" t="str">
        <f>"THE CONDOMINIUM AT WINCHESTER COVE BLDG 29 UNIT 4258"</f>
        <v>THE CONDOMINIUM AT WINCHESTER COVE BLDG 29 UNIT 4258</v>
      </c>
      <c r="D13367" s="1">
        <v>2588.91</v>
      </c>
    </row>
    <row r="13368" spans="1:4" x14ac:dyDescent="0.3">
      <c r="A13368" s="1" t="str">
        <f>"01005655000"</f>
        <v>01005655000</v>
      </c>
      <c r="B13368" s="1" t="str">
        <f>"WELKER CATHERINE M TR"</f>
        <v>WELKER CATHERINE M TR</v>
      </c>
      <c r="C13368" s="1" t="str">
        <f>"98 TULANE RD CRESTVIEW LOT 424-5"</f>
        <v>98 TULANE RD CRESTVIEW LOT 424-5</v>
      </c>
      <c r="D13368" s="1">
        <v>5938.53</v>
      </c>
    </row>
    <row r="13369" spans="1:4" x14ac:dyDescent="0.3">
      <c r="A13369" s="1" t="str">
        <f>"57016767200"</f>
        <v>57016767200</v>
      </c>
      <c r="B13369" s="1" t="str">
        <f>"WELLMAN MELANIE A, WELLMAN VAUGHN M"</f>
        <v>WELLMAN MELANIE A, WELLMAN VAUGHN M</v>
      </c>
      <c r="C13369" s="1" t="str">
        <f>"HARDESTY HEIGHTS CONDOMINIUM NO JB LOT JB-2"</f>
        <v>HARDESTY HEIGHTS CONDOMINIUM NO JB LOT JB-2</v>
      </c>
      <c r="D13369" s="1">
        <v>932.2</v>
      </c>
    </row>
    <row r="13370" spans="1:4" x14ac:dyDescent="0.3">
      <c r="A13370" s="1" t="str">
        <f>"01020959200"</f>
        <v>01020959200</v>
      </c>
      <c r="B13370" s="1" t="str">
        <f>"WELLS CECIL T"</f>
        <v>WELLS CECIL T</v>
      </c>
      <c r="C13370" s="1" t="str">
        <f>"MASON RUN COURT MASON VILLAGE CONDO UNIT 2429"</f>
        <v>MASON RUN COURT MASON VILLAGE CONDO UNIT 2429</v>
      </c>
      <c r="D13370" s="1">
        <v>1104.9000000000001</v>
      </c>
    </row>
    <row r="13371" spans="1:4" x14ac:dyDescent="0.3">
      <c r="A13371" s="1" t="str">
        <f>"04000460900"</f>
        <v>04000460900</v>
      </c>
      <c r="B13371" s="1" t="str">
        <f>"WELLS PATSY G"</f>
        <v>WELLS PATSY G</v>
      </c>
      <c r="C13371" s="1" t="str">
        <f>"4427 HOOVER RD GROVE CITY HEIGHTS PT LTS 69 &amp; 70=0.456 ACRE"</f>
        <v>4427 HOOVER RD GROVE CITY HEIGHTS PT LTS 69 &amp; 70=0.456 ACRE</v>
      </c>
      <c r="D13371" s="1">
        <v>7071.9</v>
      </c>
    </row>
    <row r="13372" spans="1:4" x14ac:dyDescent="0.3">
      <c r="A13372" s="1" t="str">
        <f>"01008170500"</f>
        <v>01008170500</v>
      </c>
      <c r="B13372" s="1" t="str">
        <f>"WELLS RALPH H"</f>
        <v>WELLS RALPH H</v>
      </c>
      <c r="C13372" s="1" t="str">
        <f>"636 S RICHARDSON AVE HEFFNER HTS ANNEX LOT 137"</f>
        <v>636 S RICHARDSON AVE HEFFNER HTS ANNEX LOT 137</v>
      </c>
      <c r="D13372" s="1">
        <v>53.32</v>
      </c>
    </row>
    <row r="13373" spans="1:4" x14ac:dyDescent="0.3">
      <c r="A13373" s="1" t="str">
        <f>"05000161700"</f>
        <v>05000161700</v>
      </c>
      <c r="B13373" s="1" t="str">
        <f>"WELLS SHIRLEEN"</f>
        <v>WELLS SHIRLEEN</v>
      </c>
      <c r="C13373" s="1" t="str">
        <f>"5680 REVERE DRIVE COLONIAL LANES LOT 68"</f>
        <v>5680 REVERE DRIVE COLONIAL LANES LOT 68</v>
      </c>
      <c r="D13373" s="1">
        <v>3462.35</v>
      </c>
    </row>
    <row r="13374" spans="1:4" x14ac:dyDescent="0.3">
      <c r="A13374" s="1" t="str">
        <f>"51524832000"</f>
        <v>51524832000</v>
      </c>
      <c r="B13374" s="1" t="str">
        <f>"WELTNER MARY"</f>
        <v>WELTNER MARY</v>
      </c>
      <c r="C13374" s="1" t="str">
        <f>"ABILENE DRIVE THE WOODS AT JEFFERSON SECTION 9 LOT 652"</f>
        <v>ABILENE DRIVE THE WOODS AT JEFFERSON SECTION 9 LOT 652</v>
      </c>
      <c r="D13374" s="1">
        <v>570.84</v>
      </c>
    </row>
    <row r="13375" spans="1:4" x14ac:dyDescent="0.3">
      <c r="A13375" s="1" t="str">
        <f>"04000059400"</f>
        <v>04000059400</v>
      </c>
      <c r="B13375" s="1" t="str">
        <f>"WEMLINGER CHAFFIN KIMBERLY TR"</f>
        <v>WEMLINGER CHAFFIN KIMBERLY TR</v>
      </c>
      <c r="C13375" s="1" t="str">
        <f>"4110 FRANKLIN STREET LOTS 43-44-45 "</f>
        <v xml:space="preserve">4110 FRANKLIN STREET LOTS 43-44-45 </v>
      </c>
      <c r="D13375" s="1">
        <v>2969.65</v>
      </c>
    </row>
    <row r="13376" spans="1:4" x14ac:dyDescent="0.3">
      <c r="A13376" s="1" t="str">
        <f>"04000088300"</f>
        <v>04000088300</v>
      </c>
      <c r="B13376" s="1" t="str">
        <f>"WEMLINGER KIMBERLY TR"</f>
        <v>WEMLINGER KIMBERLY TR</v>
      </c>
      <c r="C13376" s="1" t="str">
        <f>"4094 BROADWAY BRG PIKE 46.5X230.7F T ENTRY 1383-1388"</f>
        <v>4094 BROADWAY BRG PIKE 46.5X230.7F T ENTRY 1383-1388</v>
      </c>
      <c r="D13376" s="1">
        <v>5220.6000000000004</v>
      </c>
    </row>
    <row r="13377" spans="1:4" x14ac:dyDescent="0.3">
      <c r="A13377" s="1" t="str">
        <f>"01006973900"</f>
        <v>01006973900</v>
      </c>
      <c r="B13377" s="1" t="str">
        <f>"WEN BOYUE"</f>
        <v>WEN BOYUE</v>
      </c>
      <c r="C13377" s="1" t="str">
        <f>"1187-9 E 18TH AVE WILLARD CLEVELAND HTS LOT 65"</f>
        <v>1187-9 E 18TH AVE WILLARD CLEVELAND HTS LOT 65</v>
      </c>
      <c r="D13377" s="1">
        <v>1472.88</v>
      </c>
    </row>
    <row r="13378" spans="1:4" x14ac:dyDescent="0.3">
      <c r="A13378" s="1" t="str">
        <f>"07000127700"</f>
        <v>07000127700</v>
      </c>
      <c r="B13378" s="1" t="str">
        <f>"WENDORFF TODD, WENDORFF CATHERINE"</f>
        <v>WENDORFF TODD, WENDORFF CATHERINE</v>
      </c>
      <c r="C13378" s="1" t="str">
        <f>"2577 COVENTRY RD GUILFORD PLACE LOT 146"</f>
        <v>2577 COVENTRY RD GUILFORD PLACE LOT 146</v>
      </c>
      <c r="D13378" s="1">
        <v>653</v>
      </c>
    </row>
    <row r="13379" spans="1:4" x14ac:dyDescent="0.3">
      <c r="A13379" s="1" t="str">
        <f>"01009641500"</f>
        <v>01009641500</v>
      </c>
      <c r="B13379" s="1" t="str">
        <f>"WENGER CHARLES A"</f>
        <v>WENGER CHARLES A</v>
      </c>
      <c r="C13379" s="1" t="str">
        <f>"EASTMOOR BLVD JAMES RD PLAT 1 LOT 33"</f>
        <v>EASTMOOR BLVD JAMES RD PLAT 1 LOT 33</v>
      </c>
      <c r="D13379" s="1">
        <v>3081.31</v>
      </c>
    </row>
    <row r="13380" spans="1:4" x14ac:dyDescent="0.3">
      <c r="A13380" s="1" t="str">
        <f>"05000404300"</f>
        <v>05000404300</v>
      </c>
      <c r="B13380" s="1" t="str">
        <f>"WENGER GAIL D"</f>
        <v>WENGER GAIL D</v>
      </c>
      <c r="C13380" s="1" t="str">
        <f>"3395 SCIOTO RUN BLVD SCIOTO RUN SUB PH 2 LOT 80"</f>
        <v>3395 SCIOTO RUN BLVD SCIOTO RUN SUB PH 2 LOT 80</v>
      </c>
      <c r="D13380" s="1">
        <v>212.46</v>
      </c>
    </row>
    <row r="13381" spans="1:4" x14ac:dyDescent="0.3">
      <c r="A13381" s="1" t="str">
        <f>"01029567700"</f>
        <v>01029567700</v>
      </c>
      <c r="B13381" s="1" t="str">
        <f>"WENGER MARK, WENGER CYNTHIA"</f>
        <v>WENGER MARK, WENGER CYNTHIA</v>
      </c>
      <c r="C13381" s="1" t="str">
        <f>"BRITTANY PLACE CONDOMINIUM COMMUNITY 13TH AMD BLDG 23 UNIT 5113A"</f>
        <v>BRITTANY PLACE CONDOMINIUM COMMUNITY 13TH AMD BLDG 23 UNIT 5113A</v>
      </c>
      <c r="D13381" s="1">
        <v>5401.41</v>
      </c>
    </row>
    <row r="13382" spans="1:4" x14ac:dyDescent="0.3">
      <c r="A13382" s="1" t="str">
        <f>"01008631500"</f>
        <v>01008631500</v>
      </c>
      <c r="B13382" s="1" t="str">
        <f>"WENIG MICHAEL, WENIG ALEXANDRA"</f>
        <v>WENIG MICHAEL, WENIG ALEXANDRA</v>
      </c>
      <c r="C13382" s="1" t="str">
        <f>"WEISHEIMER RD BEECHWOLD S LOT 44"</f>
        <v>WEISHEIMER RD BEECHWOLD S LOT 44</v>
      </c>
      <c r="D13382" s="1">
        <v>330.12</v>
      </c>
    </row>
    <row r="13383" spans="1:4" x14ac:dyDescent="0.3">
      <c r="A13383" s="1" t="str">
        <f>"04001450500"</f>
        <v>04001450500</v>
      </c>
      <c r="B13383" s="1" t="str">
        <f>"WENTZEL WILLIAM C TTEE"</f>
        <v>WENTZEL WILLIAM C TTEE</v>
      </c>
      <c r="C13383" s="1" t="str">
        <f>"CHESTNUT FARMS            CONDOMINIUM               BLDG 11 UNIT 11-1616     "</f>
        <v xml:space="preserve">CHESTNUT FARMS            CONDOMINIUM               BLDG 11 UNIT 11-1616     </v>
      </c>
      <c r="D13383" s="1">
        <v>5093.95</v>
      </c>
    </row>
    <row r="13384" spans="1:4" x14ac:dyDescent="0.3">
      <c r="A13384" s="1" t="str">
        <f>"01003758000"</f>
        <v>01003758000</v>
      </c>
      <c r="B13384" s="1" t="str">
        <f>"WESEN PROPERTIES LTD"</f>
        <v>WESEN PROPERTIES LTD</v>
      </c>
      <c r="C13384" s="1" t="str">
        <f>"504 W RICH ST SESSIONS WESTERN LOT 190"</f>
        <v>504 W RICH ST SESSIONS WESTERN LOT 190</v>
      </c>
      <c r="D13384" s="1">
        <v>826.36</v>
      </c>
    </row>
    <row r="13385" spans="1:4" x14ac:dyDescent="0.3">
      <c r="A13385" s="1" t="str">
        <f>"01002588100"</f>
        <v>01002588100</v>
      </c>
      <c r="B13385" s="1" t="str">
        <f>"WESENBERG DARRIN"</f>
        <v>WESENBERG DARRIN</v>
      </c>
      <c r="C13385" s="1" t="str">
        <f>"530 REYNOLDS AVE          TERRACE VIEW              WS PT LOTS 6-9                  "</f>
        <v xml:space="preserve">530 REYNOLDS AVE          TERRACE VIEW              WS PT LOTS 6-9                  </v>
      </c>
      <c r="D13385" s="1">
        <v>1412.2</v>
      </c>
    </row>
    <row r="13386" spans="1:4" x14ac:dyDescent="0.3">
      <c r="A13386" s="1" t="str">
        <f>"01003463800"</f>
        <v>01003463800</v>
      </c>
      <c r="B13386" s="1" t="str">
        <f>"WEST BROAD RISING LLC"</f>
        <v>WEST BROAD RISING LLC</v>
      </c>
      <c r="C13386" s="1" t="str">
        <f>"2420 W BROAD ST 9FT WSL1&amp;9.9FT ESL 2 EUREKA LOT 1-2"</f>
        <v>2420 W BROAD ST 9FT WSL1&amp;9.9FT ESL 2 EUREKA LOT 1-2</v>
      </c>
      <c r="D13386" s="1">
        <v>1291.27</v>
      </c>
    </row>
    <row r="13387" spans="1:4" x14ac:dyDescent="0.3">
      <c r="A13387" s="1" t="str">
        <f>"05000763000"</f>
        <v>05000763000</v>
      </c>
      <c r="B13387" s="1" t="str">
        <f>"WEST C WILLIAM"</f>
        <v>WEST C WILLIAM</v>
      </c>
      <c r="C13387" s="1" t="str">
        <f>"HERITAGE CLUB VILLAS CONDOMINIUM 1ST AMD UNIT 5-5585"</f>
        <v>HERITAGE CLUB VILLAS CONDOMINIUM 1ST AMD UNIT 5-5585</v>
      </c>
      <c r="D13387" s="1">
        <v>327</v>
      </c>
    </row>
    <row r="13388" spans="1:4" x14ac:dyDescent="0.3">
      <c r="A13388" s="1" t="str">
        <f>"04001224000"</f>
        <v>04001224000</v>
      </c>
      <c r="B13388" s="1" t="str">
        <f>"WEST CARLA LEE"</f>
        <v>WEST CARLA LEE</v>
      </c>
      <c r="C13388" s="1" t="str">
        <f>"KAILEY COURT HOOVER PARK SECTION 7 PART 2 LOT 304"</f>
        <v>KAILEY COURT HOOVER PARK SECTION 7 PART 2 LOT 304</v>
      </c>
      <c r="D13388" s="1">
        <v>301.27999999999997</v>
      </c>
    </row>
    <row r="13389" spans="1:4" x14ac:dyDescent="0.3">
      <c r="A13389" s="1" t="str">
        <f>"16100056000"</f>
        <v>16100056000</v>
      </c>
      <c r="B13389" s="1" t="str">
        <f>"WEST DONNA J"</f>
        <v>WEST DONNA J</v>
      </c>
      <c r="C13389" s="1" t="str">
        <f>"THIRD AVE URBANCREST 37 BLK 12"</f>
        <v>THIRD AVE URBANCREST 37 BLK 12</v>
      </c>
      <c r="D13389" s="1">
        <v>468.4</v>
      </c>
    </row>
    <row r="13390" spans="1:4" x14ac:dyDescent="0.3">
      <c r="A13390" s="1" t="str">
        <f>"01006232700"</f>
        <v>01006232700</v>
      </c>
      <c r="B13390" s="1" t="str">
        <f>"WEST ELM PROPERTIES LLC"</f>
        <v>WEST ELM PROPERTIES LLC</v>
      </c>
      <c r="C13390" s="1" t="str">
        <f>"ELMWOOD AVE SUMMIT PLAIN LOT 145-146-147"</f>
        <v>ELMWOOD AVE SUMMIT PLAIN LOT 145-146-147</v>
      </c>
      <c r="D13390" s="1">
        <v>4126</v>
      </c>
    </row>
    <row r="13391" spans="1:4" x14ac:dyDescent="0.3">
      <c r="A13391" s="1" t="str">
        <f>"01006207900"</f>
        <v>01006207900</v>
      </c>
      <c r="B13391" s="1" t="str">
        <f>"WEST ELM PROPERTIES LLC"</f>
        <v>WEST ELM PROPERTIES LLC</v>
      </c>
      <c r="C13391" s="1" t="str">
        <f>"WESTWOOD AVE SUMMIT PLAIN LOT 174-175-176"</f>
        <v>WESTWOOD AVE SUMMIT PLAIN LOT 174-175-176</v>
      </c>
      <c r="D13391" s="1">
        <v>9888.3700000000008</v>
      </c>
    </row>
    <row r="13392" spans="1:4" x14ac:dyDescent="0.3">
      <c r="A13392" s="1" t="str">
        <f>"01023343000"</f>
        <v>01023343000</v>
      </c>
      <c r="B13392" s="1" t="str">
        <f>"WEST HOME LLC"</f>
        <v>WEST HOME LLC</v>
      </c>
      <c r="C13392" s="1" t="str">
        <f>"MCNEILL FARMS EAST CONDOMINIUM 14TH AMD UNIT 87C"</f>
        <v>MCNEILL FARMS EAST CONDOMINIUM 14TH AMD UNIT 87C</v>
      </c>
      <c r="D13392" s="1">
        <v>111.16</v>
      </c>
    </row>
    <row r="13393" spans="1:4" x14ac:dyDescent="0.3">
      <c r="A13393" s="1" t="str">
        <f>"01028626400"</f>
        <v>01028626400</v>
      </c>
      <c r="B13393" s="1" t="str">
        <f>"WEST LEPPERT INVESTMENTS LLC"</f>
        <v>WEST LEPPERT INVESTMENTS LLC</v>
      </c>
      <c r="C13393" s="1" t="str">
        <f>"W HAYDEN RD ENTRY 6366 2.265 ACRES"</f>
        <v>W HAYDEN RD ENTRY 6366 2.265 ACRES</v>
      </c>
      <c r="D13393" s="1">
        <v>21.78</v>
      </c>
    </row>
    <row r="13394" spans="1:4" x14ac:dyDescent="0.3">
      <c r="A13394" s="1" t="str">
        <f>"01027623200"</f>
        <v>01027623200</v>
      </c>
      <c r="B13394" s="1" t="str">
        <f>"WEST LEPPERT INVESTMENTS LLC"</f>
        <v>WEST LEPPERT INVESTMENTS LLC</v>
      </c>
      <c r="C13394" s="1" t="str">
        <f>"W HAYDEN PIKE ENTRY 6366 10.4193 ACRES"</f>
        <v>W HAYDEN PIKE ENTRY 6366 10.4193 ACRES</v>
      </c>
      <c r="D13394" s="1">
        <v>11.33</v>
      </c>
    </row>
    <row r="13395" spans="1:4" x14ac:dyDescent="0.3">
      <c r="A13395" s="1" t="str">
        <f>"01011282200"</f>
        <v>01011282200</v>
      </c>
      <c r="B13395" s="1" t="str">
        <f>"WEST LUAWANDA K, WEST HAROLD L JR"</f>
        <v>WEST LUAWANDA K, WEST HAROLD L JR</v>
      </c>
      <c r="C13395" s="1" t="str">
        <f>"MERION EXRS LOT K-L "</f>
        <v xml:space="preserve">MERION EXRS LOT K-L </v>
      </c>
      <c r="D13395" s="1">
        <v>1406.64</v>
      </c>
    </row>
    <row r="13396" spans="1:4" x14ac:dyDescent="0.3">
      <c r="A13396" s="1" t="str">
        <f>"01021713400"</f>
        <v>01021713400</v>
      </c>
      <c r="B13396" s="1" t="str">
        <f>"WEST MOUND ESTATES LLC"</f>
        <v>WEST MOUND ESTATES LLC</v>
      </c>
      <c r="C13396" s="1" t="str">
        <f>"1675 W MOUND STREET OQ1000 ENTRY 422 3.300 ACRES"</f>
        <v>1675 W MOUND STREET OQ1000 ENTRY 422 3.300 ACRES</v>
      </c>
      <c r="D13396" s="1">
        <v>11691.46</v>
      </c>
    </row>
    <row r="13397" spans="1:4" x14ac:dyDescent="0.3">
      <c r="A13397" s="1" t="str">
        <f>"08000289600"</f>
        <v>08000289600</v>
      </c>
      <c r="B13397" s="1" t="str">
        <f>"WEST POST INVESTMENTS LLC"</f>
        <v>WEST POST INVESTMENTS LLC</v>
      </c>
      <c r="C13397" s="1" t="str">
        <f>"BISHOP DR BURK,S J B C 3 15 "</f>
        <v xml:space="preserve">BISHOP DR BURK,S J B C 3 15 </v>
      </c>
      <c r="D13397" s="1">
        <v>1738.03</v>
      </c>
    </row>
    <row r="13398" spans="1:4" x14ac:dyDescent="0.3">
      <c r="A13398" s="1" t="str">
        <f>"16100016900"</f>
        <v>16100016900</v>
      </c>
      <c r="B13398" s="1" t="str">
        <f>"WEST SABRINA L"</f>
        <v>WEST SABRINA L</v>
      </c>
      <c r="C13398" s="1" t="str">
        <f>"4TH AVE URBANCREST BLK 22 LOTS 14-16"</f>
        <v>4TH AVE URBANCREST BLK 22 LOTS 14-16</v>
      </c>
      <c r="D13398" s="1">
        <v>3500</v>
      </c>
    </row>
    <row r="13399" spans="1:4" x14ac:dyDescent="0.3">
      <c r="A13399" s="1" t="str">
        <f>"01010362300"</f>
        <v>01010362300</v>
      </c>
      <c r="B13399" s="1" t="str">
        <f>"WEST SCOTT E"</f>
        <v>WEST SCOTT E</v>
      </c>
      <c r="C13399" s="1" t="str">
        <f>"COOKE RD .75 ACRE LOT 16"</f>
        <v>COOKE RD .75 ACRE LOT 16</v>
      </c>
      <c r="D13399" s="1">
        <v>6397.13</v>
      </c>
    </row>
    <row r="13400" spans="1:4" x14ac:dyDescent="0.3">
      <c r="A13400" s="1" t="str">
        <f>"01006955500"</f>
        <v>01006955500</v>
      </c>
      <c r="B13400" s="1" t="str">
        <f>"WEST SHANDARA S"</f>
        <v>WEST SHANDARA S</v>
      </c>
      <c r="C13400" s="1" t="str">
        <f>"2475 PARKWOOD AVE LINDEN VIEW 3RD ACRE LOT 52"</f>
        <v>2475 PARKWOOD AVE LINDEN VIEW 3RD ACRE LOT 52</v>
      </c>
      <c r="D13400" s="1">
        <v>1327.38</v>
      </c>
    </row>
    <row r="13401" spans="1:4" x14ac:dyDescent="0.3">
      <c r="A13401" s="1" t="str">
        <f>"01011414500"</f>
        <v>01011414500</v>
      </c>
      <c r="B13401" s="1" t="str">
        <f>"WEST STANLEY"</f>
        <v>WEST STANLEY</v>
      </c>
      <c r="C13401" s="1" t="str">
        <f>"LEWIS AVE ACRES .459 R22 T4 S1"</f>
        <v>LEWIS AVE ACRES .459 R22 T4 S1</v>
      </c>
      <c r="D13401" s="1">
        <v>262.27999999999997</v>
      </c>
    </row>
    <row r="13402" spans="1:4" x14ac:dyDescent="0.3">
      <c r="A13402" s="1" t="str">
        <f>"01006259100"</f>
        <v>01006259100</v>
      </c>
      <c r="B13402" s="1" t="str">
        <f>"WEST THIRD AVENUE CHURCH LLC"</f>
        <v>WEST THIRD AVENUE CHURCH LLC</v>
      </c>
      <c r="C13402" s="1" t="str">
        <f>"3RD AVE EAST VIEW LOT 13"</f>
        <v>3RD AVE EAST VIEW LOT 13</v>
      </c>
      <c r="D13402" s="1">
        <v>4713.83</v>
      </c>
    </row>
    <row r="13403" spans="1:4" x14ac:dyDescent="0.3">
      <c r="A13403" s="1" t="str">
        <f>"01000050200"</f>
        <v>01000050200</v>
      </c>
      <c r="B13403" s="1" t="str">
        <f>"WEST THOMAS E"</f>
        <v>WEST THOMAS E</v>
      </c>
      <c r="C13403" s="1" t="str">
        <f>"128 BREHL AVE DORENS CENTRAL LOT 68"</f>
        <v>128 BREHL AVE DORENS CENTRAL LOT 68</v>
      </c>
      <c r="D13403" s="1">
        <v>1972.48</v>
      </c>
    </row>
    <row r="13404" spans="1:4" x14ac:dyDescent="0.3">
      <c r="A13404" s="1" t="str">
        <f>"01006018600"</f>
        <v>01006018600</v>
      </c>
      <c r="B13404" s="1" t="str">
        <f>"WESTBROOK ANGELINE"</f>
        <v>WESTBROOK ANGELINE</v>
      </c>
      <c r="C13404" s="1" t="str">
        <f>"E 23RD AVE WALDMERE LOT 119"</f>
        <v>E 23RD AVE WALDMERE LOT 119</v>
      </c>
      <c r="D13404" s="1">
        <v>67.7</v>
      </c>
    </row>
    <row r="13405" spans="1:4" x14ac:dyDescent="0.3">
      <c r="A13405" s="1" t="str">
        <f>"02500853400"</f>
        <v>02500853400</v>
      </c>
      <c r="B13405" s="1" t="str">
        <f>"WESTER THOMAS J, WESTER KARAN K"</f>
        <v>WESTER THOMAS J, WESTER KARAN K</v>
      </c>
      <c r="C13405" s="1" t="str">
        <f>"LUDWIG DRIVE HENSEL WOODS NORTH LOT 48"</f>
        <v>LUDWIG DRIVE HENSEL WOODS NORTH LOT 48</v>
      </c>
      <c r="D13405" s="1">
        <v>5197.12</v>
      </c>
    </row>
    <row r="13406" spans="1:4" x14ac:dyDescent="0.3">
      <c r="A13406" s="1" t="str">
        <f>"01003230900"</f>
        <v>01003230900</v>
      </c>
      <c r="B13406" s="1" t="str">
        <f>"WESTERN-MARTIN YVETTE R"</f>
        <v>WESTERN-MARTIN YVETTE R</v>
      </c>
      <c r="C13406" s="1" t="str">
        <f>"FRANKFORT ST LIVINGSTON WHITTIER GARDENS LOT 319-320"</f>
        <v>FRANKFORT ST LIVINGSTON WHITTIER GARDENS LOT 319-320</v>
      </c>
      <c r="D13406" s="1">
        <v>1356.36</v>
      </c>
    </row>
    <row r="13407" spans="1:4" x14ac:dyDescent="0.3">
      <c r="A13407" s="1" t="str">
        <f>"08001158600"</f>
        <v>08001158600</v>
      </c>
      <c r="B13407" s="1" t="str">
        <f>"WESTERVILLE REAL HOLDINGS LLC"</f>
        <v>WESTERVILLE REAL HOLDINGS LLC</v>
      </c>
      <c r="C13407" s="1" t="str">
        <f>"259 N STATE ST R17 T2 S2 0.4288 ACRE"</f>
        <v>259 N STATE ST R17 T2 S2 0.4288 ACRE</v>
      </c>
      <c r="D13407" s="1">
        <v>2977.26</v>
      </c>
    </row>
    <row r="13408" spans="1:4" x14ac:dyDescent="0.3">
      <c r="A13408" s="1" t="str">
        <f>"06000429800"</f>
        <v>06000429800</v>
      </c>
      <c r="B13408" s="1" t="str">
        <f>"WESTFALL TIMOTHY L"</f>
        <v>WESTFALL TIMOTHY L</v>
      </c>
      <c r="C13408" s="1" t="str">
        <f>"FIRETHORN AVE ROSETREE LOT 121"</f>
        <v>FIRETHORN AVE ROSETREE LOT 121</v>
      </c>
      <c r="D13408" s="1">
        <v>170.3</v>
      </c>
    </row>
    <row r="13409" spans="1:4" x14ac:dyDescent="0.3">
      <c r="A13409" s="1" t="str">
        <f>"01007728900"</f>
        <v>01007728900</v>
      </c>
      <c r="B13409" s="1" t="str">
        <f>"WESTGATE PROPERTY HOLDINGS LLC"</f>
        <v>WESTGATE PROPERTY HOLDINGS LLC</v>
      </c>
      <c r="C13409" s="1" t="str">
        <f>"HURON AVE NORTHVIEW ON HILLTOP LOT 80"</f>
        <v>HURON AVE NORTHVIEW ON HILLTOP LOT 80</v>
      </c>
      <c r="D13409" s="1">
        <v>2815.64</v>
      </c>
    </row>
    <row r="13410" spans="1:4" x14ac:dyDescent="0.3">
      <c r="A13410" s="1" t="str">
        <f>"01007589300"</f>
        <v>01007589300</v>
      </c>
      <c r="B13410" s="1" t="str">
        <f>"WESTGATE PROPERTY HOLDINGS LLC"</f>
        <v>WESTGATE PROPERTY HOLDINGS LLC</v>
      </c>
      <c r="C13410" s="1" t="str">
        <f>"SULLIVANT AVE B WALTERS LOT 14"</f>
        <v>SULLIVANT AVE B WALTERS LOT 14</v>
      </c>
      <c r="D13410" s="1">
        <v>2656.5</v>
      </c>
    </row>
    <row r="13411" spans="1:4" x14ac:dyDescent="0.3">
      <c r="A13411" s="1" t="str">
        <f>"01001265500"</f>
        <v>01001265500</v>
      </c>
      <c r="B13411" s="1" t="str">
        <f>"WESTSIDE REPAIRS UNLIMITED LLC"</f>
        <v>WESTSIDE REPAIRS UNLIMITED LLC</v>
      </c>
      <c r="C13411" s="1" t="str">
        <f>"190 N CENTRAL AVE REAR DREHER LOT 1"</f>
        <v>190 N CENTRAL AVE REAR DREHER LOT 1</v>
      </c>
      <c r="D13411" s="1">
        <v>1334.55</v>
      </c>
    </row>
    <row r="13412" spans="1:4" x14ac:dyDescent="0.3">
      <c r="A13412" s="1" t="str">
        <f>"60015529800"</f>
        <v>60015529800</v>
      </c>
      <c r="B13412" s="1" t="str">
        <f>"WETZEL DANIEL G"</f>
        <v>WETZEL DANIEL G</v>
      </c>
      <c r="C13412" s="1" t="str">
        <f>"SOUTH PARK DRIVE GOULD PARK 2 211"</f>
        <v>SOUTH PARK DRIVE GOULD PARK 2 211</v>
      </c>
      <c r="D13412" s="1">
        <v>97.27</v>
      </c>
    </row>
    <row r="13413" spans="1:4" x14ac:dyDescent="0.3">
      <c r="A13413" s="1" t="str">
        <f>"57022129000"</f>
        <v>57022129000</v>
      </c>
      <c r="B13413" s="1" t="str">
        <f>"WEXFORD GREEN I ASSOCIATION INC"</f>
        <v>WEXFORD GREEN I ASSOCIATION INC</v>
      </c>
      <c r="C13413" s="1" t="str">
        <f>"WEXFORD GREEN SECTION 1 PART 1 RESERVE A 2.407AC"</f>
        <v>WEXFORD GREEN SECTION 1 PART 1 RESERVE A 2.407AC</v>
      </c>
      <c r="D13413" s="1">
        <v>10.44</v>
      </c>
    </row>
    <row r="13414" spans="1:4" x14ac:dyDescent="0.3">
      <c r="A13414" s="1" t="str">
        <f>"01027187800"</f>
        <v>01027187800</v>
      </c>
      <c r="B13414" s="1" t="str">
        <f>"WG INVESTMENTS - OREGON ST LLC"</f>
        <v>WG INVESTMENTS - OREGON ST LLC</v>
      </c>
      <c r="C13414" s="1" t="str">
        <f>"OREGON AVENUE             CONDOMINIUM               UNIT 4                   "</f>
        <v xml:space="preserve">OREGON AVENUE             CONDOMINIUM               UNIT 4                   </v>
      </c>
      <c r="D13414" s="1">
        <v>7364.84</v>
      </c>
    </row>
    <row r="13415" spans="1:4" x14ac:dyDescent="0.3">
      <c r="A13415" s="1" t="str">
        <f>"01011153300"</f>
        <v>01011153300</v>
      </c>
      <c r="B13415" s="1" t="str">
        <f>"WHALEN COLEEN"</f>
        <v>WHALEN COLEEN</v>
      </c>
      <c r="C13415" s="1" t="str">
        <f>"WILLIAMS RD HOME ACRES LOT 76"</f>
        <v>WILLIAMS RD HOME ACRES LOT 76</v>
      </c>
      <c r="D13415" s="1">
        <v>1079.05</v>
      </c>
    </row>
    <row r="13416" spans="1:4" x14ac:dyDescent="0.3">
      <c r="A13416" s="1" t="str">
        <f>"01013271700"</f>
        <v>01013271700</v>
      </c>
      <c r="B13416" s="1" t="str">
        <f>"WHAR KIRANBIR, WHAR JASWANT"</f>
        <v>WHAR KIRANBIR, WHAR JASWANT</v>
      </c>
      <c r="C13416" s="1" t="str">
        <f>"STRIMPLE AVE AVEN GARDENS 2 LOT 28"</f>
        <v>STRIMPLE AVE AVEN GARDENS 2 LOT 28</v>
      </c>
      <c r="D13416" s="1">
        <v>3325.8</v>
      </c>
    </row>
    <row r="13417" spans="1:4" x14ac:dyDescent="0.3">
      <c r="A13417" s="1" t="str">
        <f>"08001164500"</f>
        <v>08001164500</v>
      </c>
      <c r="B13417" s="1" t="str">
        <f>"WHARTON GEORGE J, WHARTON ROBIN B"</f>
        <v>WHARTON GEORGE J, WHARTON ROBIN B</v>
      </c>
      <c r="C13417" s="1" t="str">
        <f>"BIGHAM RIDGE PHASE 1 LOT 9"</f>
        <v>BIGHAM RIDGE PHASE 1 LOT 9</v>
      </c>
      <c r="D13417" s="1">
        <v>5868.01</v>
      </c>
    </row>
    <row r="13418" spans="1:4" x14ac:dyDescent="0.3">
      <c r="A13418" s="1" t="str">
        <f>"60019446800"</f>
        <v>60019446800</v>
      </c>
      <c r="B13418" s="1" t="str">
        <f>"WHARTON KATHY A"</f>
        <v>WHARTON KATHY A</v>
      </c>
      <c r="C13418" s="1" t="str">
        <f>"GREAT HALL CT SHERWOOD COL CONDO V UNIT A BLDG 12"</f>
        <v>GREAT HALL CT SHERWOOD COL CONDO V UNIT A BLDG 12</v>
      </c>
      <c r="D13418" s="1">
        <v>2784.96</v>
      </c>
    </row>
    <row r="13419" spans="1:4" x14ac:dyDescent="0.3">
      <c r="A13419" s="1" t="str">
        <f>"02500555900"</f>
        <v>02500555900</v>
      </c>
      <c r="B13419" s="1" t="str">
        <f>"WHARTON NICHOLAS A, WHARTON MEGAN E"</f>
        <v>WHARTON NICHOLAS A, WHARTON MEGAN E</v>
      </c>
      <c r="C13419" s="1" t="str">
        <f>"783 MCDONELL DRIVE WOODSIDE GREEN SEC 1 LOT 22"</f>
        <v>783 MCDONELL DRIVE WOODSIDE GREEN SEC 1 LOT 22</v>
      </c>
      <c r="D13419" s="1">
        <v>3254.98</v>
      </c>
    </row>
    <row r="13420" spans="1:4" x14ac:dyDescent="0.3">
      <c r="A13420" s="1" t="str">
        <f>"01007736700"</f>
        <v>01007736700</v>
      </c>
      <c r="B13420" s="1" t="str">
        <f>"WHEAT DEBORAH ANN, HUDGE DUANE M, JUDGE KEVIN J, JUDGE DARRYL V, JUDGE DONALD E JR, JORDAN TOYA L, JUDGE DONITA D"</f>
        <v>WHEAT DEBORAH ANN, HUDGE DUANE M, JUDGE KEVIN J, JUDGE DARRYL V, JUDGE DONALD E JR, JORDAN TOYA L, JUDGE DONITA D</v>
      </c>
      <c r="C13420" s="1" t="str">
        <f>"HUDSON ST 41 X 130 FT R18 T1 S4 26"</f>
        <v>HUDSON ST 41 X 130 FT R18 T1 S4 26</v>
      </c>
      <c r="D13420" s="1">
        <v>3781.72</v>
      </c>
    </row>
    <row r="13421" spans="1:4" x14ac:dyDescent="0.3">
      <c r="A13421" s="1" t="str">
        <f>"01007736800"</f>
        <v>01007736800</v>
      </c>
      <c r="B13421" s="1" t="str">
        <f>"WHEAT DEBORAH ANN, JUDGE DUANE M, JUDGE DONITA D, JUDGE KEVIN J, JUDGE DARRYL V, JUDGE DONALD E JR, JORDAN TOYA L"</f>
        <v>WHEAT DEBORAH ANN, JUDGE DUANE M, JUDGE DONITA D, JUDGE KEVIN J, JUDGE DARRYL V, JUDGE DONALD E JR, JORDAN TOYA L</v>
      </c>
      <c r="C13421" s="1" t="str">
        <f>"HUDSON ST 41 X 130 FT R18 T1 S4 26"</f>
        <v>HUDSON ST 41 X 130 FT R18 T1 S4 26</v>
      </c>
      <c r="D13421" s="1">
        <v>553.77</v>
      </c>
    </row>
    <row r="13422" spans="1:4" x14ac:dyDescent="0.3">
      <c r="A13422" s="1" t="str">
        <f>"01001671900"</f>
        <v>01001671900</v>
      </c>
      <c r="B13422" s="1" t="str">
        <f>"WHEAT LATRICIA A"</f>
        <v>WHEAT LATRICIA A</v>
      </c>
      <c r="C13422" s="1" t="str">
        <f>"624 WILSON AVE OAKWOODS EAST LOT 378"</f>
        <v>624 WILSON AVE OAKWOODS EAST LOT 378</v>
      </c>
      <c r="D13422" s="1">
        <v>2047.23</v>
      </c>
    </row>
    <row r="13423" spans="1:4" x14ac:dyDescent="0.3">
      <c r="A13423" s="1" t="str">
        <f>"01001016700"</f>
        <v>01001016700</v>
      </c>
      <c r="B13423" s="1" t="str">
        <f>"WHEELER ROBERT"</f>
        <v>WHEELER ROBERT</v>
      </c>
      <c r="C13423" s="1" t="str">
        <f>"518 GATES ST LOWRIE BROS LOT 16"</f>
        <v>518 GATES ST LOWRIE BROS LOT 16</v>
      </c>
      <c r="D13423" s="1">
        <v>3715.46</v>
      </c>
    </row>
    <row r="13424" spans="1:4" x14ac:dyDescent="0.3">
      <c r="A13424" s="1" t="str">
        <f>"01028582500"</f>
        <v>01028582500</v>
      </c>
      <c r="B13424" s="1" t="str">
        <f>"WHEELER TIMOTHY"</f>
        <v>WHEELER TIMOTHY</v>
      </c>
      <c r="C13424" s="1" t="str">
        <f>"BRITTANY PLACE CONDOMINIUM COMMUNITY 3RD AMD UNIT 5031"</f>
        <v>BRITTANY PLACE CONDOMINIUM COMMUNITY 3RD AMD UNIT 5031</v>
      </c>
      <c r="D13424" s="1">
        <v>419.19</v>
      </c>
    </row>
    <row r="13425" spans="1:4" x14ac:dyDescent="0.3">
      <c r="A13425" s="1" t="str">
        <f>"10000167800"</f>
        <v>10000167800</v>
      </c>
      <c r="B13425" s="1" t="str">
        <f>"WHINNERY DANIEL F"</f>
        <v>WHINNERY DANIEL F</v>
      </c>
      <c r="C13425" s="1" t="str">
        <f>"590 SELBY BLVD S COLONIAL HILLS DALES LOT 12 BLK N"</f>
        <v>590 SELBY BLVD S COLONIAL HILLS DALES LOT 12 BLK N</v>
      </c>
      <c r="D13425" s="1">
        <v>358.54</v>
      </c>
    </row>
    <row r="13426" spans="1:4" x14ac:dyDescent="0.3">
      <c r="A13426" s="1" t="str">
        <f>"18000287800"</f>
        <v>18000287800</v>
      </c>
      <c r="B13426" s="1" t="str">
        <f>"WHISMAN RENEE V"</f>
        <v>WHISMAN RENEE V</v>
      </c>
      <c r="C13426" s="1" t="str">
        <f>"HARBOR BLVD BLACKLICK ESTATES 4 68"</f>
        <v>HARBOR BLVD BLACKLICK ESTATES 4 68</v>
      </c>
      <c r="D13426" s="1">
        <v>13.01</v>
      </c>
    </row>
    <row r="13427" spans="1:4" x14ac:dyDescent="0.3">
      <c r="A13427" s="1" t="str">
        <f>"01012403800"</f>
        <v>01012403800</v>
      </c>
      <c r="B13427" s="1" t="str">
        <f>"WHITAKER KANDA LYNN"</f>
        <v>WHITAKER KANDA LYNN</v>
      </c>
      <c r="C13427" s="1" t="str">
        <f>"ZIEGLER AVE HILLGATE 3 LOT 268"</f>
        <v>ZIEGLER AVE HILLGATE 3 LOT 268</v>
      </c>
      <c r="D13427" s="1">
        <v>1477.64</v>
      </c>
    </row>
    <row r="13428" spans="1:4" x14ac:dyDescent="0.3">
      <c r="A13428" s="1" t="str">
        <f>"02000118700"</f>
        <v>02000118700</v>
      </c>
      <c r="B13428" s="1" t="str">
        <f>"WHITE ANDREW S, WHITE ERIN H"</f>
        <v>WHITE ANDREW S, WHITE ERIN H</v>
      </c>
      <c r="C13428" s="1" t="str">
        <f>"198 N ARDMORE RD ARDMORE 2 LOT 719"</f>
        <v>198 N ARDMORE RD ARDMORE 2 LOT 719</v>
      </c>
      <c r="D13428" s="1">
        <v>4747.0200000000004</v>
      </c>
    </row>
    <row r="13429" spans="1:4" x14ac:dyDescent="0.3">
      <c r="A13429" s="1" t="str">
        <f>"01008056800"</f>
        <v>01008056800</v>
      </c>
      <c r="B13429" s="1" t="str">
        <f>"WHITE BERNARD"</f>
        <v>WHITE BERNARD</v>
      </c>
      <c r="C13429" s="1" t="str">
        <f>"GEERS AVE DRIVING PARK LOT 69"</f>
        <v>GEERS AVE DRIVING PARK LOT 69</v>
      </c>
      <c r="D13429" s="1">
        <v>1510.86</v>
      </c>
    </row>
    <row r="13430" spans="1:4" x14ac:dyDescent="0.3">
      <c r="A13430" s="1" t="str">
        <f>"01006725200"</f>
        <v>01006725200</v>
      </c>
      <c r="B13430" s="1" t="str">
        <f>"WHITE DOLPHUS"</f>
        <v>WHITE DOLPHUS</v>
      </c>
      <c r="C13430" s="1" t="str">
        <f>"FAIRWOOD AVE LIVINGSTON WHITTIER GARDENS LOT 47"</f>
        <v>FAIRWOOD AVE LIVINGSTON WHITTIER GARDENS LOT 47</v>
      </c>
      <c r="D13430" s="1">
        <v>171.21</v>
      </c>
    </row>
    <row r="13431" spans="1:4" x14ac:dyDescent="0.3">
      <c r="A13431" s="1" t="str">
        <f>"14000649800"</f>
        <v>14000649800</v>
      </c>
      <c r="B13431" s="1" t="str">
        <f>"WHITE DONALD K, WHITE SHARON A"</f>
        <v>WHITE DONALD K, WHITE SHARON A</v>
      </c>
      <c r="C13431" s="1" t="str">
        <f>"3350 TALBOT PLACE HOLIDAY HILLS ESTATES 2 28"</f>
        <v>3350 TALBOT PLACE HOLIDAY HILLS ESTATES 2 28</v>
      </c>
      <c r="D13431" s="1">
        <v>243.28</v>
      </c>
    </row>
    <row r="13432" spans="1:4" x14ac:dyDescent="0.3">
      <c r="A13432" s="1" t="str">
        <f>"07000428700"</f>
        <v>07000428700</v>
      </c>
      <c r="B13432" s="1" t="str">
        <f>"WHITE ELIZABETH A TR"</f>
        <v>WHITE ELIZABETH A TR</v>
      </c>
      <c r="C13432" s="1" t="str">
        <f>"LEEDS. RD CANTERBURY PL.EXT 1 15 BLK 252"</f>
        <v>LEEDS. RD CANTERBURY PL.EXT 1 15 BLK 252</v>
      </c>
      <c r="D13432" s="1">
        <v>16415.09</v>
      </c>
    </row>
    <row r="13433" spans="1:4" x14ac:dyDescent="0.3">
      <c r="A13433" s="1" t="str">
        <f>"27301081200"</f>
        <v>27301081200</v>
      </c>
      <c r="B13433" s="1" t="str">
        <f>"WHITE FOX &amp; CO LTD"</f>
        <v>WHITE FOX &amp; CO LTD</v>
      </c>
      <c r="C13433" s="1" t="str">
        <f>"WYANDOTTE WOODS BOULEVARD WYANDOTTE WOODS SECTION 2 PHASE 1 LOT 41"</f>
        <v>WYANDOTTE WOODS BOULEVARD WYANDOTTE WOODS SECTION 2 PHASE 1 LOT 41</v>
      </c>
      <c r="D13433" s="1">
        <v>8953.14</v>
      </c>
    </row>
    <row r="13434" spans="1:4" x14ac:dyDescent="0.3">
      <c r="A13434" s="1" t="str">
        <f>"01011520400"</f>
        <v>01011520400</v>
      </c>
      <c r="B13434" s="1" t="str">
        <f>"WHITE HEATHER A"</f>
        <v>WHITE HEATHER A</v>
      </c>
      <c r="C13434" s="1" t="str">
        <f>"WILSON AVE LAWRENCE OAKLAND AMD LOT 30"</f>
        <v>WILSON AVE LAWRENCE OAKLAND AMD LOT 30</v>
      </c>
      <c r="D13434" s="1">
        <v>2677.29</v>
      </c>
    </row>
    <row r="13435" spans="1:4" x14ac:dyDescent="0.3">
      <c r="A13435" s="1" t="str">
        <f>"01016164100"</f>
        <v>01016164100</v>
      </c>
      <c r="B13435" s="1" t="str">
        <f>"WHITE HEATHER M TR"</f>
        <v>WHITE HEATHER M TR</v>
      </c>
      <c r="C13435" s="1" t="str">
        <f>"WINDING HILLS COURT WINDING HILLS CONDOMINIUM 2438"</f>
        <v>WINDING HILLS COURT WINDING HILLS CONDOMINIUM 2438</v>
      </c>
      <c r="D13435" s="1">
        <v>1677.31</v>
      </c>
    </row>
    <row r="13436" spans="1:4" x14ac:dyDescent="0.3">
      <c r="A13436" s="1" t="str">
        <f>"01014549400"</f>
        <v>01014549400</v>
      </c>
      <c r="B13436" s="1" t="str">
        <f>"WHITE JANET J"</f>
        <v>WHITE JANET J</v>
      </c>
      <c r="C13436" s="1" t="str">
        <f>"TOWNE WOOD LOT 8 "</f>
        <v xml:space="preserve">TOWNE WOOD LOT 8 </v>
      </c>
      <c r="D13436" s="1">
        <v>335.76</v>
      </c>
    </row>
    <row r="13437" spans="1:4" x14ac:dyDescent="0.3">
      <c r="A13437" s="1" t="str">
        <f>"16100101900"</f>
        <v>16100101900</v>
      </c>
      <c r="B13437" s="1" t="str">
        <f>"WHITE JOSEPH B JR"</f>
        <v>WHITE JOSEPH B JR</v>
      </c>
      <c r="C13437" s="1" t="str">
        <f>"LINCOLN RD KEMPERS ADD TO URBANCREST 21"</f>
        <v>LINCOLN RD KEMPERS ADD TO URBANCREST 21</v>
      </c>
      <c r="D13437" s="1">
        <v>88.7</v>
      </c>
    </row>
    <row r="13438" spans="1:4" x14ac:dyDescent="0.3">
      <c r="A13438" s="1" t="str">
        <f>"16100102000"</f>
        <v>16100102000</v>
      </c>
      <c r="B13438" s="1" t="str">
        <f>"WHITE JOSEPH B JR"</f>
        <v>WHITE JOSEPH B JR</v>
      </c>
      <c r="C13438" s="1" t="str">
        <f>"LINCOLN RD KEMPERS ADD TO URBANCREST 22"</f>
        <v>LINCOLN RD KEMPERS ADD TO URBANCREST 22</v>
      </c>
      <c r="D13438" s="1">
        <v>88.7</v>
      </c>
    </row>
    <row r="13439" spans="1:4" x14ac:dyDescent="0.3">
      <c r="A13439" s="1" t="str">
        <f>"01014956200"</f>
        <v>01014956200</v>
      </c>
      <c r="B13439" s="1" t="str">
        <f>"WHITE JULIA A"</f>
        <v>WHITE JULIA A</v>
      </c>
      <c r="C13439" s="1" t="str">
        <f>"MERIDIAN COURT LEXINGTON SECTION #1 LOT 124"</f>
        <v>MERIDIAN COURT LEXINGTON SECTION #1 LOT 124</v>
      </c>
      <c r="D13439" s="1">
        <v>2484.41</v>
      </c>
    </row>
    <row r="13440" spans="1:4" x14ac:dyDescent="0.3">
      <c r="A13440" s="1" t="str">
        <f>"01014093800"</f>
        <v>01014093800</v>
      </c>
      <c r="B13440" s="1" t="str">
        <f>"WHITE KEITH A, STILL KAREN M"</f>
        <v>WHITE KEITH A, STILL KAREN M</v>
      </c>
      <c r="C13440" s="1" t="str">
        <f>"2599 KENVIEW RD S BERWICK ESTATES LOT 19"</f>
        <v>2599 KENVIEW RD S BERWICK ESTATES LOT 19</v>
      </c>
      <c r="D13440" s="1">
        <v>2327.06</v>
      </c>
    </row>
    <row r="13441" spans="1:4" x14ac:dyDescent="0.3">
      <c r="A13441" s="1" t="str">
        <f>"01012531100"</f>
        <v>01012531100</v>
      </c>
      <c r="B13441" s="1" t="str">
        <f>"WHITE LILY M"</f>
        <v>WHITE LILY M</v>
      </c>
      <c r="C13441" s="1" t="str">
        <f>"GROVEWOOD DR SOUTHFIELD 2ND LOT 116"</f>
        <v>GROVEWOOD DR SOUTHFIELD 2ND LOT 116</v>
      </c>
      <c r="D13441" s="1">
        <v>874.68</v>
      </c>
    </row>
    <row r="13442" spans="1:4" x14ac:dyDescent="0.3">
      <c r="A13442" s="1" t="str">
        <f>"03000007600"</f>
        <v>03000007600</v>
      </c>
      <c r="B13442" s="1" t="str">
        <f>"WHITE MATTHEW SCOTT"</f>
        <v>WHITE MATTHEW SCOTT</v>
      </c>
      <c r="C13442" s="1" t="str">
        <f>"1210 ELMWOOD AVE 71 FT N PT URLINS 2ND GRANDVIEW HTS 42"</f>
        <v>1210 ELMWOOD AVE 71 FT N PT URLINS 2ND GRANDVIEW HTS 42</v>
      </c>
      <c r="D13442" s="1">
        <v>753.3</v>
      </c>
    </row>
    <row r="13443" spans="1:4" x14ac:dyDescent="0.3">
      <c r="A13443" s="1" t="str">
        <f>"01028183300"</f>
        <v>01028183300</v>
      </c>
      <c r="B13443" s="1" t="str">
        <f>"WHITE PAMELA S"</f>
        <v>WHITE PAMELA S</v>
      </c>
      <c r="C13443" s="1" t="str">
        <f>"THE RESERVE AT PRESTON WOODS CONDOMINIUMS BLDG 37 UNIT 5374"</f>
        <v>THE RESERVE AT PRESTON WOODS CONDOMINIUMS BLDG 37 UNIT 5374</v>
      </c>
      <c r="D13443" s="1">
        <v>154.62</v>
      </c>
    </row>
    <row r="13444" spans="1:4" x14ac:dyDescent="0.3">
      <c r="A13444" s="1" t="str">
        <f>"01005286700"</f>
        <v>01005286700</v>
      </c>
      <c r="B13444" s="1" t="str">
        <f>"WHITE ROBERTA, HOUSTON DAVID C"</f>
        <v>WHITE ROBERTA, HOUSTON DAVID C</v>
      </c>
      <c r="C13444" s="1" t="str">
        <f>"358 WILSON AVE WILSON &amp; SHARP LOT 1-2"</f>
        <v>358 WILSON AVE WILSON &amp; SHARP LOT 1-2</v>
      </c>
      <c r="D13444" s="1">
        <v>1466.54</v>
      </c>
    </row>
    <row r="13445" spans="1:4" x14ac:dyDescent="0.3">
      <c r="A13445" s="1" t="str">
        <f>"01009849700"</f>
        <v>01009849700</v>
      </c>
      <c r="B13445" s="1" t="str">
        <f>"WHITE SARAH"</f>
        <v>WHITE SARAH</v>
      </c>
      <c r="C13445" s="1" t="str">
        <f>"BERWICK AVE 15FT NS 230&amp;ALL LOT 231 NORLEA PK LT 230-231"</f>
        <v>BERWICK AVE 15FT NS 230&amp;ALL LOT 231 NORLEA PK LT 230-231</v>
      </c>
      <c r="D13445" s="1">
        <v>528.87</v>
      </c>
    </row>
    <row r="13446" spans="1:4" x14ac:dyDescent="0.3">
      <c r="A13446" s="1" t="str">
        <f>"01008188800"</f>
        <v>01008188800</v>
      </c>
      <c r="B13446" s="1" t="str">
        <f>"WHITE SUSAN C"</f>
        <v>WHITE SUSAN C</v>
      </c>
      <c r="C13446" s="1" t="str">
        <f>"SMITH FARMS CONDM 1 UNIT 13-D "</f>
        <v xml:space="preserve">SMITH FARMS CONDM 1 UNIT 13-D </v>
      </c>
      <c r="D13446" s="1">
        <v>1523.34</v>
      </c>
    </row>
    <row r="13447" spans="1:4" x14ac:dyDescent="0.3">
      <c r="A13447" s="1" t="str">
        <f>"01001225100"</f>
        <v>01001225100</v>
      </c>
      <c r="B13447" s="1" t="str">
        <f>"WHITE TAMRA D"</f>
        <v>WHITE TAMRA D</v>
      </c>
      <c r="C13447" s="1" t="str">
        <f>"247 COLUMBIAN AVE BUCKINGHAM HTS LOT 50"</f>
        <v>247 COLUMBIAN AVE BUCKINGHAM HTS LOT 50</v>
      </c>
      <c r="D13447" s="1">
        <v>999.94</v>
      </c>
    </row>
    <row r="13448" spans="1:4" x14ac:dyDescent="0.3">
      <c r="A13448" s="1" t="str">
        <f>"01009941000"</f>
        <v>01009941000</v>
      </c>
      <c r="B13448" s="1" t="str">
        <f>"WHITE TIMOTHY W, WHITE LINDA L"</f>
        <v>WHITE TIMOTHY W, WHITE LINDA L</v>
      </c>
      <c r="C13448" s="1" t="str">
        <f>"CAROLANN AVE CRESTWOOD PARK LOT 27"</f>
        <v>CAROLANN AVE CRESTWOOD PARK LOT 27</v>
      </c>
      <c r="D13448" s="1">
        <v>275.01</v>
      </c>
    </row>
    <row r="13449" spans="1:4" x14ac:dyDescent="0.3">
      <c r="A13449" s="1" t="str">
        <f>"19000319200"</f>
        <v>19000319200</v>
      </c>
      <c r="B13449" s="1" t="str">
        <f>"WHITE-DIXON GAIL"</f>
        <v>WHITE-DIXON GAIL</v>
      </c>
      <c r="C13449" s="1" t="str">
        <f>"SUNBURY DR WILCOX &amp; LOEHNERTS SUNBURY EST LOT 2"</f>
        <v>SUNBURY DR WILCOX &amp; LOEHNERTS SUNBURY EST LOT 2</v>
      </c>
      <c r="D13449" s="1">
        <v>5098.8</v>
      </c>
    </row>
    <row r="13450" spans="1:4" x14ac:dyDescent="0.3">
      <c r="A13450" s="1" t="str">
        <f>"05000329000"</f>
        <v>05000329000</v>
      </c>
      <c r="B13450" s="1" t="str">
        <f>"WHITEGOLD INVESTMENTS LLC"</f>
        <v>WHITEGOLD INVESTMENTS LLC</v>
      </c>
      <c r="C13450" s="1" t="str">
        <f>"4545 SUTPHEN COURT PT EASTHILL ACRES 1.6705 ACRES"</f>
        <v>4545 SUTPHEN COURT PT EASTHILL ACRES 1.6705 ACRES</v>
      </c>
      <c r="D13450" s="1">
        <v>7357.61</v>
      </c>
    </row>
    <row r="13451" spans="1:4" x14ac:dyDescent="0.3">
      <c r="A13451" s="1" t="str">
        <f>"06000466000"</f>
        <v>06000466000</v>
      </c>
      <c r="B13451" s="1" t="str">
        <f>"WHITE-GRAVES CASSANDRA M TTEE"</f>
        <v>WHITE-GRAVES CASSANDRA M TTEE</v>
      </c>
      <c r="C13451" s="1" t="str">
        <f>"BRIARCLIFF RD BRIARCLIFF 6 LOT 396"</f>
        <v>BRIARCLIFF RD BRIARCLIFF 6 LOT 396</v>
      </c>
      <c r="D13451" s="1">
        <v>190.02</v>
      </c>
    </row>
    <row r="13452" spans="1:4" x14ac:dyDescent="0.3">
      <c r="A13452" s="1" t="str">
        <f>"01012892600"</f>
        <v>01012892600</v>
      </c>
      <c r="B13452" s="1" t="str">
        <f>"WHITEHEAD FRANK"</f>
        <v>WHITEHEAD FRANK</v>
      </c>
      <c r="C13452" s="1" t="str">
        <f>"PANNELL AVE MILLBROOK LOT 64"</f>
        <v>PANNELL AVE MILLBROOK LOT 64</v>
      </c>
      <c r="D13452" s="1">
        <v>1268.17</v>
      </c>
    </row>
    <row r="13453" spans="1:4" x14ac:dyDescent="0.3">
      <c r="A13453" s="1" t="str">
        <f>"43031409500"</f>
        <v>43031409500</v>
      </c>
      <c r="B13453" s="1" t="str">
        <f>"WHITEMAN CHARLES, WHITEMAN PAMELA"</f>
        <v>WHITEMAN CHARLES, WHITEMAN PAMELA</v>
      </c>
      <c r="C13453" s="1" t="str">
        <f>"ORCHARD LAKES SECTION 1 LOT 42 "</f>
        <v xml:space="preserve">ORCHARD LAKES SECTION 1 LOT 42 </v>
      </c>
      <c r="D13453" s="1">
        <v>696.11</v>
      </c>
    </row>
    <row r="13454" spans="1:4" x14ac:dyDescent="0.3">
      <c r="A13454" s="1" t="str">
        <f>"59017365300"</f>
        <v>59017365300</v>
      </c>
      <c r="B13454" s="1" t="str">
        <f>"WHITEMAN STEPHEN, WHITEMAN CHANELLE"</f>
        <v>WHITEMAN STEPHEN, WHITEMAN CHANELLE</v>
      </c>
      <c r="C13454" s="1" t="str">
        <f>"MIDDLEBORO WAY RIVERSIDE HILLS SEC4 LOT 136"</f>
        <v>MIDDLEBORO WAY RIVERSIDE HILLS SEC4 LOT 136</v>
      </c>
      <c r="D13454" s="1">
        <v>3717.48</v>
      </c>
    </row>
    <row r="13455" spans="1:4" x14ac:dyDescent="0.3">
      <c r="A13455" s="1" t="str">
        <f>"01006045900"</f>
        <v>01006045900</v>
      </c>
      <c r="B13455" s="1" t="str">
        <f>"WHITENER MARGARET E, WHITENER MARGARET"</f>
        <v>WHITENER MARGARET E, WHITENER MARGARET</v>
      </c>
      <c r="C13455" s="1" t="str">
        <f>"1387 22ND AVE WALDEMERE LOT 208"</f>
        <v>1387 22ND AVE WALDEMERE LOT 208</v>
      </c>
      <c r="D13455" s="1">
        <v>1525.04</v>
      </c>
    </row>
    <row r="13456" spans="1:4" x14ac:dyDescent="0.3">
      <c r="A13456" s="1" t="str">
        <f>"14000141000"</f>
        <v>14000141000</v>
      </c>
      <c r="B13456" s="1" t="str">
        <f>"WHITEROCK BUILDERS LLC"</f>
        <v>WHITEROCK BUILDERS LLC</v>
      </c>
      <c r="C13456" s="1" t="str">
        <f>"1611 N HAGUE AVE HOLTONS &amp; HAGUE LOT 11"</f>
        <v>1611 N HAGUE AVE HOLTONS &amp; HAGUE LOT 11</v>
      </c>
      <c r="D13456" s="1">
        <v>2170.2199999999998</v>
      </c>
    </row>
    <row r="13457" spans="1:4" x14ac:dyDescent="0.3">
      <c r="A13457" s="1" t="str">
        <f>"01011528100"</f>
        <v>01011528100</v>
      </c>
      <c r="B13457" s="1" t="str">
        <f>"WHITEROCK BUILDERS LLC"</f>
        <v>WHITEROCK BUILDERS LLC</v>
      </c>
      <c r="C13457" s="1" t="str">
        <f>"STAMBAUGH AVE CURTIS-JONES SUB DIV LOT 131"</f>
        <v>STAMBAUGH AVE CURTIS-JONES SUB DIV LOT 131</v>
      </c>
      <c r="D13457" s="1">
        <v>921.66</v>
      </c>
    </row>
    <row r="13458" spans="1:4" x14ac:dyDescent="0.3">
      <c r="A13458" s="1" t="str">
        <f>"01011528300"</f>
        <v>01011528300</v>
      </c>
      <c r="B13458" s="1" t="str">
        <f>"WHITEROCK BUILDERS LLC"</f>
        <v>WHITEROCK BUILDERS LLC</v>
      </c>
      <c r="C13458" s="1" t="str">
        <f>"STAMBAUGH AVE CURTIS-JONES SUB DIV LOT 133"</f>
        <v>STAMBAUGH AVE CURTIS-JONES SUB DIV LOT 133</v>
      </c>
      <c r="D13458" s="1">
        <v>314.27</v>
      </c>
    </row>
    <row r="13459" spans="1:4" x14ac:dyDescent="0.3">
      <c r="A13459" s="1" t="str">
        <f>"01011528200"</f>
        <v>01011528200</v>
      </c>
      <c r="B13459" s="1" t="str">
        <f>"WHITEROCK BUILDERS LLC"</f>
        <v>WHITEROCK BUILDERS LLC</v>
      </c>
      <c r="C13459" s="1" t="str">
        <f>"STAMBAUGH AVE CURTIS-JONES SUB DIV LOT 132"</f>
        <v>STAMBAUGH AVE CURTIS-JONES SUB DIV LOT 132</v>
      </c>
      <c r="D13459" s="1">
        <v>424.53</v>
      </c>
    </row>
    <row r="13460" spans="1:4" x14ac:dyDescent="0.3">
      <c r="A13460" s="1" t="str">
        <f>"14000269600"</f>
        <v>14000269600</v>
      </c>
      <c r="B13460" s="1" t="str">
        <f>"WHITEROCK BUILDERS LLC"</f>
        <v>WHITEROCK BUILDERS LLC</v>
      </c>
      <c r="C13460" s="1" t="str">
        <f>"KENOSHA AVE HOLTONS HAGUE AVE LOT 28"</f>
        <v>KENOSHA AVE HOLTONS HAGUE AVE LOT 28</v>
      </c>
      <c r="D13460" s="1">
        <v>952.61</v>
      </c>
    </row>
    <row r="13461" spans="1:4" x14ac:dyDescent="0.3">
      <c r="A13461" s="1" t="str">
        <f>"01011422200"</f>
        <v>01011422200</v>
      </c>
      <c r="B13461" s="1" t="str">
        <f>"WHITEROCK BUILDERS LLC"</f>
        <v>WHITEROCK BUILDERS LLC</v>
      </c>
      <c r="C13461" s="1" t="str">
        <f>"LINWOOD AVE BENTLEYS RES B"</f>
        <v>LINWOOD AVE BENTLEYS RES B</v>
      </c>
      <c r="D13461" s="1">
        <v>1060.46</v>
      </c>
    </row>
    <row r="13462" spans="1:4" x14ac:dyDescent="0.3">
      <c r="A13462" s="1" t="str">
        <f>"57022472800"</f>
        <v>57022472800</v>
      </c>
      <c r="B13462" s="1" t="str">
        <f>"WHITESIDE ELENORA"</f>
        <v>WHITESIDE ELENORA</v>
      </c>
      <c r="C13462" s="1" t="str">
        <f>"GREAT BROOK DRIVE SENECA WOODS SEC 2 LOT 51"</f>
        <v>GREAT BROOK DRIVE SENECA WOODS SEC 2 LOT 51</v>
      </c>
      <c r="D13462" s="1">
        <v>1720.51</v>
      </c>
    </row>
    <row r="13463" spans="1:4" x14ac:dyDescent="0.3">
      <c r="A13463" s="1" t="str">
        <f>"01004580400"</f>
        <v>01004580400</v>
      </c>
      <c r="B13463" s="1" t="str">
        <f>"WHITETHRONE LLC"</f>
        <v>WHITETHRONE LLC</v>
      </c>
      <c r="C13463" s="1" t="str">
        <f>"346 WHITETHORNE AVE MUNSON LOT 20-21"</f>
        <v>346 WHITETHORNE AVE MUNSON LOT 20-21</v>
      </c>
      <c r="D13463" s="1">
        <v>1040.18</v>
      </c>
    </row>
    <row r="13464" spans="1:4" x14ac:dyDescent="0.3">
      <c r="A13464" s="1" t="str">
        <f>"07001025300"</f>
        <v>07001025300</v>
      </c>
      <c r="B13464" s="1" t="str">
        <f>"WHITLATCH BRIAN D"</f>
        <v>WHITLATCH BRIAN D</v>
      </c>
      <c r="C13464" s="1" t="str">
        <f>"2650 MONTCALM RD MONTICELLO LOT 22 "</f>
        <v xml:space="preserve">2650 MONTCALM RD MONTICELLO LOT 22 </v>
      </c>
      <c r="D13464" s="1">
        <v>23.05</v>
      </c>
    </row>
    <row r="13465" spans="1:4" x14ac:dyDescent="0.3">
      <c r="A13465" s="1" t="str">
        <f>"04000663100"</f>
        <v>04000663100</v>
      </c>
      <c r="B13465" s="1" t="str">
        <f>"WHITLOCK ERIK R, WHITLOCK KRISTY L"</f>
        <v>WHITLOCK ERIK R, WHITLOCK KRISTY L</v>
      </c>
      <c r="C13465" s="1" t="str">
        <f>"3387 VENTURA BLVD CASTLE FARMS LOT 75"</f>
        <v>3387 VENTURA BLVD CASTLE FARMS LOT 75</v>
      </c>
      <c r="D13465" s="1">
        <v>1665.16</v>
      </c>
    </row>
    <row r="13466" spans="1:4" x14ac:dyDescent="0.3">
      <c r="A13466" s="1" t="str">
        <f>"01012549700"</f>
        <v>01012549700</v>
      </c>
      <c r="B13466" s="1" t="str">
        <f>"WHITMAN PROPERTY INVESTMENT LLC"</f>
        <v>WHITMAN PROPERTY INVESTMENT LLC</v>
      </c>
      <c r="C13466" s="1" t="str">
        <f>"WHITMAN RD LAUREL CANYON LOT 12"</f>
        <v>WHITMAN RD LAUREL CANYON LOT 12</v>
      </c>
      <c r="D13466" s="1">
        <v>285.83</v>
      </c>
    </row>
    <row r="13467" spans="1:4" x14ac:dyDescent="0.3">
      <c r="A13467" s="1" t="str">
        <f>"22200063200"</f>
        <v>22200063200</v>
      </c>
      <c r="B13467" s="1" t="str">
        <f>"WHITMER RYAN TTEE, KEYS KRISTEN TTEE"</f>
        <v>WHITMER RYAN TTEE, KEYS KRISTEN TTEE</v>
      </c>
      <c r="C13467" s="1" t="str">
        <f>"HARLEM RD R16 T2 1/4T3 2.655 ACRES"</f>
        <v>HARLEM RD R16 T2 1/4T3 2.655 ACRES</v>
      </c>
      <c r="D13467" s="1">
        <v>6272.68</v>
      </c>
    </row>
    <row r="13468" spans="1:4" x14ac:dyDescent="0.3">
      <c r="A13468" s="1" t="str">
        <f>"60018550900"</f>
        <v>60018550900</v>
      </c>
      <c r="B13468" s="1" t="str">
        <f>"WHITNEY DONALD R JR"</f>
        <v>WHITNEY DONALD R JR</v>
      </c>
      <c r="C13468" s="1" t="str">
        <f>"CANON RIDGE PL CANONGATE SECTION 1 LOT 29"</f>
        <v>CANON RIDGE PL CANONGATE SECTION 1 LOT 29</v>
      </c>
      <c r="D13468" s="1">
        <v>1721.77</v>
      </c>
    </row>
    <row r="13469" spans="1:4" x14ac:dyDescent="0.3">
      <c r="A13469" s="1" t="str">
        <f>"01019521800"</f>
        <v>01019521800</v>
      </c>
      <c r="B13469" s="1" t="str">
        <f>"WHITNEY JUSTIN E"</f>
        <v>WHITNEY JUSTIN E</v>
      </c>
      <c r="C13469" s="1" t="str">
        <f>"E BROAD ST PARK TOWERS CONDO UNIT 809"</f>
        <v>E BROAD ST PARK TOWERS CONDO UNIT 809</v>
      </c>
      <c r="D13469" s="1">
        <v>1382.36</v>
      </c>
    </row>
    <row r="13470" spans="1:4" x14ac:dyDescent="0.3">
      <c r="A13470" s="1" t="str">
        <f>"61018012400"</f>
        <v>61018012400</v>
      </c>
      <c r="B13470" s="1" t="str">
        <f>"WHITNEY SCOTT D"</f>
        <v>WHITNEY SCOTT D</v>
      </c>
      <c r="C13470" s="1" t="str">
        <f>"BUCKSHOT CT DEER CREEK SEC 1 LOT 35"</f>
        <v>BUCKSHOT CT DEER CREEK SEC 1 LOT 35</v>
      </c>
      <c r="D13470" s="1">
        <v>3328.07</v>
      </c>
    </row>
    <row r="13471" spans="1:4" x14ac:dyDescent="0.3">
      <c r="A13471" s="1" t="str">
        <f>"01009849800"</f>
        <v>01009849800</v>
      </c>
      <c r="B13471" s="1" t="str">
        <f>"WHITSON JOSEPH L, WHITSON NORMA J"</f>
        <v>WHITSON JOSEPH L, WHITSON NORMA J</v>
      </c>
      <c r="C13471" s="1" t="str">
        <f>"BERWICK AVE NORLEA PARK LOT 232-233"</f>
        <v>BERWICK AVE NORLEA PARK LOT 232-233</v>
      </c>
      <c r="D13471" s="1">
        <v>400.77</v>
      </c>
    </row>
    <row r="13472" spans="1:4" x14ac:dyDescent="0.3">
      <c r="A13472" s="1" t="str">
        <f>"01017198000"</f>
        <v>01017198000</v>
      </c>
      <c r="B13472" s="1" t="str">
        <f>"WHITTAKER CRAIG A SR, WHITTAKER ELIZABETH R"</f>
        <v>WHITTAKER CRAIG A SR, WHITTAKER ELIZABETH R</v>
      </c>
      <c r="C13472" s="1" t="str">
        <f>"CLUBHOUSE DRIVE BRIDGEVIEW HILLS 1 LOT 54"</f>
        <v>CLUBHOUSE DRIVE BRIDGEVIEW HILLS 1 LOT 54</v>
      </c>
      <c r="D13472" s="1">
        <v>1751.71</v>
      </c>
    </row>
    <row r="13473" spans="1:4" x14ac:dyDescent="0.3">
      <c r="A13473" s="1" t="str">
        <f>"27400136900"</f>
        <v>27400136900</v>
      </c>
      <c r="B13473" s="1" t="str">
        <f>"WHITTY THOMAS, WHITTY LUCILLE D"</f>
        <v>WHITTY THOMAS, WHITTY LUCILLE D</v>
      </c>
      <c r="C13473" s="1" t="str">
        <f>"THE VILLAS AT GLENEALY CONDOMINIUM 1ST AMD UNIT 6-6164"</f>
        <v>THE VILLAS AT GLENEALY CONDOMINIUM 1ST AMD UNIT 6-6164</v>
      </c>
      <c r="D13473" s="1">
        <v>4025.87</v>
      </c>
    </row>
    <row r="13474" spans="1:4" x14ac:dyDescent="0.3">
      <c r="A13474" s="1" t="str">
        <f>"01013448400"</f>
        <v>01013448400</v>
      </c>
      <c r="B13474" s="1" t="str">
        <f>"WIBLY KATHY L"</f>
        <v>WIBLY KATHY L</v>
      </c>
      <c r="C13474" s="1" t="str">
        <f>"KENRIDGE DR KENDALE SEC 3 LOT 240"</f>
        <v>KENRIDGE DR KENDALE SEC 3 LOT 240</v>
      </c>
      <c r="D13474" s="1">
        <v>3257.45</v>
      </c>
    </row>
    <row r="13475" spans="1:4" x14ac:dyDescent="0.3">
      <c r="A13475" s="1" t="str">
        <f>"05000399000"</f>
        <v>05000399000</v>
      </c>
      <c r="B13475" s="1" t="str">
        <f>"WICKLINE NANETTE"</f>
        <v>WICKLINE NANETTE</v>
      </c>
      <c r="C13475" s="1" t="str">
        <f>"4860-62 DRAYTON ROAD HAYDEN RUN VILLAGE PHASE 6 LOT 306"</f>
        <v>4860-62 DRAYTON ROAD HAYDEN RUN VILLAGE PHASE 6 LOT 306</v>
      </c>
      <c r="D13475" s="1">
        <v>984.94</v>
      </c>
    </row>
    <row r="13476" spans="1:4" x14ac:dyDescent="0.3">
      <c r="A13476" s="1" t="str">
        <f>"01009188700"</f>
        <v>01009188700</v>
      </c>
      <c r="B13476" s="1" t="str">
        <f>"WIDENER CLIFFORD A"</f>
        <v>WIDENER CLIFFORD A</v>
      </c>
      <c r="C13476" s="1" t="str">
        <f>"E BROAD ST &amp; PT AL VAC EASTMOOR NORTH"</f>
        <v>E BROAD ST &amp; PT AL VAC EASTMOOR NORTH</v>
      </c>
      <c r="D13476" s="1">
        <v>926.77</v>
      </c>
    </row>
    <row r="13477" spans="1:4" x14ac:dyDescent="0.3">
      <c r="A13477" s="1" t="str">
        <f>"61020659700"</f>
        <v>61020659700</v>
      </c>
      <c r="B13477" s="1" t="str">
        <f>"WIEGOLD JESSE"</f>
        <v>WIEGOLD JESSE</v>
      </c>
      <c r="C13477" s="1" t="str">
        <f>"GARDENSTONE DRIVE WORTHINGTON GREEN SEC 2 LOT 59"</f>
        <v>GARDENSTONE DRIVE WORTHINGTON GREEN SEC 2 LOT 59</v>
      </c>
      <c r="D13477" s="1">
        <v>1925.37</v>
      </c>
    </row>
    <row r="13478" spans="1:4" x14ac:dyDescent="0.3">
      <c r="A13478" s="1" t="str">
        <f>"57023444800"</f>
        <v>57023444800</v>
      </c>
      <c r="B13478" s="1" t="str">
        <f>"WIELAND MICHELLE"</f>
        <v>WIELAND MICHELLE</v>
      </c>
      <c r="C13478" s="1" t="str">
        <f>"RAVINES AT PARKWICK DRIVE CONDO 5TH AMD BLDG 13 UNIT 4511"</f>
        <v>RAVINES AT PARKWICK DRIVE CONDO 5TH AMD BLDG 13 UNIT 4511</v>
      </c>
      <c r="D13478" s="1">
        <v>2296.35</v>
      </c>
    </row>
    <row r="13479" spans="1:4" x14ac:dyDescent="0.3">
      <c r="A13479" s="1" t="str">
        <f>"27300614600"</f>
        <v>27300614600</v>
      </c>
      <c r="B13479" s="1" t="str">
        <f>"WIENKE NICOLE, HELLINE NOLAN JAMES"</f>
        <v>WIENKE NICOLE, HELLINE NOLAN JAMES</v>
      </c>
      <c r="C13479" s="1" t="str">
        <f>"0000 KATE BROWN DR BRANDON SEC 5 PT 2 LOT 329"</f>
        <v>0000 KATE BROWN DR BRANDON SEC 5 PT 2 LOT 329</v>
      </c>
      <c r="D13479" s="1">
        <v>581.08000000000004</v>
      </c>
    </row>
    <row r="13480" spans="1:4" x14ac:dyDescent="0.3">
      <c r="A13480" s="1" t="str">
        <f>"01008809200"</f>
        <v>01008809200</v>
      </c>
      <c r="B13480" s="1" t="str">
        <f>"WIENS AMY Y"</f>
        <v>WIENS AMY Y</v>
      </c>
      <c r="C13480" s="1" t="str">
        <f>"BEVERLY PL ALL 1282&amp; NW 1/2 1283 BERWICK LOT 1282-1283"</f>
        <v>BEVERLY PL ALL 1282&amp; NW 1/2 1283 BERWICK LOT 1282-1283</v>
      </c>
      <c r="D13480" s="1">
        <v>4844.51</v>
      </c>
    </row>
    <row r="13481" spans="1:4" x14ac:dyDescent="0.3">
      <c r="A13481" s="1" t="str">
        <f>"54525518500"</f>
        <v>54525518500</v>
      </c>
      <c r="B13481" s="1" t="str">
        <f>"WIGAN VARENINA, WIGAN JONATHAN"</f>
        <v>WIGAN VARENINA, WIGAN JONATHAN</v>
      </c>
      <c r="C13481" s="1" t="str">
        <f>"THE NEW ALBANY VILLAGE CONDOMINIUM 6TH AMD BLDG 18 UNIT 4932"</f>
        <v>THE NEW ALBANY VILLAGE CONDOMINIUM 6TH AMD BLDG 18 UNIT 4932</v>
      </c>
      <c r="D13481" s="1">
        <v>838.83</v>
      </c>
    </row>
    <row r="13482" spans="1:4" x14ac:dyDescent="0.3">
      <c r="A13482" s="1" t="str">
        <f>"01012518000"</f>
        <v>01012518000</v>
      </c>
      <c r="B13482" s="1" t="str">
        <f>"WIGET LINDA"</f>
        <v>WIGET LINDA</v>
      </c>
      <c r="C13482" s="1" t="str">
        <f>"CRAWFORD DR NORTHVIEW ESTATES 2 LOT 103"</f>
        <v>CRAWFORD DR NORTHVIEW ESTATES 2 LOT 103</v>
      </c>
      <c r="D13482" s="1">
        <v>2359.1999999999998</v>
      </c>
    </row>
    <row r="13483" spans="1:4" x14ac:dyDescent="0.3">
      <c r="A13483" s="1" t="str">
        <f>"01005360100"</f>
        <v>01005360100</v>
      </c>
      <c r="B13483" s="1" t="str">
        <f>"WIGET LINDA H"</f>
        <v>WIGET LINDA H</v>
      </c>
      <c r="C13483" s="1" t="str">
        <f>"154 PIEDMONT RD OAKLAND PARK LOT 332"</f>
        <v>154 PIEDMONT RD OAKLAND PARK LOT 332</v>
      </c>
      <c r="D13483" s="1">
        <v>2801.13</v>
      </c>
    </row>
    <row r="13484" spans="1:4" x14ac:dyDescent="0.3">
      <c r="A13484" s="1" t="str">
        <f>"01002583000"</f>
        <v>01002583000</v>
      </c>
      <c r="B13484" s="1" t="str">
        <f>"WIGGINS DENNIS"</f>
        <v>WIGGINS DENNIS</v>
      </c>
      <c r="C13484" s="1" t="str">
        <f>"1493 PERRY ST MCMILLENS HOMESTEAD LOT 126"</f>
        <v>1493 PERRY ST MCMILLENS HOMESTEAD LOT 126</v>
      </c>
      <c r="D13484" s="1">
        <v>289.39999999999998</v>
      </c>
    </row>
    <row r="13485" spans="1:4" x14ac:dyDescent="0.3">
      <c r="A13485" s="1" t="str">
        <f>"01011360500"</f>
        <v>01011360500</v>
      </c>
      <c r="B13485" s="1" t="str">
        <f>"WIGGINS HOLLY A"</f>
        <v>WIGGINS HOLLY A</v>
      </c>
      <c r="C13485" s="1" t="str">
        <f>"BETZ RD S HIGH GRDNS LOT 132"</f>
        <v>BETZ RD S HIGH GRDNS LOT 132</v>
      </c>
      <c r="D13485" s="1">
        <v>1867.7</v>
      </c>
    </row>
    <row r="13486" spans="1:4" x14ac:dyDescent="0.3">
      <c r="A13486" s="1" t="str">
        <f>"19000393000"</f>
        <v>19000393000</v>
      </c>
      <c r="B13486" s="1" t="str">
        <f>"WILBANKS ANTHONY, WILBANKS MONICA"</f>
        <v>WILBANKS ANTHONY, WILBANKS MONICA</v>
      </c>
      <c r="C13486" s="1" t="str">
        <f>"MECCA RD NORTHGLEN SUB LOT 170"</f>
        <v>MECCA RD NORTHGLEN SUB LOT 170</v>
      </c>
      <c r="D13486" s="1">
        <v>1298.28</v>
      </c>
    </row>
    <row r="13487" spans="1:4" x14ac:dyDescent="0.3">
      <c r="A13487" s="1" t="str">
        <f>"07000169100"</f>
        <v>07000169100</v>
      </c>
      <c r="B13487" s="1" t="str">
        <f>"WILCOX ALLISON RAE TTEE"</f>
        <v>WILCOX ALLISON RAE TTEE</v>
      </c>
      <c r="C13487" s="1" t="str">
        <f>"1645 GUILFORD RD UNIVERSITY LOT 23-24 BLK 9"</f>
        <v>1645 GUILFORD RD UNIVERSITY LOT 23-24 BLK 9</v>
      </c>
      <c r="D13487" s="1">
        <v>892.01</v>
      </c>
    </row>
    <row r="13488" spans="1:4" x14ac:dyDescent="0.3">
      <c r="A13488" s="1" t="str">
        <f>"01009421200"</f>
        <v>01009421200</v>
      </c>
      <c r="B13488" s="1" t="str">
        <f>"WILCOXON KRAJACIC CYNTHIA LOUISE"</f>
        <v>WILCOXON KRAJACIC CYNTHIA LOUISE</v>
      </c>
      <c r="C13488" s="1" t="str">
        <f>"DELNO AVE COMO HTS LOT 32"</f>
        <v>DELNO AVE COMO HTS LOT 32</v>
      </c>
      <c r="D13488" s="1">
        <v>2194.75</v>
      </c>
    </row>
    <row r="13489" spans="1:4" x14ac:dyDescent="0.3">
      <c r="A13489" s="1" t="str">
        <f>"01010131700"</f>
        <v>01010131700</v>
      </c>
      <c r="B13489" s="1" t="str">
        <f>"WILDER MARC A"</f>
        <v>WILDER MARC A</v>
      </c>
      <c r="C13489" s="1" t="str">
        <f>"KIRKWOOD RD BERWICK MANOR LOT 371"</f>
        <v>KIRKWOOD RD BERWICK MANOR LOT 371</v>
      </c>
      <c r="D13489" s="1">
        <v>3086.53</v>
      </c>
    </row>
    <row r="13490" spans="1:4" x14ac:dyDescent="0.3">
      <c r="A13490" s="1" t="str">
        <f>"01017058300"</f>
        <v>01017058300</v>
      </c>
      <c r="B13490" s="1" t="str">
        <f>"WILDER MARTHA J"</f>
        <v>WILDER MARTHA J</v>
      </c>
      <c r="C13490" s="1" t="str">
        <f>"WOODSEDGE RD WINDNG HLLS A SUB CR SC 2 LOT 22"</f>
        <v>WOODSEDGE RD WINDNG HLLS A SUB CR SC 2 LOT 22</v>
      </c>
      <c r="D13490" s="1">
        <v>2512.58</v>
      </c>
    </row>
    <row r="13491" spans="1:4" x14ac:dyDescent="0.3">
      <c r="A13491" s="1" t="str">
        <f>"01016692800"</f>
        <v>01016692800</v>
      </c>
      <c r="B13491" s="1" t="str">
        <f>"WILDER RONALD N SR, WILDER GLORIA A"</f>
        <v>WILDER RONALD N SR, WILDER GLORIA A</v>
      </c>
      <c r="C13491" s="1" t="str">
        <f>"1864 JERMAIN DRIVE AMVET HOMESTEAD 2 LOT 12 BLK N"</f>
        <v>1864 JERMAIN DRIVE AMVET HOMESTEAD 2 LOT 12 BLK N</v>
      </c>
      <c r="D13491" s="1">
        <v>182.11</v>
      </c>
    </row>
    <row r="13492" spans="1:4" x14ac:dyDescent="0.3">
      <c r="A13492" s="1" t="str">
        <f>"01007225100"</f>
        <v>01007225100</v>
      </c>
      <c r="B13492" s="1" t="str">
        <f>"WILDERS JOHN R"</f>
        <v>WILDERS JOHN R</v>
      </c>
      <c r="C13492" s="1" t="str">
        <f>"36 CHATHAM RD NORTHRIDGE AMD LOT 273"</f>
        <v>36 CHATHAM RD NORTHRIDGE AMD LOT 273</v>
      </c>
      <c r="D13492" s="1">
        <v>1828.49</v>
      </c>
    </row>
    <row r="13493" spans="1:4" x14ac:dyDescent="0.3">
      <c r="A13493" s="1" t="str">
        <f>"59018480200"</f>
        <v>59018480200</v>
      </c>
      <c r="B13493" s="1" t="str">
        <f>"WILDMAN REBECCA B"</f>
        <v>WILDMAN REBECCA B</v>
      </c>
      <c r="C13493" s="1" t="str">
        <f>"3172 RIVERMILL ROAD HILLSIDE CONDO UNIT 10"</f>
        <v>3172 RIVERMILL ROAD HILLSIDE CONDO UNIT 10</v>
      </c>
      <c r="D13493" s="1">
        <v>648.24</v>
      </c>
    </row>
    <row r="13494" spans="1:4" x14ac:dyDescent="0.3">
      <c r="A13494" s="1" t="str">
        <f>"61017398100"</f>
        <v>61017398100</v>
      </c>
      <c r="B13494" s="1" t="str">
        <f>"WILEY CHRISTOPHER L"</f>
        <v>WILEY CHRISTOPHER L</v>
      </c>
      <c r="C13494" s="1" t="str">
        <f>"SCARSDALE BLVD SMOKYRIDGE EST SEC 2 LOT 93"</f>
        <v>SCARSDALE BLVD SMOKYRIDGE EST SEC 2 LOT 93</v>
      </c>
      <c r="D13494" s="1">
        <v>295.52999999999997</v>
      </c>
    </row>
    <row r="13495" spans="1:4" x14ac:dyDescent="0.3">
      <c r="A13495" s="1" t="str">
        <f>"07000985900"</f>
        <v>07000985900</v>
      </c>
      <c r="B13495" s="1" t="str">
        <f>"WILHELMSEN MARK THOMAS, PICKER KRISTIN ELIZABETH"</f>
        <v>WILHELMSEN MARK THOMAS, PICKER KRISTIN ELIZABETH</v>
      </c>
      <c r="C13495" s="1" t="str">
        <f>"3710 SURREY HILL PL MOTTER 3 "</f>
        <v xml:space="preserve">3710 SURREY HILL PL MOTTER 3 </v>
      </c>
      <c r="D13495" s="1">
        <v>14539.37</v>
      </c>
    </row>
    <row r="13496" spans="1:4" x14ac:dyDescent="0.3">
      <c r="A13496" s="1" t="str">
        <f>"01005523800"</f>
        <v>01005523800</v>
      </c>
      <c r="B13496" s="1" t="str">
        <f>"WILKE REINHARD"</f>
        <v>WILKE REINHARD</v>
      </c>
      <c r="C13496" s="1" t="str">
        <f>"WAGNER ST L W PERRY LOTS 32-33"</f>
        <v>WAGNER ST L W PERRY LOTS 32-33</v>
      </c>
      <c r="D13496" s="1">
        <v>286.17</v>
      </c>
    </row>
    <row r="13497" spans="1:4" x14ac:dyDescent="0.3">
      <c r="A13497" s="1" t="str">
        <f>"01000462900"</f>
        <v>01000462900</v>
      </c>
      <c r="B13497" s="1" t="str">
        <f>"WILKERSON KENTAY D"</f>
        <v>WILKERSON KENTAY D</v>
      </c>
      <c r="C13497" s="1" t="str">
        <f>"325 GUILFORD AVE SULLIVANT 25'X118' NS LOT 12"</f>
        <v>325 GUILFORD AVE SULLIVANT 25'X118' NS LOT 12</v>
      </c>
      <c r="D13497" s="1">
        <v>1429.28</v>
      </c>
    </row>
    <row r="13498" spans="1:4" x14ac:dyDescent="0.3">
      <c r="A13498" s="1" t="str">
        <f>"04000404900"</f>
        <v>04000404900</v>
      </c>
      <c r="B13498" s="1" t="str">
        <f>"WILKIN NIAL E"</f>
        <v>WILKIN NIAL E</v>
      </c>
      <c r="C13498" s="1" t="str">
        <f>"3505 HOOVER ROAD HIGHLAND PARK NO 1 LOT 3"</f>
        <v>3505 HOOVER ROAD HIGHLAND PARK NO 1 LOT 3</v>
      </c>
      <c r="D13498" s="1">
        <v>433.94</v>
      </c>
    </row>
    <row r="13499" spans="1:4" x14ac:dyDescent="0.3">
      <c r="A13499" s="1" t="str">
        <f>"23000104800"</f>
        <v>23000104800</v>
      </c>
      <c r="B13499" s="1" t="str">
        <f>"WILKINS RALPH E, WILKINS PAULA J"</f>
        <v>WILKINS RALPH E, WILKINS PAULA J</v>
      </c>
      <c r="C13499" s="1" t="str">
        <f>"HARRISBURG PIKE ENT 931-1405-2595 5.6903 ACRES"</f>
        <v>HARRISBURG PIKE ENT 931-1405-2595 5.6903 ACRES</v>
      </c>
      <c r="D13499" s="1">
        <v>205.17</v>
      </c>
    </row>
    <row r="13500" spans="1:4" x14ac:dyDescent="0.3">
      <c r="A13500" s="1" t="str">
        <f>"18100014200"</f>
        <v>18100014200</v>
      </c>
      <c r="B13500" s="1" t="str">
        <f>"WILKINSON DIANE L"</f>
        <v>WILKINSON DIANE L</v>
      </c>
      <c r="C13500" s="1" t="str">
        <f>"WINCHESTER PIKE R22 T11 S14 .74 ACRE"</f>
        <v>WINCHESTER PIKE R22 T11 S14 .74 ACRE</v>
      </c>
      <c r="D13500" s="1">
        <v>1216.1600000000001</v>
      </c>
    </row>
    <row r="13501" spans="1:4" x14ac:dyDescent="0.3">
      <c r="A13501" s="1" t="str">
        <f>"01009337400"</f>
        <v>01009337400</v>
      </c>
      <c r="B13501" s="1" t="str">
        <f>"WILKINSON DOUGLAS A"</f>
        <v>WILKINSON DOUGLAS A</v>
      </c>
      <c r="C13501" s="1" t="str">
        <f>"E NORTH BROADWAY OAK PARK LOT 28"</f>
        <v>E NORTH BROADWAY OAK PARK LOT 28</v>
      </c>
      <c r="D13501" s="1">
        <v>1312.1</v>
      </c>
    </row>
    <row r="13502" spans="1:4" x14ac:dyDescent="0.3">
      <c r="A13502" s="1" t="str">
        <f>"01012893200"</f>
        <v>01012893200</v>
      </c>
      <c r="B13502" s="1" t="str">
        <f>"WILKS JESSIE N"</f>
        <v>WILKS JESSIE N</v>
      </c>
      <c r="C13502" s="1" t="str">
        <f>"VALCON AVE MILLBROOK LOT 70"</f>
        <v>VALCON AVE MILLBROOK LOT 70</v>
      </c>
      <c r="D13502" s="1">
        <v>991.11</v>
      </c>
    </row>
    <row r="13503" spans="1:4" x14ac:dyDescent="0.3">
      <c r="A13503" s="1" t="str">
        <f>"60023696500"</f>
        <v>60023696500</v>
      </c>
      <c r="B13503" s="1" t="str">
        <f>"WILL CHRISTOPHER M"</f>
        <v>WILL CHRISTOPHER M</v>
      </c>
      <c r="C13503" s="1" t="s">
        <v>14</v>
      </c>
      <c r="D13503" s="1">
        <v>206.37</v>
      </c>
    </row>
    <row r="13504" spans="1:4" x14ac:dyDescent="0.3">
      <c r="A13504" s="1" t="str">
        <f>"01003086500"</f>
        <v>01003086500</v>
      </c>
      <c r="B13504" s="1" t="str">
        <f>"WILLIAMS AARON N"</f>
        <v>WILLIAMS AARON N</v>
      </c>
      <c r="C13504" s="1" t="str">
        <f>"39 CHICAGO AVE FRANKLIN LOT 89"</f>
        <v>39 CHICAGO AVE FRANKLIN LOT 89</v>
      </c>
      <c r="D13504" s="1">
        <v>949.06</v>
      </c>
    </row>
    <row r="13505" spans="1:4" x14ac:dyDescent="0.3">
      <c r="A13505" s="1" t="str">
        <f>"01009309200"</f>
        <v>01009309200</v>
      </c>
      <c r="B13505" s="1" t="str">
        <f>"WILLIAMS ANTWAN S"</f>
        <v>WILLIAMS ANTWAN S</v>
      </c>
      <c r="C13505" s="1" t="str">
        <f>"JAMES RD 13 EX 8FT SS MAYFAIR LOT 13"</f>
        <v>JAMES RD 13 EX 8FT SS MAYFAIR LOT 13</v>
      </c>
      <c r="D13505" s="1">
        <v>2000.05</v>
      </c>
    </row>
    <row r="13506" spans="1:4" x14ac:dyDescent="0.3">
      <c r="A13506" s="1" t="str">
        <f>"01009895300"</f>
        <v>01009895300</v>
      </c>
      <c r="B13506" s="1" t="str">
        <f>"WILLIAMS BERNADETTE"</f>
        <v>WILLIAMS BERNADETTE</v>
      </c>
      <c r="C13506" s="1" t="str">
        <f>"CORDELL AVE NORLEA PARK LOT 45-46"</f>
        <v>CORDELL AVE NORLEA PARK LOT 45-46</v>
      </c>
      <c r="D13506" s="1">
        <v>1072.94</v>
      </c>
    </row>
    <row r="13507" spans="1:4" x14ac:dyDescent="0.3">
      <c r="A13507" s="1" t="str">
        <f>"01015633800"</f>
        <v>01015633800</v>
      </c>
      <c r="B13507" s="1" t="str">
        <f>"WILLIAMS BRENDA K"</f>
        <v>WILLIAMS BRENDA K</v>
      </c>
      <c r="C13507" s="1" t="str">
        <f>"QUEENSWOOD DR QUEENSWOOD SUBDIV LOT 78"</f>
        <v>QUEENSWOOD DR QUEENSWOOD SUBDIV LOT 78</v>
      </c>
      <c r="D13507" s="1">
        <v>2557.17</v>
      </c>
    </row>
    <row r="13508" spans="1:4" x14ac:dyDescent="0.3">
      <c r="A13508" s="1" t="str">
        <f>"01016750600"</f>
        <v>01016750600</v>
      </c>
      <c r="B13508" s="1" t="str">
        <f>"WILLIAMS BRIDGETT"</f>
        <v>WILLIAMS BRIDGETT</v>
      </c>
      <c r="C13508" s="1" t="str">
        <f>"2134 SCHENLEY DR AMVET HOMESTEAD 2 RESUB LOT 6 BLK N"</f>
        <v>2134 SCHENLEY DR AMVET HOMESTEAD 2 RESUB LOT 6 BLK N</v>
      </c>
      <c r="D13508" s="1">
        <v>1873.89</v>
      </c>
    </row>
    <row r="13509" spans="1:4" x14ac:dyDescent="0.3">
      <c r="A13509" s="1" t="str">
        <f>"03000264500"</f>
        <v>03000264500</v>
      </c>
      <c r="B13509" s="1" t="str">
        <f>"WILLIAMS C RANDALL TR, WILLIAMS DIANNE L TR"</f>
        <v>WILLIAMS C RANDALL TR, WILLIAMS DIANNE L TR</v>
      </c>
      <c r="C13509" s="1" t="str">
        <f>"1000 URLIN AVE SUMMIT CHASE CONDO UNIT 603"</f>
        <v>1000 URLIN AVE SUMMIT CHASE CONDO UNIT 603</v>
      </c>
      <c r="D13509" s="1">
        <v>192.11</v>
      </c>
    </row>
    <row r="13510" spans="1:4" x14ac:dyDescent="0.3">
      <c r="A13510" s="1" t="str">
        <f>"01006098900"</f>
        <v>01006098900</v>
      </c>
      <c r="B13510" s="1" t="str">
        <f>"WILLIAMS CARMEN L"</f>
        <v>WILLIAMS CARMEN L</v>
      </c>
      <c r="C13510" s="1" t="str">
        <f>"1450 KOHR PLC 40 FT E S MAPLE VIEW LOT 41"</f>
        <v>1450 KOHR PLC 40 FT E S MAPLE VIEW LOT 41</v>
      </c>
      <c r="D13510" s="1">
        <v>84.77</v>
      </c>
    </row>
    <row r="13511" spans="1:4" x14ac:dyDescent="0.3">
      <c r="A13511" s="1" t="str">
        <f>"01025863700"</f>
        <v>01025863700</v>
      </c>
      <c r="B13511" s="1" t="str">
        <f>"WILLIAMS CHARLENE R"</f>
        <v>WILLIAMS CHARLENE R</v>
      </c>
      <c r="C13511" s="1" t="str">
        <f>"THE CONDOMINIUM AT WINCHESTER CROSSING 8TH AMD BLDG 8 UNIT 4100"</f>
        <v>THE CONDOMINIUM AT WINCHESTER CROSSING 8TH AMD BLDG 8 UNIT 4100</v>
      </c>
      <c r="D13511" s="1">
        <v>3488.96</v>
      </c>
    </row>
    <row r="13512" spans="1:4" x14ac:dyDescent="0.3">
      <c r="A13512" s="1" t="str">
        <f>"57025654800"</f>
        <v>57025654800</v>
      </c>
      <c r="B13512" s="1" t="str">
        <f>"WILLIAMS CHARLES B"</f>
        <v>WILLIAMS CHARLES B</v>
      </c>
      <c r="C13512" s="1" t="str">
        <f>"HAFTON WOODS COURT HAFTON WOODS LOT 18"</f>
        <v>HAFTON WOODS COURT HAFTON WOODS LOT 18</v>
      </c>
      <c r="D13512" s="1">
        <v>199.13</v>
      </c>
    </row>
    <row r="13513" spans="1:4" x14ac:dyDescent="0.3">
      <c r="A13513" s="1" t="str">
        <f>"01002435000"</f>
        <v>01002435000</v>
      </c>
      <c r="B13513" s="1" t="str">
        <f>"WILLIAMS CLARISSA LE, WILLIAMS PETER RMDR"</f>
        <v>WILLIAMS CLARISSA LE, WILLIAMS PETER RMDR</v>
      </c>
      <c r="C13513" s="1" t="str">
        <f>"422 S OAKLEY AVE ARLINGTON LOT 66"</f>
        <v>422 S OAKLEY AVE ARLINGTON LOT 66</v>
      </c>
      <c r="D13513" s="1">
        <v>1893.19</v>
      </c>
    </row>
    <row r="13514" spans="1:4" x14ac:dyDescent="0.3">
      <c r="A13514" s="1" t="str">
        <f>"19000189700"</f>
        <v>19000189700</v>
      </c>
      <c r="B13514" s="1" t="str">
        <f>"WILLIAMS CLAUDIA D"</f>
        <v>WILLIAMS CLAUDIA D</v>
      </c>
      <c r="C13514" s="1" t="str">
        <f>"2270 WOODWARD AVE 1.ACRE R17 T1 1-4T3"</f>
        <v>2270 WOODWARD AVE 1.ACRE R17 T1 1-4T3</v>
      </c>
      <c r="D13514" s="1">
        <v>3798.6</v>
      </c>
    </row>
    <row r="13515" spans="1:4" x14ac:dyDescent="0.3">
      <c r="A13515" s="1" t="str">
        <f>"01012332100"</f>
        <v>01012332100</v>
      </c>
      <c r="B13515" s="1" t="str">
        <f>"WILLIAMS CLAUDIA D, WILLIAMS SANTANA L"</f>
        <v>WILLIAMS CLAUDIA D, WILLIAMS SANTANA L</v>
      </c>
      <c r="C13515" s="1" t="str">
        <f>"BERNHARD RD. PINECREST 4 LOT648"</f>
        <v>BERNHARD RD. PINECREST 4 LOT648</v>
      </c>
      <c r="D13515" s="1">
        <v>1493.75</v>
      </c>
    </row>
    <row r="13516" spans="1:4" x14ac:dyDescent="0.3">
      <c r="A13516" s="1" t="str">
        <f>"01009397000"</f>
        <v>01009397000</v>
      </c>
      <c r="B13516" s="1" t="str">
        <f>"WILLIAMS CLOUDY H TR"</f>
        <v>WILLIAMS CLOUDY H TR</v>
      </c>
      <c r="C13516" s="1" t="str">
        <f>"2250-54 WOODWARD AVE LEONARD HRS 1. AC LOT 18"</f>
        <v>2250-54 WOODWARD AVE LEONARD HRS 1. AC LOT 18</v>
      </c>
      <c r="D13516" s="1">
        <v>2738.89</v>
      </c>
    </row>
    <row r="13517" spans="1:4" x14ac:dyDescent="0.3">
      <c r="A13517" s="1" t="str">
        <f>"01006057800"</f>
        <v>01006057800</v>
      </c>
      <c r="B13517" s="1" t="str">
        <f>"WILLIAMS CONNIE SUE"</f>
        <v>WILLIAMS CONNIE SUE</v>
      </c>
      <c r="C13517" s="1" t="str">
        <f>"1391 E 20TH AVE WALDEMERE LOT 345"</f>
        <v>1391 E 20TH AVE WALDEMERE LOT 345</v>
      </c>
      <c r="D13517" s="1">
        <v>500</v>
      </c>
    </row>
    <row r="13518" spans="1:4" x14ac:dyDescent="0.3">
      <c r="A13518" s="1" t="str">
        <f>"09000132800"</f>
        <v>09000132800</v>
      </c>
      <c r="B13518" s="1" t="str">
        <f>"WILLIAMS DANIELLE S"</f>
        <v>WILLIAMS DANIELLE S</v>
      </c>
      <c r="C13518" s="1" t="str">
        <f>"4517 ST RITA LN NORTON FIELD PLAT 2 LOT 442"</f>
        <v>4517 ST RITA LN NORTON FIELD PLAT 2 LOT 442</v>
      </c>
      <c r="D13518" s="1">
        <v>76.94</v>
      </c>
    </row>
    <row r="13519" spans="1:4" x14ac:dyDescent="0.3">
      <c r="A13519" s="1" t="str">
        <f>"01011504300"</f>
        <v>01011504300</v>
      </c>
      <c r="B13519" s="1" t="str">
        <f>"WILLIAMS DERWIN L"</f>
        <v>WILLIAMS DERWIN L</v>
      </c>
      <c r="C13519" s="1" t="str">
        <f>"KOEBEL AVE ACRES .162 R22 T4 S3"</f>
        <v>KOEBEL AVE ACRES .162 R22 T4 S3</v>
      </c>
      <c r="D13519" s="1">
        <v>21.52</v>
      </c>
    </row>
    <row r="13520" spans="1:4" x14ac:dyDescent="0.3">
      <c r="A13520" s="1" t="str">
        <f>"01011504500"</f>
        <v>01011504500</v>
      </c>
      <c r="B13520" s="1" t="str">
        <f>"WILLIAMS DERWIN L"</f>
        <v>WILLIAMS DERWIN L</v>
      </c>
      <c r="C13520" s="1" t="str">
        <f>"KOEBEL AVE LOT 11 URP "</f>
        <v xml:space="preserve">KOEBEL AVE LOT 11 URP </v>
      </c>
      <c r="D13520" s="1">
        <v>442.28</v>
      </c>
    </row>
    <row r="13521" spans="1:4" x14ac:dyDescent="0.3">
      <c r="A13521" s="1" t="str">
        <f>"14000285000"</f>
        <v>14000285000</v>
      </c>
      <c r="B13521" s="1" t="str">
        <f>"WILLIAMS DIANA L"</f>
        <v>WILLIAMS DIANA L</v>
      </c>
      <c r="C13521" s="1" t="str">
        <f>"40 BROADLAWN AVE BROADLAWN LOT 139 "</f>
        <v xml:space="preserve">40 BROADLAWN AVE BROADLAWN LOT 139 </v>
      </c>
      <c r="D13521" s="1">
        <v>1020.72</v>
      </c>
    </row>
    <row r="13522" spans="1:4" x14ac:dyDescent="0.3">
      <c r="A13522" s="1" t="str">
        <f>"01008724200"</f>
        <v>01008724200</v>
      </c>
      <c r="B13522" s="1" t="str">
        <f>"WILLIAMS DIANE M, WILLIAMS KATHRYN L"</f>
        <v>WILLIAMS DIANE M, WILLIAMS KATHRYN L</v>
      </c>
      <c r="C13522" s="1" t="str">
        <f>"787 S RICHARDSON AVE WESTLAND EXT 1 LOT 416"</f>
        <v>787 S RICHARDSON AVE WESTLAND EXT 1 LOT 416</v>
      </c>
      <c r="D13522" s="1">
        <v>170.26</v>
      </c>
    </row>
    <row r="13523" spans="1:4" x14ac:dyDescent="0.3">
      <c r="A13523" s="1" t="str">
        <f>"01009410300"</f>
        <v>01009410300</v>
      </c>
      <c r="B13523" s="1" t="str">
        <f>"WILLIAMS DINAH D"</f>
        <v>WILLIAMS DINAH D</v>
      </c>
      <c r="C13523" s="1" t="str">
        <f>"98 W HUBBARD AVE          BLISS HRS                 LOT 17                   "</f>
        <v xml:space="preserve">98 W HUBBARD AVE          BLISS HRS                 LOT 17                   </v>
      </c>
      <c r="D13523" s="1">
        <v>9420.23</v>
      </c>
    </row>
    <row r="13524" spans="1:4" x14ac:dyDescent="0.3">
      <c r="A13524" s="1" t="str">
        <f>"01001069900"</f>
        <v>01001069900</v>
      </c>
      <c r="B13524" s="1" t="str">
        <f>"WILLIAMS DONNA E"</f>
        <v>WILLIAMS DONNA E</v>
      </c>
      <c r="C13524" s="1" t="str">
        <f>"2891 INDIANOLA AVE CRESTVIEW LOT  568"</f>
        <v>2891 INDIANOLA AVE CRESTVIEW LOT  568</v>
      </c>
      <c r="D13524" s="1">
        <v>193.9</v>
      </c>
    </row>
    <row r="13525" spans="1:4" x14ac:dyDescent="0.3">
      <c r="A13525" s="1" t="str">
        <f>"01005350800"</f>
        <v>01005350800</v>
      </c>
      <c r="B13525" s="1" t="str">
        <f>"WILLIAMS ELIZABETH"</f>
        <v>WILLIAMS ELIZABETH</v>
      </c>
      <c r="C13525" s="1" t="str">
        <f>"827 S 5TH ST S JAEGER LOT 3"</f>
        <v>827 S 5TH ST S JAEGER LOT 3</v>
      </c>
      <c r="D13525" s="1">
        <v>4540.29</v>
      </c>
    </row>
    <row r="13526" spans="1:4" x14ac:dyDescent="0.3">
      <c r="A13526" s="1" t="str">
        <f>"11000582700"</f>
        <v>11000582700</v>
      </c>
      <c r="B13526" s="1" t="str">
        <f>"WILLIAMS JAMAR G"</f>
        <v>WILLIAMS JAMAR G</v>
      </c>
      <c r="C13526" s="1" t="str">
        <f>"LEE RD LEE ACRES NO 4 LOT 2"</f>
        <v>LEE RD LEE ACRES NO 4 LOT 2</v>
      </c>
      <c r="D13526" s="1">
        <v>8428.9699999999993</v>
      </c>
    </row>
    <row r="13527" spans="1:4" x14ac:dyDescent="0.3">
      <c r="A13527" s="1" t="str">
        <f>"01016617400"</f>
        <v>01016617400</v>
      </c>
      <c r="B13527" s="1" t="str">
        <f>"WILLIAMS JAMES P TR"</f>
        <v>WILLIAMS JAMES P TR</v>
      </c>
      <c r="C13527" s="1" t="str">
        <f>"5121 RANSTEAD CT RITTENHOUSE SQ CON 4 BLDG 5 UNIT 21"</f>
        <v>5121 RANSTEAD CT RITTENHOUSE SQ CON 4 BLDG 5 UNIT 21</v>
      </c>
      <c r="D13527" s="1">
        <v>145.12</v>
      </c>
    </row>
    <row r="13528" spans="1:4" x14ac:dyDescent="0.3">
      <c r="A13528" s="1" t="str">
        <f>"24000013300"</f>
        <v>24000013300</v>
      </c>
      <c r="B13528" s="1" t="str">
        <f>"WILLIAMS JERALD M, WILLIAMS ROBIN"</f>
        <v>WILLIAMS JERALD M, WILLIAMS ROBIN</v>
      </c>
      <c r="C13528" s="1" t="str">
        <f>"ALTON &amp; GALLOWAY RD 2.589 ACRES ENTRY 12837-13245"</f>
        <v>ALTON &amp; GALLOWAY RD 2.589 ACRES ENTRY 12837-13245</v>
      </c>
      <c r="D13528" s="1">
        <v>3125.76</v>
      </c>
    </row>
    <row r="13529" spans="1:4" x14ac:dyDescent="0.3">
      <c r="A13529" s="1" t="str">
        <f>"25415150800"</f>
        <v>25415150800</v>
      </c>
      <c r="B13529" s="1" t="str">
        <f>"WILLIAMS JOHN D III"</f>
        <v>WILLIAMS JOHN D III</v>
      </c>
      <c r="C13529" s="1" t="str">
        <f>"KANAWHA AVE TREMONT GRDNS LOT 149"</f>
        <v>KANAWHA AVE TREMONT GRDNS LOT 149</v>
      </c>
      <c r="D13529" s="1">
        <v>4476.74</v>
      </c>
    </row>
    <row r="13530" spans="1:4" x14ac:dyDescent="0.3">
      <c r="A13530" s="1" t="str">
        <f>"01012524100"</f>
        <v>01012524100</v>
      </c>
      <c r="B13530" s="1" t="str">
        <f>"WILLIAMS JOHN E, WILLIAMS MARY A"</f>
        <v>WILLIAMS JOHN E, WILLIAMS MARY A</v>
      </c>
      <c r="C13530" s="1" t="str">
        <f>"GROVEWOOD DR SOUTHFIELD 2ND LOT 46"</f>
        <v>GROVEWOOD DR SOUTHFIELD 2ND LOT 46</v>
      </c>
      <c r="D13530" s="1">
        <v>2072.3000000000002</v>
      </c>
    </row>
    <row r="13531" spans="1:4" x14ac:dyDescent="0.3">
      <c r="A13531" s="1" t="str">
        <f>"01010542100"</f>
        <v>01010542100</v>
      </c>
      <c r="B13531" s="1" t="str">
        <f>"WILLIAMS KARL"</f>
        <v>WILLIAMS KARL</v>
      </c>
      <c r="C13531" s="1" t="str">
        <f>"SYMINGTON AVE EUREKA PK AMD 2 LOT 107-108"</f>
        <v>SYMINGTON AVE EUREKA PK AMD 2 LOT 107-108</v>
      </c>
      <c r="D13531" s="1">
        <v>3299.69</v>
      </c>
    </row>
    <row r="13532" spans="1:4" x14ac:dyDescent="0.3">
      <c r="A13532" s="1" t="str">
        <f>"01011964900"</f>
        <v>01011964900</v>
      </c>
      <c r="B13532" s="1" t="str">
        <f>"WILLIAMS KERRYL D"</f>
        <v>WILLIAMS KERRYL D</v>
      </c>
      <c r="C13532" s="1" t="str">
        <f>"HILLGATE RD HILLGATE LOT 67"</f>
        <v>HILLGATE RD HILLGATE LOT 67</v>
      </c>
      <c r="D13532" s="1">
        <v>3250.31</v>
      </c>
    </row>
    <row r="13533" spans="1:4" x14ac:dyDescent="0.3">
      <c r="A13533" s="1" t="str">
        <f>"24000053600"</f>
        <v>24000053600</v>
      </c>
      <c r="B13533" s="1" t="str">
        <f>"WILLIAMS KEVIN W"</f>
        <v>WILLIAMS KEVIN W</v>
      </c>
      <c r="C13533" s="1" t="str">
        <f>"LAWRENCE AVE LITTLE FARMS 225 "</f>
        <v xml:space="preserve">LAWRENCE AVE LITTLE FARMS 225 </v>
      </c>
      <c r="D13533" s="1">
        <v>1330.92</v>
      </c>
    </row>
    <row r="13534" spans="1:4" x14ac:dyDescent="0.3">
      <c r="A13534" s="1" t="str">
        <f>"01007466500"</f>
        <v>01007466500</v>
      </c>
      <c r="B13534" s="1" t="str">
        <f>"WILLIAMS KHOURIE L"</f>
        <v>WILLIAMS KHOURIE L</v>
      </c>
      <c r="C13534" s="1" t="str">
        <f>"2353 VELMA ST HIAWATHA PARK PL LOT 91"</f>
        <v>2353 VELMA ST HIAWATHA PARK PL LOT 91</v>
      </c>
      <c r="D13534" s="1">
        <v>1425.23</v>
      </c>
    </row>
    <row r="13535" spans="1:4" x14ac:dyDescent="0.3">
      <c r="A13535" s="1" t="str">
        <f>"27301073300"</f>
        <v>27301073300</v>
      </c>
      <c r="B13535" s="1" t="str">
        <f>"WILLIAMS KRISTIN M"</f>
        <v>WILLIAMS KRISTIN M</v>
      </c>
      <c r="C13535" s="1" t="str">
        <f>"WYNDBURNE DRIVE WESTBURY SECTION 6 PHASE 2  LOT 232"</f>
        <v>WYNDBURNE DRIVE WESTBURY SECTION 6 PHASE 2  LOT 232</v>
      </c>
      <c r="D13535" s="1">
        <v>1383.97</v>
      </c>
    </row>
    <row r="13536" spans="1:4" x14ac:dyDescent="0.3">
      <c r="A13536" s="1" t="str">
        <f>"02500444300"</f>
        <v>02500444300</v>
      </c>
      <c r="B13536" s="1" t="str">
        <f>"WILLIAMS LARRY W TR"</f>
        <v>WILLIAMS LARRY W TR</v>
      </c>
      <c r="C13536" s="1" t="str">
        <f>"515 WICKHAM WAY FOXBORO 2 LOT 83"</f>
        <v>515 WICKHAM WAY FOXBORO 2 LOT 83</v>
      </c>
      <c r="D13536" s="1">
        <v>3885.94</v>
      </c>
    </row>
    <row r="13537" spans="1:4" x14ac:dyDescent="0.3">
      <c r="A13537" s="1" t="str">
        <f>"01008178000"</f>
        <v>01008178000</v>
      </c>
      <c r="B13537" s="1" t="str">
        <f>"WILLIAMS LAURA"</f>
        <v>WILLIAMS LAURA</v>
      </c>
      <c r="C13537" s="1" t="str">
        <f>"BRENTNELL AVE SHEPARD HTS LOT 25"</f>
        <v>BRENTNELL AVE SHEPARD HTS LOT 25</v>
      </c>
      <c r="D13537" s="1">
        <v>396.95</v>
      </c>
    </row>
    <row r="13538" spans="1:4" x14ac:dyDescent="0.3">
      <c r="A13538" s="1" t="str">
        <f>"01013528500"</f>
        <v>01013528500</v>
      </c>
      <c r="B13538" s="1" t="str">
        <f>"WILLIAMS LINDA M"</f>
        <v>WILLIAMS LINDA M</v>
      </c>
      <c r="C13538" s="1" t="str">
        <f>"DALEHURST RD RESUB PART OF KENSINGTON LOT 55"</f>
        <v>DALEHURST RD RESUB PART OF KENSINGTON LOT 55</v>
      </c>
      <c r="D13538" s="1">
        <v>143.16999999999999</v>
      </c>
    </row>
    <row r="13539" spans="1:4" x14ac:dyDescent="0.3">
      <c r="A13539" s="1" t="str">
        <f>"01015686400"</f>
        <v>01015686400</v>
      </c>
      <c r="B13539" s="1" t="str">
        <f>"WILLIAMS LLOYD, WILLIAMS MICHELLE D"</f>
        <v>WILLIAMS LLOYD, WILLIAMS MICHELLE D</v>
      </c>
      <c r="C13539" s="1" t="str">
        <f>"HOLLY RIDGE RD CUMBERLAND RIDGE SEC 2 LOT 324"</f>
        <v>HOLLY RIDGE RD CUMBERLAND RIDGE SEC 2 LOT 324</v>
      </c>
      <c r="D13539" s="1">
        <v>1796.51</v>
      </c>
    </row>
    <row r="13540" spans="1:4" x14ac:dyDescent="0.3">
      <c r="A13540" s="1" t="str">
        <f>"01000642100"</f>
        <v>01000642100</v>
      </c>
      <c r="B13540" s="1" t="str">
        <f>"WILLIAMS LOUISE"</f>
        <v>WILLIAMS LOUISE</v>
      </c>
      <c r="C13540" s="1" t="str">
        <f>"421 S WAYNE AVE BELLAIRE EXT LOT 308"</f>
        <v>421 S WAYNE AVE BELLAIRE EXT LOT 308</v>
      </c>
      <c r="D13540" s="1">
        <v>64.23</v>
      </c>
    </row>
    <row r="13541" spans="1:4" x14ac:dyDescent="0.3">
      <c r="A13541" s="1" t="str">
        <f>"18000336200"</f>
        <v>18000336200</v>
      </c>
      <c r="B13541" s="1" t="str">
        <f>"WILLIAMS MARYANN F, WILLIAMS RANDALL"</f>
        <v>WILLIAMS MARYANN F, WILLIAMS RANDALL</v>
      </c>
      <c r="C13541" s="1" t="str">
        <f>"WYMORE PL BLACKLICK ESTATES 3 718 "</f>
        <v xml:space="preserve">WYMORE PL BLACKLICK ESTATES 3 718 </v>
      </c>
      <c r="D13541" s="1">
        <v>150.4</v>
      </c>
    </row>
    <row r="13542" spans="1:4" x14ac:dyDescent="0.3">
      <c r="A13542" s="1" t="str">
        <f>"03000015400"</f>
        <v>03000015400</v>
      </c>
      <c r="B13542" s="1" t="str">
        <f>"WILLIAMS MEGAN L"</f>
        <v>WILLIAMS MEGAN L</v>
      </c>
      <c r="C13542" s="1" t="str">
        <f>"1555 WYANDOTTE RD WYNDOTTE PL 18 "</f>
        <v xml:space="preserve">1555 WYANDOTTE RD WYNDOTTE PL 18 </v>
      </c>
      <c r="D13542" s="1">
        <v>434.73</v>
      </c>
    </row>
    <row r="13543" spans="1:4" x14ac:dyDescent="0.3">
      <c r="A13543" s="1" t="str">
        <f>"01016154800"</f>
        <v>01016154800</v>
      </c>
      <c r="B13543" s="1" t="str">
        <f>"WILLIAMS MICHAEL J"</f>
        <v>WILLIAMS MICHAEL J</v>
      </c>
      <c r="C13543" s="1" t="str">
        <f>"KIMBERLY VILLAS COND PHASE 2 UNIT 9-C"</f>
        <v>KIMBERLY VILLAS COND PHASE 2 UNIT 9-C</v>
      </c>
      <c r="D13543" s="1">
        <v>458.74</v>
      </c>
    </row>
    <row r="13544" spans="1:4" x14ac:dyDescent="0.3">
      <c r="A13544" s="1" t="str">
        <f>"01013724000"</f>
        <v>01013724000</v>
      </c>
      <c r="B13544" s="1" t="str">
        <f>"WILLIAMS ORENTHEAL J"</f>
        <v>WILLIAMS ORENTHEAL J</v>
      </c>
      <c r="C13544" s="1" t="str">
        <f>"ROCHELLE PL GLENBROOK LOT 10"</f>
        <v>ROCHELLE PL GLENBROOK LOT 10</v>
      </c>
      <c r="D13544" s="1">
        <v>2595.6799999999998</v>
      </c>
    </row>
    <row r="13545" spans="1:4" x14ac:dyDescent="0.3">
      <c r="A13545" s="1" t="str">
        <f>"01013736000"</f>
        <v>01013736000</v>
      </c>
      <c r="B13545" s="1" t="str">
        <f>"WILLIAMS PAULA J"</f>
        <v>WILLIAMS PAULA J</v>
      </c>
      <c r="C13545" s="1" t="str">
        <f>"ROBERTS PLACE INNIS GARDENS 4 LOT 21-22"</f>
        <v>ROBERTS PLACE INNIS GARDENS 4 LOT 21-22</v>
      </c>
      <c r="D13545" s="1">
        <v>741.97</v>
      </c>
    </row>
    <row r="13546" spans="1:4" x14ac:dyDescent="0.3">
      <c r="A13546" s="1" t="str">
        <f>"01005414000"</f>
        <v>01005414000</v>
      </c>
      <c r="B13546" s="1" t="str">
        <f>"WILLIAMS PAULINE M"</f>
        <v>WILLIAMS PAULINE M</v>
      </c>
      <c r="C13546" s="1" t="str">
        <f>"460 S OHIO AVE LUCKHAUPT SUB 27"</f>
        <v>460 S OHIO AVE LUCKHAUPT SUB 27</v>
      </c>
      <c r="D13546" s="1">
        <v>2788.14</v>
      </c>
    </row>
    <row r="13547" spans="1:4" x14ac:dyDescent="0.3">
      <c r="A13547" s="1" t="str">
        <f>"61019935400"</f>
        <v>61019935400</v>
      </c>
      <c r="B13547" s="1" t="str">
        <f>"WILLIAMS RICHARD S, WILLIAMS DARCI D"</f>
        <v>WILLIAMS RICHARD S, WILLIAMS DARCI D</v>
      </c>
      <c r="C13547" s="1" t="str">
        <f>"POCONO RD CHRISTOPHER WOODS LOT 43"</f>
        <v>POCONO RD CHRISTOPHER WOODS LOT 43</v>
      </c>
      <c r="D13547" s="1">
        <v>937.32</v>
      </c>
    </row>
    <row r="13548" spans="1:4" x14ac:dyDescent="0.3">
      <c r="A13548" s="1" t="str">
        <f>"01013351000"</f>
        <v>01013351000</v>
      </c>
      <c r="B13548" s="1" t="str">
        <f>"WILLIAMS ROBERT L, WILLIAMS STACY M"</f>
        <v>WILLIAMS ROBERT L, WILLIAMS STACY M</v>
      </c>
      <c r="C13548" s="1" t="str">
        <f>"NORWALK RD SOUTHFIELD 3 LOT 409"</f>
        <v>NORWALK RD SOUTHFIELD 3 LOT 409</v>
      </c>
      <c r="D13548" s="1">
        <v>1137.69</v>
      </c>
    </row>
    <row r="13549" spans="1:4" x14ac:dyDescent="0.3">
      <c r="A13549" s="1" t="str">
        <f>"01006579300"</f>
        <v>01006579300</v>
      </c>
      <c r="B13549" s="1" t="str">
        <f>"WILLIAMS SAMMIE L, WILLIAMS KATHRYN L"</f>
        <v>WILLIAMS SAMMIE L, WILLIAMS KATHRYN L</v>
      </c>
      <c r="C13549" s="1" t="str">
        <f>"AMHERST AVE HAZELWOOD LOT 87 "</f>
        <v xml:space="preserve">AMHERST AVE HAZELWOOD LOT 87 </v>
      </c>
      <c r="D13549" s="1">
        <v>670.17</v>
      </c>
    </row>
    <row r="13550" spans="1:4" x14ac:dyDescent="0.3">
      <c r="A13550" s="1" t="str">
        <f>"01010113300"</f>
        <v>01010113300</v>
      </c>
      <c r="B13550" s="1" t="str">
        <f>"WILLIAMS SCOTT A"</f>
        <v>WILLIAMS SCOTT A</v>
      </c>
      <c r="C13550" s="1" t="str">
        <f>"SCOTTWOOD RD. BERWICK MANOR LOT 187"</f>
        <v>SCOTTWOOD RD. BERWICK MANOR LOT 187</v>
      </c>
      <c r="D13550" s="1">
        <v>2755.32</v>
      </c>
    </row>
    <row r="13551" spans="1:4" x14ac:dyDescent="0.3">
      <c r="A13551" s="1" t="str">
        <f>"01023968700"</f>
        <v>01023968700</v>
      </c>
      <c r="B13551" s="1" t="str">
        <f>"WILLIAMS SONYIA S"</f>
        <v>WILLIAMS SONYIA S</v>
      </c>
      <c r="C13551" s="1" t="str">
        <f>"ST BERNARD CIRCLE CHATTERTON SECTION 1 LOT 6"</f>
        <v>ST BERNARD CIRCLE CHATTERTON SECTION 1 LOT 6</v>
      </c>
      <c r="D13551" s="1">
        <v>4709.67</v>
      </c>
    </row>
    <row r="13552" spans="1:4" x14ac:dyDescent="0.3">
      <c r="A13552" s="1" t="str">
        <f>"01002176800"</f>
        <v>01002176800</v>
      </c>
      <c r="B13552" s="1" t="str">
        <f>"WILLIAMS STEVE"</f>
        <v>WILLIAMS STEVE</v>
      </c>
      <c r="C13552" s="1" t="str">
        <f>"968 E 12TH AVE GEO WILLIAMS LOT 15"</f>
        <v>968 E 12TH AVE GEO WILLIAMS LOT 15</v>
      </c>
      <c r="D13552" s="1">
        <v>83.18</v>
      </c>
    </row>
    <row r="13553" spans="1:4" x14ac:dyDescent="0.3">
      <c r="A13553" s="1" t="str">
        <f>"01003501100"</f>
        <v>01003501100</v>
      </c>
      <c r="B13553" s="1" t="str">
        <f>"WILLIAMS STEVE D"</f>
        <v>WILLIAMS STEVE D</v>
      </c>
      <c r="C13553" s="1" t="str">
        <f>"688 OHIO AVE EX 18IN SS DORA FALKENBACK LOT 4"</f>
        <v>688 OHIO AVE EX 18IN SS DORA FALKENBACK LOT 4</v>
      </c>
      <c r="D13553" s="1">
        <v>1296.45</v>
      </c>
    </row>
    <row r="13554" spans="1:4" x14ac:dyDescent="0.3">
      <c r="A13554" s="1" t="str">
        <f>"01012246300"</f>
        <v>01012246300</v>
      </c>
      <c r="B13554" s="1" t="str">
        <f>"WILLIAMS STEVEN P, WILLIAMS BRIDGET A"</f>
        <v>WILLIAMS STEVEN P, WILLIAMS BRIDGET A</v>
      </c>
      <c r="C13554" s="1" t="str">
        <f>"SULLIVANT AVE SO GEORGIAN HTS 5 LOT 52"</f>
        <v>SULLIVANT AVE SO GEORGIAN HTS 5 LOT 52</v>
      </c>
      <c r="D13554" s="1">
        <v>2968.47</v>
      </c>
    </row>
    <row r="13555" spans="1:4" x14ac:dyDescent="0.3">
      <c r="A13555" s="1" t="str">
        <f>"57020966500"</f>
        <v>57020966500</v>
      </c>
      <c r="B13555" s="1" t="str">
        <f>"WILLIAMS SYLVIA L, WILLIAMS SYLVIA"</f>
        <v>WILLIAMS SYLVIA L, WILLIAMS SYLVIA</v>
      </c>
      <c r="C13555" s="1" t="str">
        <f>"RINGFIELD DR LEHNERT FARM SEC 6 LOT 322"</f>
        <v>RINGFIELD DR LEHNERT FARM SEC 6 LOT 322</v>
      </c>
      <c r="D13555" s="1">
        <v>1496.07</v>
      </c>
    </row>
    <row r="13556" spans="1:4" x14ac:dyDescent="0.3">
      <c r="A13556" s="1" t="str">
        <f>"01011516200"</f>
        <v>01011516200</v>
      </c>
      <c r="B13556" s="1" t="str">
        <f>"WILLIAMS TERRY A"</f>
        <v>WILLIAMS TERRY A</v>
      </c>
      <c r="C13556" s="1" t="str">
        <f>"WATKINS RD ACRES .857 R22 T4 S1-2 "</f>
        <v xml:space="preserve">WATKINS RD ACRES .857 R22 T4 S1-2 </v>
      </c>
      <c r="D13556" s="1">
        <v>847.25</v>
      </c>
    </row>
    <row r="13557" spans="1:4" x14ac:dyDescent="0.3">
      <c r="A13557" s="1" t="str">
        <f>"18000191500"</f>
        <v>18000191500</v>
      </c>
      <c r="B13557" s="1" t="str">
        <f>"WILLIAMS TERRY A"</f>
        <v>WILLIAMS TERRY A</v>
      </c>
      <c r="C13557" s="1" t="str">
        <f>"HARBOR BLVD BLACKLICK ESTATES 1 57"</f>
        <v>HARBOR BLVD BLACKLICK ESTATES 1 57</v>
      </c>
      <c r="D13557" s="1">
        <v>200</v>
      </c>
    </row>
    <row r="13558" spans="1:4" x14ac:dyDescent="0.3">
      <c r="A13558" s="1" t="str">
        <f>"01013046300"</f>
        <v>01013046300</v>
      </c>
      <c r="B13558" s="1" t="str">
        <f>"WILLIAMS ZYNEENE L"</f>
        <v>WILLIAMS ZYNEENE L</v>
      </c>
      <c r="C13558" s="1" t="str">
        <f>"ORIOLE PLACE ORIOLE HEIGHTS LOT 3"</f>
        <v>ORIOLE PLACE ORIOLE HEIGHTS LOT 3</v>
      </c>
      <c r="D13558" s="1">
        <v>1487.38</v>
      </c>
    </row>
    <row r="13559" spans="1:4" x14ac:dyDescent="0.3">
      <c r="A13559" s="1" t="str">
        <f>"23000276800"</f>
        <v>23000276800</v>
      </c>
      <c r="B13559" s="1" t="str">
        <f>"WILLIAMSON FLORENE, WILLIAMSON FLORINE"</f>
        <v>WILLIAMSON FLORENE, WILLIAMSON FLORINE</v>
      </c>
      <c r="C13559" s="1" t="str">
        <f>"6842 LONDON-GVPT RD ENTRY 6309-5482 1.2856 ACRES"</f>
        <v>6842 LONDON-GVPT RD ENTRY 6309-5482 1.2856 ACRES</v>
      </c>
      <c r="D13559" s="1">
        <v>4187.59</v>
      </c>
    </row>
    <row r="13560" spans="1:4" x14ac:dyDescent="0.3">
      <c r="A13560" s="1" t="str">
        <f>"06000167500"</f>
        <v>06000167500</v>
      </c>
      <c r="B13560" s="1" t="str">
        <f>"WILLIAMSON JOHN R TR, WILLIAMSON REINHILDE I"</f>
        <v>WILLIAMSON JOHN R TR, WILLIAMSON REINHILDE I</v>
      </c>
      <c r="C13560" s="1" t="str">
        <f>"SARATOGA AVE BROOKSIDE PARK 3 LOT 639"</f>
        <v>SARATOGA AVE BROOKSIDE PARK 3 LOT 639</v>
      </c>
      <c r="D13560" s="1">
        <v>1885.59</v>
      </c>
    </row>
    <row r="13561" spans="1:4" x14ac:dyDescent="0.3">
      <c r="A13561" s="1" t="str">
        <f>"14000024100"</f>
        <v>14000024100</v>
      </c>
      <c r="B13561" s="1" t="str">
        <f>"WILLIAMSON MARTHA J, WILLIAMSON GROVER, WILLIAMSON GID D"</f>
        <v>WILLIAMSON MARTHA J, WILLIAMSON GROVER, WILLIAMSON GID D</v>
      </c>
      <c r="C13561" s="1" t="str">
        <f>"1221 STIMMEL RD .603 ACRE ENTRY 422"</f>
        <v>1221 STIMMEL RD .603 ACRE ENTRY 422</v>
      </c>
      <c r="D13561" s="1">
        <v>259.10000000000002</v>
      </c>
    </row>
    <row r="13562" spans="1:4" x14ac:dyDescent="0.3">
      <c r="A13562" s="1" t="str">
        <f>"56024172000"</f>
        <v>56024172000</v>
      </c>
      <c r="B13562" s="1" t="str">
        <f>"WILLIAMS-PURKEY LILLIAN B, PURKEY PHILIP"</f>
        <v>WILLIAMS-PURKEY LILLIAN B, PURKEY PHILIP</v>
      </c>
      <c r="C13562" s="1" t="str">
        <f>"LONGSPUR DRIVE LIMESTONE POINTE SEC 1 PART 1 LOT 34"</f>
        <v>LONGSPUR DRIVE LIMESTONE POINTE SEC 1 PART 1 LOT 34</v>
      </c>
      <c r="D13562" s="1">
        <v>4181.4399999999996</v>
      </c>
    </row>
    <row r="13563" spans="1:4" x14ac:dyDescent="0.3">
      <c r="A13563" s="1" t="str">
        <f>"25000559900"</f>
        <v>25000559900</v>
      </c>
      <c r="B13563" s="1" t="str">
        <f>"WILLIS CATHERINE T"</f>
        <v>WILLIS CATHERINE T</v>
      </c>
      <c r="C13563" s="1" t="str">
        <f>"MELYERS COURT FLINT RIDGE TERRACE 4"</f>
        <v>MELYERS COURT FLINT RIDGE TERRACE 4</v>
      </c>
      <c r="D13563" s="1">
        <v>4350.33</v>
      </c>
    </row>
    <row r="13564" spans="1:4" x14ac:dyDescent="0.3">
      <c r="A13564" s="1" t="str">
        <f>"14800082300"</f>
        <v>14800082300</v>
      </c>
      <c r="B13564" s="1" t="str">
        <f>"WILLIS PATRICIA"</f>
        <v>WILLIS PATRICIA</v>
      </c>
      <c r="C13564" s="1" t="str">
        <f>"2748 DIBBLEE AVE VALLEYVIEW 250 "</f>
        <v xml:space="preserve">2748 DIBBLEE AVE VALLEYVIEW 250 </v>
      </c>
      <c r="D13564" s="1">
        <v>152.34</v>
      </c>
    </row>
    <row r="13565" spans="1:4" x14ac:dyDescent="0.3">
      <c r="A13565" s="1" t="str">
        <f>"01011222400"</f>
        <v>01011222400</v>
      </c>
      <c r="B13565" s="1" t="str">
        <f>"WILLIS ZACHRIS III, WILLIS JESSICA"</f>
        <v>WILLIS ZACHRIS III, WILLIS JESSICA</v>
      </c>
      <c r="C13565" s="1" t="str">
        <f>"WOODROW AVE LAWRENCEDALE LOT 11"</f>
        <v>WOODROW AVE LAWRENCEDALE LOT 11</v>
      </c>
      <c r="D13565" s="1">
        <v>2576.3200000000002</v>
      </c>
    </row>
    <row r="13566" spans="1:4" x14ac:dyDescent="0.3">
      <c r="A13566" s="1" t="str">
        <f>"01001083700"</f>
        <v>01001083700</v>
      </c>
      <c r="B13566" s="1" t="str">
        <f>"WILLOUGHBY MALIK A"</f>
        <v>WILLOUGHBY MALIK A</v>
      </c>
      <c r="C13566" s="1" t="str">
        <f>"1301 HILDRETH AVE S L HOOPER SUB 2   LOT 105"</f>
        <v>1301 HILDRETH AVE S L HOOPER SUB 2   LOT 105</v>
      </c>
      <c r="D13566" s="1">
        <v>127.96</v>
      </c>
    </row>
    <row r="13567" spans="1:4" x14ac:dyDescent="0.3">
      <c r="A13567" s="1" t="str">
        <f>"01028661300"</f>
        <v>01028661300</v>
      </c>
      <c r="B13567" s="1" t="str">
        <f>"WILLS PATRICIA A TR"</f>
        <v>WILLS PATRICIA A TR</v>
      </c>
      <c r="C13567" s="1" t="str">
        <f>"THE BRITTANY PLACE CONDOMINIUM COMMUNITY 4TH AMD UNIT 5116"</f>
        <v>THE BRITTANY PLACE CONDOMINIUM COMMUNITY 4TH AMD UNIT 5116</v>
      </c>
      <c r="D13567" s="1">
        <v>109.87</v>
      </c>
    </row>
    <row r="13568" spans="1:4" x14ac:dyDescent="0.3">
      <c r="A13568" s="1" t="str">
        <f>"01026987200"</f>
        <v>01026987200</v>
      </c>
      <c r="B13568" s="1" t="str">
        <f>"WILLS THOMAS LEE, COLLIER KAYLOR BARBARA"</f>
        <v>WILLS THOMAS LEE, COLLIER KAYLOR BARBARA</v>
      </c>
      <c r="C13568" s="1" t="str">
        <f>"WINDSOR BRIDGE AT THE PRESERVE CONDO 1ST AMD BLDG 9 UNIT 9-4172"</f>
        <v>WINDSOR BRIDGE AT THE PRESERVE CONDO 1ST AMD BLDG 9 UNIT 9-4172</v>
      </c>
      <c r="D13568" s="1">
        <v>2753.34</v>
      </c>
    </row>
    <row r="13569" spans="1:4" x14ac:dyDescent="0.3">
      <c r="A13569" s="1" t="str">
        <f>"01013385400"</f>
        <v>01013385400</v>
      </c>
      <c r="B13569" s="1" t="str">
        <f>"WILLS VICTORIA L"</f>
        <v>WILLS VICTORIA L</v>
      </c>
      <c r="C13569" s="1" t="str">
        <f>"DEVONSHIRE NO 1 LOT 75 "</f>
        <v xml:space="preserve">DEVONSHIRE NO 1 LOT 75 </v>
      </c>
      <c r="D13569" s="1">
        <v>3912.72</v>
      </c>
    </row>
    <row r="13570" spans="1:4" x14ac:dyDescent="0.3">
      <c r="A13570" s="1" t="str">
        <f>"01011197400"</f>
        <v>01011197400</v>
      </c>
      <c r="B13570" s="1" t="str">
        <f>"WILSON ALBERT LEWIS"</f>
        <v>WILSON ALBERT LEWIS</v>
      </c>
      <c r="C13570" s="1" t="str">
        <f>"MOUNDVIEW AVE CLARFIELD LOT 56"</f>
        <v>MOUNDVIEW AVE CLARFIELD LOT 56</v>
      </c>
      <c r="D13570" s="1">
        <v>652.53</v>
      </c>
    </row>
    <row r="13571" spans="1:4" x14ac:dyDescent="0.3">
      <c r="A13571" s="1" t="str">
        <f>"01006055000"</f>
        <v>01006055000</v>
      </c>
      <c r="B13571" s="1" t="str">
        <f>"WILSON ANTHONY M TTEE"</f>
        <v>WILSON ANTHONY M TTEE</v>
      </c>
      <c r="C13571" s="1" t="str">
        <f>"1380 20TH AVE WALDEMERE LOT 310"</f>
        <v>1380 20TH AVE WALDEMERE LOT 310</v>
      </c>
      <c r="D13571" s="1">
        <v>814.61</v>
      </c>
    </row>
    <row r="13572" spans="1:4" x14ac:dyDescent="0.3">
      <c r="A13572" s="1" t="str">
        <f>"01007033000"</f>
        <v>01007033000</v>
      </c>
      <c r="B13572" s="1" t="str">
        <f>"WILSON CORBIN VICTORIA"</f>
        <v>WILSON CORBIN VICTORIA</v>
      </c>
      <c r="C13572" s="1" t="str">
        <f>"1695-97 LIVINGSTON LIVINGSTON WHITTIER GARDENS LOT 11"</f>
        <v>1695-97 LIVINGSTON LIVINGSTON WHITTIER GARDENS LOT 11</v>
      </c>
      <c r="D13572" s="1">
        <v>468.95</v>
      </c>
    </row>
    <row r="13573" spans="1:4" x14ac:dyDescent="0.3">
      <c r="A13573" s="1" t="str">
        <f>"02500066900"</f>
        <v>02500066900</v>
      </c>
      <c r="B13573" s="1" t="str">
        <f>"WILSON CRYSTAL C"</f>
        <v>WILSON CRYSTAL C</v>
      </c>
      <c r="C13573" s="1" t="str">
        <f>"281 RIVERS END RD GRAMERCY PK ESTATES 262"</f>
        <v>281 RIVERS END RD GRAMERCY PK ESTATES 262</v>
      </c>
      <c r="D13573" s="1">
        <v>3237.28</v>
      </c>
    </row>
    <row r="13574" spans="1:4" x14ac:dyDescent="0.3">
      <c r="A13574" s="1" t="str">
        <f>"01020797400"</f>
        <v>01020797400</v>
      </c>
      <c r="B13574" s="1" t="str">
        <f>"WILSON CURTIS D, WILSON KRISTINE N"</f>
        <v>WILSON CURTIS D, WILSON KRISTINE N</v>
      </c>
      <c r="C13574" s="1" t="str">
        <f>"RIVERWATCH TOWER CONDOMINIUM UNIT 1001"</f>
        <v>RIVERWATCH TOWER CONDOMINIUM UNIT 1001</v>
      </c>
      <c r="D13574" s="1">
        <v>1317.02</v>
      </c>
    </row>
    <row r="13575" spans="1:4" x14ac:dyDescent="0.3">
      <c r="A13575" s="1" t="str">
        <f>"01003665200"</f>
        <v>01003665200</v>
      </c>
      <c r="B13575" s="1" t="str">
        <f>"WILSON DOROTHY L"</f>
        <v>WILSON DOROTHY L</v>
      </c>
      <c r="C13575" s="1" t="str">
        <f>"2094 N GREENWAY AVE EAST GATE LOT 8&amp; PT LT 9 BLK 7"</f>
        <v>2094 N GREENWAY AVE EAST GATE LOT 8&amp; PT LT 9 BLK 7</v>
      </c>
      <c r="D13575" s="1">
        <v>3787.45</v>
      </c>
    </row>
    <row r="13576" spans="1:4" x14ac:dyDescent="0.3">
      <c r="A13576" s="1" t="str">
        <f>"03000131200"</f>
        <v>03000131200</v>
      </c>
      <c r="B13576" s="1" t="str">
        <f>"WILSON DOUGLAS S, FARR LAUREN V"</f>
        <v>WILSON DOUGLAS S, FARR LAUREN V</v>
      </c>
      <c r="C13576" s="1" t="str">
        <f>"1386 W 1ST AVE 38 FT E S ALLENS LOT 1"</f>
        <v>1386 W 1ST AVE 38 FT E S ALLENS LOT 1</v>
      </c>
      <c r="D13576" s="1">
        <v>580.84</v>
      </c>
    </row>
    <row r="13577" spans="1:4" x14ac:dyDescent="0.3">
      <c r="A13577" s="1" t="str">
        <f>"01004302800"</f>
        <v>01004302800</v>
      </c>
      <c r="B13577" s="1" t="str">
        <f>"WILSON GLORIS A"</f>
        <v>WILSON GLORIS A</v>
      </c>
      <c r="C13577" s="1" t="str">
        <f>"1064 S 22ND ST REINHARD AVE LOT 1"</f>
        <v>1064 S 22ND ST REINHARD AVE LOT 1</v>
      </c>
      <c r="D13577" s="1">
        <v>2589.31</v>
      </c>
    </row>
    <row r="13578" spans="1:4" x14ac:dyDescent="0.3">
      <c r="A13578" s="1" t="str">
        <f>"01003667300"</f>
        <v>01003667300</v>
      </c>
      <c r="B13578" s="1" t="str">
        <f>"WILSON HUNTER P"</f>
        <v>WILSON HUNTER P</v>
      </c>
      <c r="C13578" s="1" t="str">
        <f>"GREENWAY SOUTH EAST GATE LOT 7 BLK 11"</f>
        <v>GREENWAY SOUTH EAST GATE LOT 7 BLK 11</v>
      </c>
      <c r="D13578" s="1">
        <v>1092.7</v>
      </c>
    </row>
    <row r="13579" spans="1:4" x14ac:dyDescent="0.3">
      <c r="A13579" s="1" t="str">
        <f>"10000183400"</f>
        <v>10000183400</v>
      </c>
      <c r="B13579" s="1" t="str">
        <f>"WILSON IAN"</f>
        <v>WILSON IAN</v>
      </c>
      <c r="C13579" s="1" t="str">
        <f>"270 PARK BLVD LOT 141 PTS LOTS 140 142 COLONIAL HILLS"</f>
        <v>270 PARK BLVD LOT 141 PTS LOTS 140 142 COLONIAL HILLS</v>
      </c>
      <c r="D13579" s="1">
        <v>394.44</v>
      </c>
    </row>
    <row r="13580" spans="1:4" x14ac:dyDescent="0.3">
      <c r="A13580" s="1" t="str">
        <f>"01001811600"</f>
        <v>01001811600</v>
      </c>
      <c r="B13580" s="1" t="str">
        <f>"WILSON JARED LEE, WILSON DENNIS"</f>
        <v>WILSON JARED LEE, WILSON DENNIS</v>
      </c>
      <c r="C13580" s="1" t="str">
        <f>"1043 SCOTT ST NORTH 1/2 SKILLEN LOT 4"</f>
        <v>1043 SCOTT ST NORTH 1/2 SKILLEN LOT 4</v>
      </c>
      <c r="D13580" s="1">
        <v>1974.8</v>
      </c>
    </row>
    <row r="13581" spans="1:4" x14ac:dyDescent="0.3">
      <c r="A13581" s="1" t="str">
        <f>"23400001300"</f>
        <v>23400001300</v>
      </c>
      <c r="B13581" s="1" t="str">
        <f>"WILSON KEVIN EMERSON, HUSTON SALLY J"</f>
        <v>WILSON KEVIN EMERSON, HUSTON SALLY J</v>
      </c>
      <c r="C13581" s="1" t="str">
        <f>"COLUMBUS ST LOT 10 "</f>
        <v xml:space="preserve">COLUMBUS ST LOT 10 </v>
      </c>
      <c r="D13581" s="1">
        <v>11.98</v>
      </c>
    </row>
    <row r="13582" spans="1:4" x14ac:dyDescent="0.3">
      <c r="A13582" s="1" t="str">
        <f>"01017123200"</f>
        <v>01017123200</v>
      </c>
      <c r="B13582" s="1" t="str">
        <f>"WILSON MALIK R"</f>
        <v>WILSON MALIK R</v>
      </c>
      <c r="C13582" s="1" t="str">
        <f>"4334 CHATEAU MORSE CHATEAU MORSE CONDO UNIT 4334"</f>
        <v>4334 CHATEAU MORSE CHATEAU MORSE CONDO UNIT 4334</v>
      </c>
      <c r="D13582" s="1">
        <v>1416.38</v>
      </c>
    </row>
    <row r="13583" spans="1:4" x14ac:dyDescent="0.3">
      <c r="A13583" s="1" t="str">
        <f>"01011193000"</f>
        <v>01011193000</v>
      </c>
      <c r="B13583" s="1" t="str">
        <f>"WILSON MARCELLA J"</f>
        <v>WILSON MARCELLA J</v>
      </c>
      <c r="C13583" s="1" t="str">
        <f>"CLARFIELD AVE CLARFIELD LOT 11"</f>
        <v>CLARFIELD AVE CLARFIELD LOT 11</v>
      </c>
      <c r="D13583" s="1">
        <v>1158</v>
      </c>
    </row>
    <row r="13584" spans="1:4" x14ac:dyDescent="0.3">
      <c r="A13584" s="1" t="str">
        <f>"61019068000"</f>
        <v>61019068000</v>
      </c>
      <c r="B13584" s="1" t="str">
        <f>"WILSON MARCIA J"</f>
        <v>WILSON MARCIA J</v>
      </c>
      <c r="C13584" s="1" t="str">
        <f>"BINHAM CT RESUB PT SMOKY ROW MANOR NORTH LOT 58B"</f>
        <v>BINHAM CT RESUB PT SMOKY ROW MANOR NORTH LOT 58B</v>
      </c>
      <c r="D13584" s="1">
        <v>4899.09</v>
      </c>
    </row>
    <row r="13585" spans="1:4" x14ac:dyDescent="0.3">
      <c r="A13585" s="1" t="str">
        <f>"01006851500"</f>
        <v>01006851500</v>
      </c>
      <c r="B13585" s="1" t="str">
        <f>"WILSON MARCUS S"</f>
        <v>WILSON MARCUS S</v>
      </c>
      <c r="C13585" s="1" t="str">
        <f>"WARREN AVE WILSHIRE HEIGHTS LOT 11 BLK 9"</f>
        <v>WARREN AVE WILSHIRE HEIGHTS LOT 11 BLK 9</v>
      </c>
      <c r="D13585" s="1">
        <v>1042.6400000000001</v>
      </c>
    </row>
    <row r="13586" spans="1:4" x14ac:dyDescent="0.3">
      <c r="A13586" s="1" t="str">
        <f>"05000154500"</f>
        <v>05000154500</v>
      </c>
      <c r="B13586" s="1" t="str">
        <f>"WILSON MARY L"</f>
        <v>WILSON MARY L</v>
      </c>
      <c r="C13586" s="1" t="str">
        <f>"4729 HILLIARD C RD 67FT ES LT 24 HILLIARD HTS 2 LOT24"</f>
        <v>4729 HILLIARD C RD 67FT ES LT 24 HILLIARD HTS 2 LOT24</v>
      </c>
      <c r="D13586" s="1">
        <v>248.06</v>
      </c>
    </row>
    <row r="13587" spans="1:4" x14ac:dyDescent="0.3">
      <c r="A13587" s="1" t="str">
        <f>"01002919400"</f>
        <v>01002919400</v>
      </c>
      <c r="B13587" s="1" t="str">
        <f>"WILSON NATASHA"</f>
        <v>WILSON NATASHA</v>
      </c>
      <c r="C13587" s="1" t="str">
        <f>"1263 HEYL AVE BRUCK PL LOT 58"</f>
        <v>1263 HEYL AVE BRUCK PL LOT 58</v>
      </c>
      <c r="D13587" s="1">
        <v>3472.85</v>
      </c>
    </row>
    <row r="13588" spans="1:4" x14ac:dyDescent="0.3">
      <c r="A13588" s="1" t="str">
        <f>"01029419500"</f>
        <v>01029419500</v>
      </c>
      <c r="B13588" s="1" t="str">
        <f>"WILSON PATRICIA R"</f>
        <v>WILSON PATRICIA R</v>
      </c>
      <c r="C13588" s="1" t="str">
        <f>"ASHERTON GROVE CONDOMINIUM 10TH AMD BLDG 11 UNIT 11-5689"</f>
        <v>ASHERTON GROVE CONDOMINIUM 10TH AMD BLDG 11 UNIT 11-5689</v>
      </c>
      <c r="D13588" s="1">
        <v>5505.33</v>
      </c>
    </row>
    <row r="13589" spans="1:4" x14ac:dyDescent="0.3">
      <c r="A13589" s="1" t="str">
        <f>"07001261800"</f>
        <v>07001261800</v>
      </c>
      <c r="B13589" s="1" t="str">
        <f>"WILSON PAUL J II"</f>
        <v>WILSON PAUL J II</v>
      </c>
      <c r="C13589" s="1" t="str">
        <f>"CAMBERLAY CONDOMINIUM BLDG 3 UNIT 2"</f>
        <v>CAMBERLAY CONDOMINIUM BLDG 3 UNIT 2</v>
      </c>
      <c r="D13589" s="1">
        <v>264.14</v>
      </c>
    </row>
    <row r="13590" spans="1:4" x14ac:dyDescent="0.3">
      <c r="A13590" s="1" t="str">
        <f>"01009871900"</f>
        <v>01009871900</v>
      </c>
      <c r="B13590" s="1" t="str">
        <f>"WILSON QUINN A"</f>
        <v>WILSON QUINN A</v>
      </c>
      <c r="C13590" s="1" t="str">
        <f>"25TH AVE DUXBERRY PARK LOT 70"</f>
        <v>25TH AVE DUXBERRY PARK LOT 70</v>
      </c>
      <c r="D13590" s="1">
        <v>223.06</v>
      </c>
    </row>
    <row r="13591" spans="1:4" x14ac:dyDescent="0.3">
      <c r="A13591" s="1" t="str">
        <f>"01013953000"</f>
        <v>01013953000</v>
      </c>
      <c r="B13591" s="1" t="str">
        <f>"WILSON ROBERT M"</f>
        <v>WILSON ROBERT M</v>
      </c>
      <c r="C13591" s="1" t="str">
        <f>"BENVUE DR FLORAVIEW HEIGHTS LOT 8"</f>
        <v>BENVUE DR FLORAVIEW HEIGHTS LOT 8</v>
      </c>
      <c r="D13591" s="1">
        <v>2759.54</v>
      </c>
    </row>
    <row r="13592" spans="1:4" x14ac:dyDescent="0.3">
      <c r="A13592" s="1" t="str">
        <f>"53016398200"</f>
        <v>53016398200</v>
      </c>
      <c r="B13592" s="1" t="str">
        <f>"WILSON RONNIE J, WILSON JONNIE D"</f>
        <v>WILSON RONNIE J, WILSON JONNIE D</v>
      </c>
      <c r="C13592" s="1" t="str">
        <f>"THREE RIVERS LANE THREE RIVERS LOT 77"</f>
        <v>THREE RIVERS LANE THREE RIVERS LOT 77</v>
      </c>
      <c r="D13592" s="1">
        <v>1729.4</v>
      </c>
    </row>
    <row r="13593" spans="1:4" x14ac:dyDescent="0.3">
      <c r="A13593" s="1" t="str">
        <f>"01009151800"</f>
        <v>01009151800</v>
      </c>
      <c r="B13593" s="1" t="str">
        <f>"WILSON SHAKELAH"</f>
        <v>WILSON SHAKELAH</v>
      </c>
      <c r="C13593" s="1" t="str">
        <f>"HAMPTON RD EASTHAMPTON LOT 294"</f>
        <v>HAMPTON RD EASTHAMPTON LOT 294</v>
      </c>
      <c r="D13593" s="1">
        <v>1561.97</v>
      </c>
    </row>
    <row r="13594" spans="1:4" x14ac:dyDescent="0.3">
      <c r="A13594" s="1" t="str">
        <f>"57014034800"</f>
        <v>57014034800</v>
      </c>
      <c r="B13594" s="1" t="str">
        <f>"WILSON STUART M"</f>
        <v>WILSON STUART M</v>
      </c>
      <c r="C13594" s="1" t="str">
        <f>"1078 HOLLY HILL DR HOLLY HILL 12 LOT 848"</f>
        <v>1078 HOLLY HILL DR HOLLY HILL 12 LOT 848</v>
      </c>
      <c r="D13594" s="1">
        <v>1123.5</v>
      </c>
    </row>
    <row r="13595" spans="1:4" x14ac:dyDescent="0.3">
      <c r="A13595" s="1" t="str">
        <f>"01005770300"</f>
        <v>01005770300</v>
      </c>
      <c r="B13595" s="1" t="str">
        <f>"WILSON TERESA"</f>
        <v>WILSON TERESA</v>
      </c>
      <c r="C13595" s="1" t="str">
        <f>"416 HIGHLAND AVE H R DAVIDSON LOT 27"</f>
        <v>416 HIGHLAND AVE H R DAVIDSON LOT 27</v>
      </c>
      <c r="D13595" s="1">
        <v>2235.3200000000002</v>
      </c>
    </row>
    <row r="13596" spans="1:4" x14ac:dyDescent="0.3">
      <c r="A13596" s="1" t="str">
        <f>"01005770400"</f>
        <v>01005770400</v>
      </c>
      <c r="B13596" s="1" t="str">
        <f>"WILSON TERESA"</f>
        <v>WILSON TERESA</v>
      </c>
      <c r="C13596" s="1" t="str">
        <f>"HIGHLAND AVE H R DAVIDSON LOT 28"</f>
        <v>HIGHLAND AVE H R DAVIDSON LOT 28</v>
      </c>
      <c r="D13596" s="1">
        <v>289.91000000000003</v>
      </c>
    </row>
    <row r="13597" spans="1:4" x14ac:dyDescent="0.3">
      <c r="A13597" s="1" t="str">
        <f>"01022322900"</f>
        <v>01022322900</v>
      </c>
      <c r="B13597" s="1" t="str">
        <f>"WILSON VICTOR A"</f>
        <v>WILSON VICTOR A</v>
      </c>
      <c r="C13597" s="1" t="str">
        <f>"0000                      SCHLEE MALT HOUSE         CONDO UNIT 102           "</f>
        <v xml:space="preserve">0000                      SCHLEE MALT HOUSE         CONDO UNIT 102           </v>
      </c>
      <c r="D13597" s="1">
        <v>2352.33</v>
      </c>
    </row>
    <row r="13598" spans="1:4" x14ac:dyDescent="0.3">
      <c r="A13598" s="1" t="str">
        <f>"01003348200"</f>
        <v>01003348200</v>
      </c>
      <c r="B13598" s="1" t="str">
        <f>"WILT CHRISTOPHER I, WILT RUTH H"</f>
        <v>WILT CHRISTOPHER I, WILT RUTH H</v>
      </c>
      <c r="C13598" s="1" t="str">
        <f>"N TERRACE AVE SEE DUP FOR DESC J S SULLIVANT L 17-8"</f>
        <v>N TERRACE AVE SEE DUP FOR DESC J S SULLIVANT L 17-8</v>
      </c>
      <c r="D13598" s="1">
        <v>984.85</v>
      </c>
    </row>
    <row r="13599" spans="1:4" x14ac:dyDescent="0.3">
      <c r="A13599" s="1" t="str">
        <f>"04000953100"</f>
        <v>04000953100</v>
      </c>
      <c r="B13599" s="1" t="str">
        <f>"WIMER JEROME, WIMER CARRIE"</f>
        <v>WIMER JEROME, WIMER CARRIE</v>
      </c>
      <c r="C13599" s="1" t="str">
        <f>"LAKE LOUISE COURT CONCORD LAKES SECTION 2 LOT 65"</f>
        <v>LAKE LOUISE COURT CONCORD LAKES SECTION 2 LOT 65</v>
      </c>
      <c r="D13599" s="1">
        <v>3147.22</v>
      </c>
    </row>
    <row r="13600" spans="1:4" x14ac:dyDescent="0.3">
      <c r="A13600" s="1" t="str">
        <f>"04000387200"</f>
        <v>04000387200</v>
      </c>
      <c r="B13600" s="1" t="str">
        <f>"WIMER RALPH R TTEE, WIMER LUCILLE A TTEE"</f>
        <v>WIMER RALPH R TTEE, WIMER LUCILLE A TTEE</v>
      </c>
      <c r="C13600" s="1" t="str">
        <f>"2568 BRUNSWICK DRIVE BROOK PK LOT 46"</f>
        <v>2568 BRUNSWICK DRIVE BROOK PK LOT 46</v>
      </c>
      <c r="D13600" s="1">
        <v>159.46</v>
      </c>
    </row>
    <row r="13601" spans="1:4" x14ac:dyDescent="0.3">
      <c r="A13601" s="1" t="str">
        <f>"60016387400"</f>
        <v>60016387400</v>
      </c>
      <c r="B13601" s="1" t="str">
        <f>"WIN NYAN, CHO MYINT MYINT"</f>
        <v>WIN NYAN, CHO MYINT MYINT</v>
      </c>
      <c r="C13601" s="1" t="str">
        <f>"PEPPERTREE CONDO SEC 1 BLDG 6 UNIT 3"</f>
        <v>PEPPERTREE CONDO SEC 1 BLDG 6 UNIT 3</v>
      </c>
      <c r="D13601" s="1">
        <v>1496.68</v>
      </c>
    </row>
    <row r="13602" spans="1:4" x14ac:dyDescent="0.3">
      <c r="A13602" s="1" t="str">
        <f>"01002949300"</f>
        <v>01002949300</v>
      </c>
      <c r="B13602" s="1" t="str">
        <f>"WINCHESTER R CHRIS"</f>
        <v>WINCHESTER R CHRIS</v>
      </c>
      <c r="C13602" s="1" t="str">
        <f>"41 MARTIN AVE SINCLAIR LOT 78"</f>
        <v>41 MARTIN AVE SINCLAIR LOT 78</v>
      </c>
      <c r="D13602" s="1">
        <v>4030.99</v>
      </c>
    </row>
    <row r="13603" spans="1:4" x14ac:dyDescent="0.3">
      <c r="A13603" s="1" t="str">
        <f>"07000185600"</f>
        <v>07000185600</v>
      </c>
      <c r="B13603" s="1" t="str">
        <f>"WINDISCH MICHAEL P"</f>
        <v>WINDISCH MICHAEL P</v>
      </c>
      <c r="C13603" s="1" t="str">
        <f>"BRANDON RD UNIVERSITY LOT 13 BLK 17"</f>
        <v>BRANDON RD UNIVERSITY LOT 13 BLK 17</v>
      </c>
      <c r="D13603" s="1">
        <v>7312.54</v>
      </c>
    </row>
    <row r="13604" spans="1:4" x14ac:dyDescent="0.3">
      <c r="A13604" s="1" t="str">
        <f>"23000172500"</f>
        <v>23000172500</v>
      </c>
      <c r="B13604" s="1" t="str">
        <f>"WINDLE TERI L"</f>
        <v>WINDLE TERI L</v>
      </c>
      <c r="C13604" s="1" t="str">
        <f>"OAKHURST DR OAKHURST KNOLLS 2 LOT 55"</f>
        <v>OAKHURST DR OAKHURST KNOLLS 2 LOT 55</v>
      </c>
      <c r="D13604" s="1">
        <v>3013.37</v>
      </c>
    </row>
    <row r="13605" spans="1:4" x14ac:dyDescent="0.3">
      <c r="A13605" s="1" t="str">
        <f>"61020257500"</f>
        <v>61020257500</v>
      </c>
      <c r="B13605" s="1" t="str">
        <f>"WINDSONG I HOME OWNERS ASSOCIATION"</f>
        <v>WINDSONG I HOME OWNERS ASSOCIATION</v>
      </c>
      <c r="C13605" s="1" t="str">
        <f>"WINDSONG WAY .018 ACRES "</f>
        <v xml:space="preserve">WINDSONG WAY .018 ACRES </v>
      </c>
      <c r="D13605" s="1">
        <v>83.46</v>
      </c>
    </row>
    <row r="13606" spans="1:4" x14ac:dyDescent="0.3">
      <c r="A13606" s="1" t="str">
        <f>"01013298300"</f>
        <v>01013298300</v>
      </c>
      <c r="B13606" s="1" t="str">
        <f>"WINEGARDNER MICHAEL D"</f>
        <v>WINEGARDNER MICHAEL D</v>
      </c>
      <c r="C13606" s="1" t="str">
        <f>"KEELSON DR WALNUT BLUFF 1 LOT 128"</f>
        <v>KEELSON DR WALNUT BLUFF 1 LOT 128</v>
      </c>
      <c r="D13606" s="1">
        <v>3685.54</v>
      </c>
    </row>
    <row r="13607" spans="1:4" x14ac:dyDescent="0.3">
      <c r="A13607" s="1" t="str">
        <f>"01012355400"</f>
        <v>01012355400</v>
      </c>
      <c r="B13607" s="1" t="str">
        <f>"WINFIELD NANCY R"</f>
        <v>WINFIELD NANCY R</v>
      </c>
      <c r="C13607" s="1" t="str">
        <f>"ROSE VIEW DR SOUTH BERWICK 2 LOT 181"</f>
        <v>ROSE VIEW DR SOUTH BERWICK 2 LOT 181</v>
      </c>
      <c r="D13607" s="1">
        <v>2444.83</v>
      </c>
    </row>
    <row r="13608" spans="1:4" x14ac:dyDescent="0.3">
      <c r="A13608" s="1" t="str">
        <f>"13000687000"</f>
        <v>13000687000</v>
      </c>
      <c r="B13608" s="1" t="str">
        <f>"WING JOSEPH M, WING KAREN S"</f>
        <v>WING JOSEPH M, WING KAREN S</v>
      </c>
      <c r="C13608" s="1" t="str">
        <f>"3863 WALFORD AVE ELMORE LOT 555 "</f>
        <v xml:space="preserve">3863 WALFORD AVE ELMORE LOT 555 </v>
      </c>
      <c r="D13608" s="1">
        <v>162.58000000000001</v>
      </c>
    </row>
    <row r="13609" spans="1:4" x14ac:dyDescent="0.3">
      <c r="A13609" s="1" t="str">
        <f>"53026466600"</f>
        <v>53026466600</v>
      </c>
      <c r="B13609" s="1" t="str">
        <f>"WINGARD MAVIS R"</f>
        <v>WINGARD MAVIS R</v>
      </c>
      <c r="C13609" s="1" t="str">
        <f>"LIRIOPE STREET VILLAGE AT ABBIE TRAILS SECTION 1 LOT 37"</f>
        <v>LIRIOPE STREET VILLAGE AT ABBIE TRAILS SECTION 1 LOT 37</v>
      </c>
      <c r="D13609" s="1">
        <v>81.27</v>
      </c>
    </row>
    <row r="13610" spans="1:4" x14ac:dyDescent="0.3">
      <c r="A13610" s="1" t="str">
        <f>"01000336800"</f>
        <v>01000336800</v>
      </c>
      <c r="B13610" s="1" t="str">
        <f>"WINGO CRYSTAL, CLARK PAMELA L, CLARK WILLIAM T"</f>
        <v>WINGO CRYSTAL, CLARK PAMELA L, CLARK WILLIAM T</v>
      </c>
      <c r="C13610" s="1" t="str">
        <f>"796 E 3RD AVE BIDLEMAN LOT 201"</f>
        <v>796 E 3RD AVE BIDLEMAN LOT 201</v>
      </c>
      <c r="D13610" s="1">
        <v>108.62</v>
      </c>
    </row>
    <row r="13611" spans="1:4" x14ac:dyDescent="0.3">
      <c r="A13611" s="1" t="str">
        <f>"01001001100"</f>
        <v>01001001100</v>
      </c>
      <c r="B13611" s="1" t="str">
        <f>"WINGO CRYSTAL, CLARK WILLIAM T, CLARK PAMELA L"</f>
        <v>WINGO CRYSTAL, CLARK WILLIAM T, CLARK PAMELA L</v>
      </c>
      <c r="C13611" s="1" t="str">
        <f>"464 N OHIO AVE WETMORE LOT 92"</f>
        <v>464 N OHIO AVE WETMORE LOT 92</v>
      </c>
      <c r="D13611" s="1">
        <v>73.91</v>
      </c>
    </row>
    <row r="13612" spans="1:4" x14ac:dyDescent="0.3">
      <c r="A13612" s="1" t="str">
        <f>"03000310200"</f>
        <v>03000310200</v>
      </c>
      <c r="B13612" s="1" t="str">
        <f>"WINKLE DEIRDRE J TR, WINKLE MICHAEL P TR"</f>
        <v>WINKLE DEIRDRE J TR, WINKLE MICHAEL P TR</v>
      </c>
      <c r="C13612" s="1" t="str">
        <f>"GRANDVIEW FLATS CONDOMINIUM UNIT 3"</f>
        <v>GRANDVIEW FLATS CONDOMINIUM UNIT 3</v>
      </c>
      <c r="D13612" s="1">
        <v>220</v>
      </c>
    </row>
    <row r="13613" spans="1:4" x14ac:dyDescent="0.3">
      <c r="A13613" s="1" t="str">
        <f>"10000215900"</f>
        <v>10000215900</v>
      </c>
      <c r="B13613" s="1" t="str">
        <f>"WINKLER PEGGY"</f>
        <v>WINKLER PEGGY</v>
      </c>
      <c r="C13613" s="1" t="str">
        <f>"201 E NORTH ST .333 ACRES PT LOT 19 TULLER &amp; RILEY"</f>
        <v>201 E NORTH ST .333 ACRES PT LOT 19 TULLER &amp; RILEY</v>
      </c>
      <c r="D13613" s="1">
        <v>3000.82</v>
      </c>
    </row>
    <row r="13614" spans="1:4" x14ac:dyDescent="0.3">
      <c r="A13614" s="1" t="str">
        <f>"10000163500"</f>
        <v>10000163500</v>
      </c>
      <c r="B13614" s="1" t="str">
        <f>"WINKLER PEGGY"</f>
        <v>WINKLER PEGGY</v>
      </c>
      <c r="C13614" s="1" t="str">
        <f>"474 KENBROOK DRIVE COLONIAL HILLS DALES LOT 7 BLK K"</f>
        <v>474 KENBROOK DRIVE COLONIAL HILLS DALES LOT 7 BLK K</v>
      </c>
      <c r="D13614" s="1">
        <v>3002.74</v>
      </c>
    </row>
    <row r="13615" spans="1:4" x14ac:dyDescent="0.3">
      <c r="A13615" s="1" t="str">
        <f>"57022554800"</f>
        <v>57022554800</v>
      </c>
      <c r="B13615" s="1" t="str">
        <f>"WINLING KAREN S, WINLING JOSEPH, WINLING CRYSTAL"</f>
        <v>WINLING KAREN S, WINLING JOSEPH, WINLING CRYSTAL</v>
      </c>
      <c r="C13615" s="1" t="str">
        <f>"BENTONHURST COURT CHADWICK FARMS LOT 35"</f>
        <v>BENTONHURST COURT CHADWICK FARMS LOT 35</v>
      </c>
      <c r="D13615" s="1">
        <v>2686.19</v>
      </c>
    </row>
    <row r="13616" spans="1:4" x14ac:dyDescent="0.3">
      <c r="A13616" s="1" t="str">
        <f>"08000697600"</f>
        <v>08000697600</v>
      </c>
      <c r="B13616" s="1" t="str">
        <f>"WINN JOHN W"</f>
        <v>WINN JOHN W</v>
      </c>
      <c r="C13616" s="1" t="str">
        <f>"138 SPRING CREEK DR SPRING CREEK LOT 37"</f>
        <v>138 SPRING CREEK DR SPRING CREEK LOT 37</v>
      </c>
      <c r="D13616" s="1">
        <v>333.11</v>
      </c>
    </row>
    <row r="13617" spans="1:4" x14ac:dyDescent="0.3">
      <c r="A13617" s="1" t="str">
        <f>"60021049100"</f>
        <v>60021049100</v>
      </c>
      <c r="B13617" s="1" t="str">
        <f>"WINROW JUSTIN"</f>
        <v>WINROW JUSTIN</v>
      </c>
      <c r="C13617" s="1" t="str">
        <f>"COACHFORD DRIVE WESTERFORD VILLAGE LOT 79"</f>
        <v>COACHFORD DRIVE WESTERFORD VILLAGE LOT 79</v>
      </c>
      <c r="D13617" s="1">
        <v>2334.38</v>
      </c>
    </row>
    <row r="13618" spans="1:4" x14ac:dyDescent="0.3">
      <c r="A13618" s="1" t="str">
        <f>"02500760500"</f>
        <v>02500760500</v>
      </c>
      <c r="B13618" s="1" t="str">
        <f>"WINTER DIANA KAY"</f>
        <v>WINTER DIANA KAY</v>
      </c>
      <c r="C13618" s="1" t="str">
        <f>"146 GARSTON COURT CHERRY BOTTOM GLADE LOT 11"</f>
        <v>146 GARSTON COURT CHERRY BOTTOM GLADE LOT 11</v>
      </c>
      <c r="D13618" s="1">
        <v>9029.24</v>
      </c>
    </row>
    <row r="13619" spans="1:4" x14ac:dyDescent="0.3">
      <c r="A13619" s="1" t="str">
        <f>"01028460700"</f>
        <v>01028460700</v>
      </c>
      <c r="B13619" s="1" t="str">
        <f>"WINTER DIANE J TTEE"</f>
        <v>WINTER DIANE J TTEE</v>
      </c>
      <c r="C13619" s="1" t="str">
        <f>"THE CONDOMINIUMS AT       NORTH BANK PARK           UNIT PS-162              "</f>
        <v xml:space="preserve">THE CONDOMINIUMS AT       NORTH BANK PARK           UNIT PS-162              </v>
      </c>
      <c r="D13619" s="1">
        <v>14.39</v>
      </c>
    </row>
    <row r="13620" spans="1:4" x14ac:dyDescent="0.3">
      <c r="A13620" s="1" t="str">
        <f>"01028460800"</f>
        <v>01028460800</v>
      </c>
      <c r="B13620" s="1" t="str">
        <f>"WINTER DIANE J TTEE"</f>
        <v>WINTER DIANE J TTEE</v>
      </c>
      <c r="C13620" s="1" t="str">
        <f>"THE CONDOMINIUMS AT       NORTH BANK PARK           UNIT PS-163              "</f>
        <v xml:space="preserve">THE CONDOMINIUMS AT       NORTH BANK PARK           UNIT PS-163              </v>
      </c>
      <c r="D13620" s="1">
        <v>14.39</v>
      </c>
    </row>
    <row r="13621" spans="1:4" x14ac:dyDescent="0.3">
      <c r="A13621" s="1" t="str">
        <f>"01028439900"</f>
        <v>01028439900</v>
      </c>
      <c r="B13621" s="1" t="str">
        <f>"WINTER DIANE J TTEE"</f>
        <v>WINTER DIANE J TTEE</v>
      </c>
      <c r="C13621" s="1" t="str">
        <f>"THE CONDOMINIUMS AT       NORTH BANK PARK           UNIT 300-402             "</f>
        <v xml:space="preserve">THE CONDOMINIUMS AT       NORTH BANK PARK           UNIT 300-402             </v>
      </c>
      <c r="D13621" s="1">
        <v>324.02999999999997</v>
      </c>
    </row>
    <row r="13622" spans="1:4" x14ac:dyDescent="0.3">
      <c r="A13622" s="1" t="str">
        <f>"18500279900"</f>
        <v>18500279900</v>
      </c>
      <c r="B13622" s="1" t="str">
        <f>"WINTERS JAMES A, WINTERS TERESA R"</f>
        <v>WINTERS JAMES A, WINTERS TERESA R</v>
      </c>
      <c r="C13622" s="1" t="str">
        <f>"5602 SHELLBARK STREET HICKORY GROVE SECTION 2 LOT 67"</f>
        <v>5602 SHELLBARK STREET HICKORY GROVE SECTION 2 LOT 67</v>
      </c>
      <c r="D13622" s="1">
        <v>6680.65</v>
      </c>
    </row>
    <row r="13623" spans="1:4" x14ac:dyDescent="0.3">
      <c r="A13623" s="1" t="str">
        <f>"24000600000"</f>
        <v>24000600000</v>
      </c>
      <c r="B13623" s="1" t="str">
        <f>"WINTERS LOUISE J"</f>
        <v>WINTERS LOUISE J</v>
      </c>
      <c r="C13623" s="1" t="str">
        <f>"GLENFORD VILL CONDNM UNIT 19-B "</f>
        <v xml:space="preserve">GLENFORD VILL CONDNM UNIT 19-B </v>
      </c>
      <c r="D13623" s="1">
        <v>1610.48</v>
      </c>
    </row>
    <row r="13624" spans="1:4" x14ac:dyDescent="0.3">
      <c r="A13624" s="1" t="str">
        <f>"59020807200"</f>
        <v>59020807200</v>
      </c>
      <c r="B13624" s="1" t="str">
        <f>"WINTERS STEVEN R, WINTERS ANN L"</f>
        <v>WINTERS STEVEN R, WINTERS ANN L</v>
      </c>
      <c r="C13624" s="1" t="str">
        <f>"SPRUCE PINE DRIVE WHISPERING PINES LOT 34"</f>
        <v>SPRUCE PINE DRIVE WHISPERING PINES LOT 34</v>
      </c>
      <c r="D13624" s="1">
        <v>3056</v>
      </c>
    </row>
    <row r="13625" spans="1:4" x14ac:dyDescent="0.3">
      <c r="A13625" s="1" t="str">
        <f>"06000556800"</f>
        <v>06000556800</v>
      </c>
      <c r="B13625" s="1" t="str">
        <f>"WINTERSTEIN PAUL H, WINTERSTEIN ASIA"</f>
        <v>WINTERSTEIN PAUL H, WINTERSTEIN ASIA</v>
      </c>
      <c r="C13625" s="1" t="str">
        <f>"HELM COURT REYNOLDSBURG KNOLLS LOT 2"</f>
        <v>HELM COURT REYNOLDSBURG KNOLLS LOT 2</v>
      </c>
      <c r="D13625" s="1">
        <v>2631.9</v>
      </c>
    </row>
    <row r="13626" spans="1:4" x14ac:dyDescent="0.3">
      <c r="A13626" s="1" t="str">
        <f>"16000218900"</f>
        <v>16000218900</v>
      </c>
      <c r="B13626" s="1" t="str">
        <f>"WIRTH JAMES L"</f>
        <v>WIRTH JAMES L</v>
      </c>
      <c r="C13626" s="1" t="str">
        <f>"LONDON GROVEPORT RD SOUTHWEST ACRES 1 E 1/2 LOT 16"</f>
        <v>LONDON GROVEPORT RD SOUTHWEST ACRES 1 E 1/2 LOT 16</v>
      </c>
      <c r="D13626" s="1">
        <v>156.76</v>
      </c>
    </row>
    <row r="13627" spans="1:4" x14ac:dyDescent="0.3">
      <c r="A13627" s="1" t="str">
        <f>"01012116200"</f>
        <v>01012116200</v>
      </c>
      <c r="B13627" s="1" t="str">
        <f>"WISE ADA L"</f>
        <v>WISE ADA L</v>
      </c>
      <c r="C13627" s="1" t="str">
        <f>"JERMAIN DR MARIEMONT VILLAGE LOT 39"</f>
        <v>JERMAIN DR MARIEMONT VILLAGE LOT 39</v>
      </c>
      <c r="D13627" s="1">
        <v>925.51</v>
      </c>
    </row>
    <row r="13628" spans="1:4" x14ac:dyDescent="0.3">
      <c r="A13628" s="1" t="str">
        <f>"01010036800"</f>
        <v>01010036800</v>
      </c>
      <c r="B13628" s="1" t="str">
        <f>"WISE CRAIG E TTEE"</f>
        <v>WISE CRAIG E TTEE</v>
      </c>
      <c r="C13628" s="1" t="str">
        <f>"THURSTON DR SHADY LANE PARK LOT 316"</f>
        <v>THURSTON DR SHADY LANE PARK LOT 316</v>
      </c>
      <c r="D13628" s="1">
        <v>119.8</v>
      </c>
    </row>
    <row r="13629" spans="1:4" x14ac:dyDescent="0.3">
      <c r="A13629" s="1" t="str">
        <f>"01005836200"</f>
        <v>01005836200</v>
      </c>
      <c r="B13629" s="1" t="str">
        <f>"WISE MARY ANN"</f>
        <v>WISE MARY ANN</v>
      </c>
      <c r="C13629" s="1" t="str">
        <f>"168 S OGDEN AVE WICKLOW LOT 51"</f>
        <v>168 S OGDEN AVE WICKLOW LOT 51</v>
      </c>
      <c r="D13629" s="1">
        <v>428.09</v>
      </c>
    </row>
    <row r="13630" spans="1:4" x14ac:dyDescent="0.3">
      <c r="A13630" s="1" t="str">
        <f>"01028013700"</f>
        <v>01028013700</v>
      </c>
      <c r="B13630" s="1" t="str">
        <f>"WISE TERRI L"</f>
        <v>WISE TERRI L</v>
      </c>
      <c r="C13630" s="1" t="str">
        <f>"GLENABBY CONDOMINIUM BLDG 1 UNIT 1-6245"</f>
        <v>GLENABBY CONDOMINIUM BLDG 1 UNIT 1-6245</v>
      </c>
      <c r="D13630" s="1">
        <v>1000.09</v>
      </c>
    </row>
    <row r="13631" spans="1:4" x14ac:dyDescent="0.3">
      <c r="A13631" s="1" t="str">
        <f>"10000301500"</f>
        <v>10000301500</v>
      </c>
      <c r="B13631" s="1" t="str">
        <f>"WISE TIRZAH"</f>
        <v>WISE TIRZAH</v>
      </c>
      <c r="C13631" s="1" t="str">
        <f>"1035 S BEECHVIEW DR .575 ACRES BEECHVIEW DRIVE"</f>
        <v>1035 S BEECHVIEW DR .575 ACRES BEECHVIEW DRIVE</v>
      </c>
      <c r="D13631" s="1">
        <v>4852.09</v>
      </c>
    </row>
    <row r="13632" spans="1:4" x14ac:dyDescent="0.3">
      <c r="A13632" s="1" t="str">
        <f>"20000187400"</f>
        <v>20000187400</v>
      </c>
      <c r="B13632" s="1" t="str">
        <f>"WISEMAN PATTY J"</f>
        <v>WISEMAN PATTY J</v>
      </c>
      <c r="C13632" s="1" t="str">
        <f>"HICKORY HILL DR TIMBERBROOK EXT 2 LOT 8"</f>
        <v>HICKORY HILL DR TIMBERBROOK EXT 2 LOT 8</v>
      </c>
      <c r="D13632" s="1">
        <v>6945.57</v>
      </c>
    </row>
    <row r="13633" spans="1:4" x14ac:dyDescent="0.3">
      <c r="A13633" s="1" t="str">
        <f>"04000662100"</f>
        <v>04000662100</v>
      </c>
      <c r="B13633" s="1" t="str">
        <f>"WITHERS DAVID E"</f>
        <v>WITHERS DAVID E</v>
      </c>
      <c r="C13633" s="1" t="str">
        <f>"3464 VENTURA BLVD CASTLE FARMS 27 "</f>
        <v xml:space="preserve">3464 VENTURA BLVD CASTLE FARMS 27 </v>
      </c>
      <c r="D13633" s="1">
        <v>2689.76</v>
      </c>
    </row>
    <row r="13634" spans="1:4" x14ac:dyDescent="0.3">
      <c r="A13634" s="1" t="str">
        <f>"08000080300"</f>
        <v>08000080300</v>
      </c>
      <c r="B13634" s="1" t="str">
        <f>"WITHERS ROBERT DANIEL"</f>
        <v>WITHERS ROBERT DANIEL</v>
      </c>
      <c r="C13634" s="1" t="str">
        <f>"LOGAN AVE WESTERVILLE HTS OLD 67"</f>
        <v>LOGAN AVE WESTERVILLE HTS OLD 67</v>
      </c>
      <c r="D13634" s="1">
        <v>5256.57</v>
      </c>
    </row>
    <row r="13635" spans="1:4" x14ac:dyDescent="0.3">
      <c r="A13635" s="1" t="str">
        <f>"57022557100"</f>
        <v>57022557100</v>
      </c>
      <c r="B13635" s="1" t="str">
        <f>"WITHROW RICHARD A, RAYMOND-WITHROW CATHY L"</f>
        <v>WITHROW RICHARD A, RAYMOND-WITHROW CATHY L</v>
      </c>
      <c r="C13635" s="1" t="str">
        <f>"CHARING CROSS STREET CHADWICK FARMS LOT 58"</f>
        <v>CHARING CROSS STREET CHADWICK FARMS LOT 58</v>
      </c>
      <c r="D13635" s="1">
        <v>2158.15</v>
      </c>
    </row>
    <row r="13636" spans="1:4" x14ac:dyDescent="0.3">
      <c r="A13636" s="1" t="str">
        <f>"17000459300"</f>
        <v>17000459300</v>
      </c>
      <c r="B13636" s="1" t="str">
        <f>"WITTHOFT VELANI, WITTHOFT GUSTAV"</f>
        <v>WITTHOFT VELANI, WITTHOFT GUSTAV</v>
      </c>
      <c r="C13636" s="1" t="str">
        <f>"FARMS AT JEFFERSON PHASE 6 LOT 235"</f>
        <v>FARMS AT JEFFERSON PHASE 6 LOT 235</v>
      </c>
      <c r="D13636" s="1">
        <v>303.27</v>
      </c>
    </row>
    <row r="13637" spans="1:4" x14ac:dyDescent="0.3">
      <c r="A13637" s="1" t="str">
        <f>"07000585100"</f>
        <v>07000585100</v>
      </c>
      <c r="B13637" s="1" t="str">
        <f>"WITZEL BART A, WITZEL HOLLYN H"</f>
        <v>WITZEL BART A, WITZEL HOLLYN H</v>
      </c>
      <c r="C13637" s="1" t="str">
        <f>"COLCHESTER RD NO MOUNTVIEW EXT 1 LOT 15 BLK 282"</f>
        <v>COLCHESTER RD NO MOUNTVIEW EXT 1 LOT 15 BLK 282</v>
      </c>
      <c r="D13637" s="1">
        <v>2155.91</v>
      </c>
    </row>
    <row r="13638" spans="1:4" x14ac:dyDescent="0.3">
      <c r="A13638" s="1" t="str">
        <f>"16100029100"</f>
        <v>16100029100</v>
      </c>
      <c r="B13638" s="1" t="str">
        <f>"WJ3ENTERPRISES LTD"</f>
        <v>WJ3ENTERPRISES LTD</v>
      </c>
      <c r="C13638" s="1" t="str">
        <f>"3RD AVE URBANCREST 16 BLK 13"</f>
        <v>3RD AVE URBANCREST 16 BLK 13</v>
      </c>
      <c r="D13638" s="1">
        <v>62.35</v>
      </c>
    </row>
    <row r="13639" spans="1:4" x14ac:dyDescent="0.3">
      <c r="A13639" s="1" t="str">
        <f>"16100004900"</f>
        <v>16100004900</v>
      </c>
      <c r="B13639" s="1" t="str">
        <f>"WJ3ENTERPRISES LTD"</f>
        <v>WJ3ENTERPRISES LTD</v>
      </c>
      <c r="C13639" s="1" t="str">
        <f>"3RD AVE URBANCREST 17 BLK 13"</f>
        <v>3RD AVE URBANCREST 17 BLK 13</v>
      </c>
      <c r="D13639" s="1">
        <v>62.35</v>
      </c>
    </row>
    <row r="13640" spans="1:4" x14ac:dyDescent="0.3">
      <c r="A13640" s="1" t="str">
        <f>"01001697500"</f>
        <v>01001697500</v>
      </c>
      <c r="B13640" s="1" t="str">
        <f>"WJ3ENTERPRISES LTD"</f>
        <v>WJ3ENTERPRISES LTD</v>
      </c>
      <c r="C13640" s="1" t="str">
        <f>"105 N WAYNE AVE &amp; ALLEY VACATED 37 X 143.60 FT"</f>
        <v>105 N WAYNE AVE &amp; ALLEY VACATED 37 X 143.60 FT</v>
      </c>
      <c r="D13640" s="1">
        <v>280.87</v>
      </c>
    </row>
    <row r="13641" spans="1:4" x14ac:dyDescent="0.3">
      <c r="A13641" s="1" t="str">
        <f>"01012481500"</f>
        <v>01012481500</v>
      </c>
      <c r="B13641" s="1" t="str">
        <f>"WNEK KEVIN S"</f>
        <v>WNEK KEVIN S</v>
      </c>
      <c r="C13641" s="1" t="str">
        <f>"BRONWYN AVE BROOKSHIRE PARK 3 LOT 125"</f>
        <v>BRONWYN AVE BROOKSHIRE PARK 3 LOT 125</v>
      </c>
      <c r="D13641" s="1">
        <v>1496.01</v>
      </c>
    </row>
    <row r="13642" spans="1:4" x14ac:dyDescent="0.3">
      <c r="A13642" s="1" t="str">
        <f>"61021311600"</f>
        <v>61021311600</v>
      </c>
      <c r="B13642" s="1" t="str">
        <f>"WODA JENNIFER J"</f>
        <v>WODA JENNIFER J</v>
      </c>
      <c r="C13642" s="1" t="str">
        <f>"WORTHINGTON WOODS CONDO 10 3RD AMD BLDG 16 UNIT 81"</f>
        <v>WORTHINGTON WOODS CONDO 10 3RD AMD BLDG 16 UNIT 81</v>
      </c>
      <c r="D13642" s="1">
        <v>50.54</v>
      </c>
    </row>
    <row r="13643" spans="1:4" x14ac:dyDescent="0.3">
      <c r="A13643" s="1" t="str">
        <f>"17000263800"</f>
        <v>17000263800</v>
      </c>
      <c r="B13643" s="1" t="str">
        <f>"WOELLERT THEODORE M, WOELLERT ROBIN K"</f>
        <v>WOELLERT THEODORE M, WOELLERT ROBIN K</v>
      </c>
      <c r="C13643" s="1" t="str">
        <f>"STREAMWATER DRIVE BLACKLICK RIDGE SEC 1 PART 1 LOT 10"</f>
        <v>STREAMWATER DRIVE BLACKLICK RIDGE SEC 1 PART 1 LOT 10</v>
      </c>
      <c r="D13643" s="1">
        <v>302.69</v>
      </c>
    </row>
    <row r="13644" spans="1:4" x14ac:dyDescent="0.3">
      <c r="A13644" s="1" t="str">
        <f>"60021030500"</f>
        <v>60021030500</v>
      </c>
      <c r="B13644" s="1" t="str">
        <f>"WOFFORD SHELBY R"</f>
        <v>WOFFORD SHELBY R</v>
      </c>
      <c r="C13644" s="1" t="str">
        <f>"MAIDSTONE DRIVE SLEAFORD VILLAGE LOT 55"</f>
        <v>MAIDSTONE DRIVE SLEAFORD VILLAGE LOT 55</v>
      </c>
      <c r="D13644" s="1">
        <v>346.09</v>
      </c>
    </row>
    <row r="13645" spans="1:4" x14ac:dyDescent="0.3">
      <c r="A13645" s="1" t="str">
        <f>"57023130000"</f>
        <v>57023130000</v>
      </c>
      <c r="B13645" s="1" t="str">
        <f>"WOHLER ALISON"</f>
        <v>WOHLER ALISON</v>
      </c>
      <c r="C13645" s="1" t="str">
        <f>"RAVINES AT PARKWICK DRIVE CONDO 2ND AMD BLDG 6 UNIT 4503"</f>
        <v>RAVINES AT PARKWICK DRIVE CONDO 2ND AMD BLDG 6 UNIT 4503</v>
      </c>
      <c r="D13645" s="1">
        <v>1018.36</v>
      </c>
    </row>
    <row r="13646" spans="1:4" x14ac:dyDescent="0.3">
      <c r="A13646" s="1" t="str">
        <f>"06000775600"</f>
        <v>06000775600</v>
      </c>
      <c r="B13646" s="1" t="str">
        <f>"WOJCIECHOWSKI GRAHAM J, WOJCIECHOWSKI DARLA A"</f>
        <v>WOJCIECHOWSKI GRAHAM J, WOJCIECHOWSKI DARLA A</v>
      </c>
      <c r="C13646" s="1" t="str">
        <f>"LEIGHTON DRIVE LEIGHTON VILLAGE LOT 44"</f>
        <v>LEIGHTON DRIVE LEIGHTON VILLAGE LOT 44</v>
      </c>
      <c r="D13646" s="1">
        <v>5016.46</v>
      </c>
    </row>
    <row r="13647" spans="1:4" x14ac:dyDescent="0.3">
      <c r="A13647" s="1" t="str">
        <f>"05000550500"</f>
        <v>05000550500</v>
      </c>
      <c r="B13647" s="1" t="str">
        <f>"WOJCIECHOWSKI KARI, WOJCIECHOWSKI ZACHERY"</f>
        <v>WOJCIECHOWSKI KARI, WOJCIECHOWSKI ZACHERY</v>
      </c>
      <c r="C13647" s="1" t="str">
        <f>"BROOKFIELD VILLAGE SECTION 4 LOT 318"</f>
        <v>BROOKFIELD VILLAGE SECTION 4 LOT 318</v>
      </c>
      <c r="D13647" s="1">
        <v>5508.34</v>
      </c>
    </row>
    <row r="13648" spans="1:4" x14ac:dyDescent="0.3">
      <c r="A13648" s="1" t="str">
        <f>"27300308100"</f>
        <v>27300308100</v>
      </c>
      <c r="B13648" s="1" t="str">
        <f>"WOLAK NICHOLAS, OLEJOWNIK JENNIFER"</f>
        <v>WOLAK NICHOLAS, OLEJOWNIK JENNIFER</v>
      </c>
      <c r="C13648" s="1" t="str">
        <f>"5693 WINDWOOD DR THE WOODS OF DUBLIN SEC 1 LOT 12"</f>
        <v>5693 WINDWOOD DR THE WOODS OF DUBLIN SEC 1 LOT 12</v>
      </c>
      <c r="D13648" s="1">
        <v>6808.6</v>
      </c>
    </row>
    <row r="13649" spans="1:4" x14ac:dyDescent="0.3">
      <c r="A13649" s="1" t="str">
        <f>"18500024900"</f>
        <v>18500024900</v>
      </c>
      <c r="B13649" s="1" t="str">
        <f>"WOLCOTT KAMALA D"</f>
        <v>WOLCOTT KAMALA D</v>
      </c>
      <c r="C13649" s="1" t="str">
        <f>"639 MAIN ST VILLAGE OF GROVEPORT 72.14'WS OUTLT 18 &amp; PT AL"</f>
        <v>639 MAIN ST VILLAGE OF GROVEPORT 72.14'WS OUTLT 18 &amp; PT AL</v>
      </c>
      <c r="D13649" s="1">
        <v>2624.9</v>
      </c>
    </row>
    <row r="13650" spans="1:4" x14ac:dyDescent="0.3">
      <c r="A13650" s="1" t="str">
        <f>"09000781100"</f>
        <v>09000781100</v>
      </c>
      <c r="B13650" s="1" t="str">
        <f>"WOLDETSADIK TEREFECH D, EBUY BERHANU H"</f>
        <v>WOLDETSADIK TEREFECH D, EBUY BERHANU H</v>
      </c>
      <c r="C13650" s="1" t="str">
        <f>"440 ROSS RD WHITEHAL PK RESUB OF L269&amp;271 TO 298 INC LT 21"</f>
        <v>440 ROSS RD WHITEHAL PK RESUB OF L269&amp;271 TO 298 INC LT 21</v>
      </c>
      <c r="D13650" s="1">
        <v>59.02</v>
      </c>
    </row>
    <row r="13651" spans="1:4" x14ac:dyDescent="0.3">
      <c r="A13651" s="1" t="str">
        <f>"60017524600"</f>
        <v>60017524600</v>
      </c>
      <c r="B13651" s="1" t="str">
        <f>"WOLF MARK ALLAN, WOOSLEY-WOLF WANDA"</f>
        <v>WOLF MARK ALLAN, WOOSLEY-WOLF WANDA</v>
      </c>
      <c r="C13651" s="1" t="str">
        <f>"COOPER RD COOPER PLAINS LOT 6"</f>
        <v>COOPER RD COOPER PLAINS LOT 6</v>
      </c>
      <c r="D13651" s="1">
        <v>2367.16</v>
      </c>
    </row>
    <row r="13652" spans="1:4" x14ac:dyDescent="0.3">
      <c r="A13652" s="1" t="str">
        <f>"01016614400"</f>
        <v>01016614400</v>
      </c>
      <c r="B13652" s="1" t="str">
        <f>"WOLFE ISABEL CRISTINA"</f>
        <v>WOLFE ISABEL CRISTINA</v>
      </c>
      <c r="C13652" s="1" t="str">
        <f>"5111 DELANCEY ST RITTENHOUSE SQ CON 4 BLDG 3 UNIT 11"</f>
        <v>5111 DELANCEY ST RITTENHOUSE SQ CON 4 BLDG 3 UNIT 11</v>
      </c>
      <c r="D13652" s="1">
        <v>1593.87</v>
      </c>
    </row>
    <row r="13653" spans="1:4" x14ac:dyDescent="0.3">
      <c r="A13653" s="1" t="str">
        <f>"08000995000"</f>
        <v>08000995000</v>
      </c>
      <c r="B13653" s="1" t="str">
        <f>"WOLFE MATTHEW T"</f>
        <v>WOLFE MATTHEW T</v>
      </c>
      <c r="C13653" s="1" t="str">
        <f>"FOXTRAIL CONDOMINIUM PHASE 2 UNIT 27-522"</f>
        <v>FOXTRAIL CONDOMINIUM PHASE 2 UNIT 27-522</v>
      </c>
      <c r="D13653" s="1">
        <v>3836.75</v>
      </c>
    </row>
    <row r="13654" spans="1:4" x14ac:dyDescent="0.3">
      <c r="A13654" s="1" t="str">
        <f>"61020312100"</f>
        <v>61020312100</v>
      </c>
      <c r="B13654" s="1" t="str">
        <f>"WOLFE STEVEN A, WOLFE ISABEL C"</f>
        <v>WOLFE STEVEN A, WOLFE ISABEL C</v>
      </c>
      <c r="C13654" s="1" t="str">
        <f>"GREEN SPRINGS DRIVE THE SANCTUARY SEC 1 LOT 20"</f>
        <v>GREEN SPRINGS DRIVE THE SANCTUARY SEC 1 LOT 20</v>
      </c>
      <c r="D13654" s="1">
        <v>5874.92</v>
      </c>
    </row>
    <row r="13655" spans="1:4" x14ac:dyDescent="0.3">
      <c r="A13655" s="1" t="str">
        <f>"01016105400"</f>
        <v>01016105400</v>
      </c>
      <c r="B13655" s="1" t="str">
        <f>"WOLFE WILLIAM III, WOLFE JANET K"</f>
        <v>WOLFE WILLIAM III, WOLFE JANET K</v>
      </c>
      <c r="C13655" s="1" t="str">
        <f>"WOODBROOK CR N WOODBROOK VILLAGE CONDOMINIUM UNIT 88"</f>
        <v>WOODBROOK CR N WOODBROOK VILLAGE CONDOMINIUM UNIT 88</v>
      </c>
      <c r="D13655" s="1">
        <v>610.09</v>
      </c>
    </row>
    <row r="13656" spans="1:4" x14ac:dyDescent="0.3">
      <c r="A13656" s="1" t="str">
        <f>"24000186400"</f>
        <v>24000186400</v>
      </c>
      <c r="B13656" s="1" t="str">
        <f>"WOLFENBERGER FAYE L"</f>
        <v>WOLFENBERGER FAYE L</v>
      </c>
      <c r="C13656" s="1" t="str">
        <f>"WOODLAWN AVE ROME MANOR LOT 71-72"</f>
        <v>WOODLAWN AVE ROME MANOR LOT 71-72</v>
      </c>
      <c r="D13656" s="1">
        <v>362.24</v>
      </c>
    </row>
    <row r="13657" spans="1:4" x14ac:dyDescent="0.3">
      <c r="A13657" s="1" t="str">
        <f>"01002942600"</f>
        <v>01002942600</v>
      </c>
      <c r="B13657" s="1" t="str">
        <f>"WOLFGANG IV PROPERTIES LLC"</f>
        <v>WOLFGANG IV PROPERTIES LLC</v>
      </c>
      <c r="C13657" s="1" t="str">
        <f>"1794 E RICH ST MARTIN &amp; STAGES 62'WS  LOT 30"</f>
        <v>1794 E RICH ST MARTIN &amp; STAGES 62'WS  LOT 30</v>
      </c>
      <c r="D13657" s="1">
        <v>3640.75</v>
      </c>
    </row>
    <row r="13658" spans="1:4" x14ac:dyDescent="0.3">
      <c r="A13658" s="1" t="str">
        <f>"06000054200"</f>
        <v>06000054200</v>
      </c>
      <c r="B13658" s="1" t="str">
        <f>"WOLFORD KENNETH CHARLES"</f>
        <v>WOLFORD KENNETH CHARLES</v>
      </c>
      <c r="C13658" s="1" t="str">
        <f>"DAVID AVE BROOKSIDE PARK LOT 118"</f>
        <v>DAVID AVE BROOKSIDE PARK LOT 118</v>
      </c>
      <c r="D13658" s="1">
        <v>495</v>
      </c>
    </row>
    <row r="13659" spans="1:4" x14ac:dyDescent="0.3">
      <c r="A13659" s="1" t="str">
        <f>"24000173300"</f>
        <v>24000173300</v>
      </c>
      <c r="B13659" s="1" t="str">
        <f>"WOLFORD TIMOTHY W"</f>
        <v>WOLFORD TIMOTHY W</v>
      </c>
      <c r="C13659" s="1" t="str">
        <f>"S MAIN ST 29EX297-12 FTNS&amp;ALL30 GALLOWAY&amp; SMITH LOT 30"</f>
        <v>S MAIN ST 29EX297-12 FTNS&amp;ALL30 GALLOWAY&amp; SMITH LOT 30</v>
      </c>
      <c r="D13659" s="1">
        <v>538.99</v>
      </c>
    </row>
    <row r="13660" spans="1:4" x14ac:dyDescent="0.3">
      <c r="A13660" s="1" t="str">
        <f>"01023317800"</f>
        <v>01023317800</v>
      </c>
      <c r="B13660" s="1" t="str">
        <f>"WOLINETZ BARRY H TR"</f>
        <v>WOLINETZ BARRY H TR</v>
      </c>
      <c r="C13660" s="1" t="str">
        <f>"THE VILLAGE AT WILLOW BROOK CONDO UNIT 957"</f>
        <v>THE VILLAGE AT WILLOW BROOK CONDO UNIT 957</v>
      </c>
      <c r="D13660" s="1">
        <v>5038.2</v>
      </c>
    </row>
    <row r="13661" spans="1:4" x14ac:dyDescent="0.3">
      <c r="A13661" s="1" t="str">
        <f>"04001603600"</f>
        <v>04001603600</v>
      </c>
      <c r="B13661" s="1" t="str">
        <f>"WOLSKE LINDA Y"</f>
        <v>WOLSKE LINDA Y</v>
      </c>
      <c r="C13661" s="1" t="str">
        <f>"MEWS AT PINNACLE CLUB CONDOMINIUM 18TH AMD UNIT 1-4871"</f>
        <v>MEWS AT PINNACLE CLUB CONDOMINIUM 18TH AMD UNIT 1-4871</v>
      </c>
      <c r="D13661" s="1">
        <v>4035.9</v>
      </c>
    </row>
    <row r="13662" spans="1:4" x14ac:dyDescent="0.3">
      <c r="A13662" s="1" t="str">
        <f>"01013330100"</f>
        <v>01013330100</v>
      </c>
      <c r="B13662" s="1" t="str">
        <f>"WOMACK HERBERT C"</f>
        <v>WOMACK HERBERT C</v>
      </c>
      <c r="C13662" s="1" t="str">
        <f>"MAJESTIC CT WALNUT-BIXBY ESTATES LOT 35"</f>
        <v>MAJESTIC CT WALNUT-BIXBY ESTATES LOT 35</v>
      </c>
      <c r="D13662" s="1">
        <v>2588.59</v>
      </c>
    </row>
    <row r="13663" spans="1:4" x14ac:dyDescent="0.3">
      <c r="A13663" s="1" t="str">
        <f>"01010417900"</f>
        <v>01010417900</v>
      </c>
      <c r="B13663" s="1" t="str">
        <f>"WOMACK SHAKIRA"</f>
        <v>WOMACK SHAKIRA</v>
      </c>
      <c r="C13663" s="1" t="str">
        <f>"1485 E DESHLER AVE MERION .323 ACRE W1/2 LOT 5"</f>
        <v>1485 E DESHLER AVE MERION .323 ACRE W1/2 LOT 5</v>
      </c>
      <c r="D13663" s="1">
        <v>543.86</v>
      </c>
    </row>
    <row r="13664" spans="1:4" x14ac:dyDescent="0.3">
      <c r="A13664" s="1" t="str">
        <f>"52017851900"</f>
        <v>52017851900</v>
      </c>
      <c r="B13664" s="1" t="str">
        <f>"WOMET BROAD STREET LLC"</f>
        <v>WOMET BROAD STREET LLC</v>
      </c>
      <c r="C13664" s="1" t="str">
        <f>"MT CARMEL MALL R16 T1 1/4T3 1.805 ACRES"</f>
        <v>MT CARMEL MALL R16 T1 1/4T3 1.805 ACRES</v>
      </c>
      <c r="D13664" s="1">
        <v>56496.32</v>
      </c>
    </row>
    <row r="13665" spans="1:4" x14ac:dyDescent="0.3">
      <c r="A13665" s="1" t="str">
        <f>"01004062200"</f>
        <v>01004062200</v>
      </c>
      <c r="B13665" s="1" t="str">
        <f>"WON JEHOVAH"</f>
        <v>WON JEHOVAH</v>
      </c>
      <c r="C13665" s="1" t="str">
        <f>"955 SUNBURY RD ST MARYS GATE LOT 90"</f>
        <v>955 SUNBURY RD ST MARYS GATE LOT 90</v>
      </c>
      <c r="D13665" s="1">
        <v>5477.82</v>
      </c>
    </row>
    <row r="13666" spans="1:4" x14ac:dyDescent="0.3">
      <c r="A13666" s="1" t="str">
        <f>"01012140800"</f>
        <v>01012140800</v>
      </c>
      <c r="B13666" s="1" t="str">
        <f>"WONACOTT MICHAEL E"</f>
        <v>WONACOTT MICHAEL E</v>
      </c>
      <c r="C13666" s="1" t="str">
        <f>"CRAWFORE DR NORTHVIEW EST LOT 19"</f>
        <v>CRAWFORE DR NORTHVIEW EST LOT 19</v>
      </c>
      <c r="D13666" s="1">
        <v>1996.92</v>
      </c>
    </row>
    <row r="13667" spans="1:4" x14ac:dyDescent="0.3">
      <c r="A13667" s="1" t="str">
        <f>"01019434800"</f>
        <v>01019434800</v>
      </c>
      <c r="B13667" s="1" t="str">
        <f>"WONG KAM SHING, TSE WAI HO"</f>
        <v>WONG KAM SHING, TSE WAI HO</v>
      </c>
      <c r="C13667" s="1" t="str">
        <f>"5353-204 PORTLAND ST NORTHAMPTON VILLAGE CONDO PH1 BLDG 4 UNIT 80"</f>
        <v>5353-204 PORTLAND ST NORTHAMPTON VILLAGE CONDO PH1 BLDG 4 UNIT 80</v>
      </c>
      <c r="D13667" s="1">
        <v>164.31</v>
      </c>
    </row>
    <row r="13668" spans="1:4" x14ac:dyDescent="0.3">
      <c r="A13668" s="1" t="str">
        <f>"60026390900"</f>
        <v>60026390900</v>
      </c>
      <c r="B13668" s="1" t="str">
        <f>"WONNELL NANCY K"</f>
        <v>WONNELL NANCY K</v>
      </c>
      <c r="C13668" s="1" t="str">
        <f>"KENSINGTON WOODS CONDOMINIUM 3RD AMD BLDG 2 UNIT 3958"</f>
        <v>KENSINGTON WOODS CONDOMINIUM 3RD AMD BLDG 2 UNIT 3958</v>
      </c>
      <c r="D13668" s="1">
        <v>11.97</v>
      </c>
    </row>
    <row r="13669" spans="1:4" x14ac:dyDescent="0.3">
      <c r="A13669" s="1" t="str">
        <f>"01015562800"</f>
        <v>01015562800</v>
      </c>
      <c r="B13669" s="1" t="str">
        <f>"WOOD BRYAN E, WOOD MARQUISE"</f>
        <v>WOOD BRYAN E, WOOD MARQUISE</v>
      </c>
      <c r="C13669" s="1" t="str">
        <f>"KIMBERLY VILLAS CONDOMINIUM PHASE 3 LOT 37-A"</f>
        <v>KIMBERLY VILLAS CONDOMINIUM PHASE 3 LOT 37-A</v>
      </c>
      <c r="D13669" s="1">
        <v>570.23</v>
      </c>
    </row>
    <row r="13670" spans="1:4" x14ac:dyDescent="0.3">
      <c r="A13670" s="1" t="str">
        <f>"02000210700"</f>
        <v>02000210700</v>
      </c>
      <c r="B13670" s="1" t="str">
        <f>"WOOD DIANE"</f>
        <v>WOOD DIANE</v>
      </c>
      <c r="C13670" s="1" t="str">
        <f>"834 CHELSEA AVE LOT 255 EASTLAWN"</f>
        <v>834 CHELSEA AVE LOT 255 EASTLAWN</v>
      </c>
      <c r="D13670" s="1">
        <v>301.20999999999998</v>
      </c>
    </row>
    <row r="13671" spans="1:4" x14ac:dyDescent="0.3">
      <c r="A13671" s="1" t="str">
        <f>"12000038500"</f>
        <v>12000038500</v>
      </c>
      <c r="B13671" s="1" t="str">
        <f>"WOOD KATIE L"</f>
        <v>WOOD KATIE L</v>
      </c>
      <c r="C13671" s="1" t="str">
        <f>"6900 FEDER RD ENTRY 3445 .9883 ACRE"</f>
        <v>6900 FEDER RD ENTRY 3445 .9883 ACRE</v>
      </c>
      <c r="D13671" s="1">
        <v>348.67</v>
      </c>
    </row>
    <row r="13672" spans="1:4" x14ac:dyDescent="0.3">
      <c r="A13672" s="1" t="str">
        <f>"01010330500"</f>
        <v>01010330500</v>
      </c>
      <c r="B13672" s="1" t="str">
        <f>"WOOD KIMBERLY A"</f>
        <v>WOOD KIMBERLY A</v>
      </c>
      <c r="C13672" s="1" t="str">
        <f>"FOURTH ST N BABY FARMS BLK 46 LOTS 132-133"</f>
        <v>FOURTH ST N BABY FARMS BLK 46 LOTS 132-133</v>
      </c>
      <c r="D13672" s="1">
        <v>793.54</v>
      </c>
    </row>
    <row r="13673" spans="1:4" x14ac:dyDescent="0.3">
      <c r="A13673" s="1" t="str">
        <f>"61017831000"</f>
        <v>61017831000</v>
      </c>
      <c r="B13673" s="1" t="str">
        <f>"WOOD MARCUS S"</f>
        <v>WOOD MARCUS S</v>
      </c>
      <c r="C13673" s="1" t="str">
        <f>"COLLEGIATE CT THE WOODS@JOSEPHINUM LOT 88"</f>
        <v>COLLEGIATE CT THE WOODS@JOSEPHINUM LOT 88</v>
      </c>
      <c r="D13673" s="1">
        <v>572.62</v>
      </c>
    </row>
    <row r="13674" spans="1:4" x14ac:dyDescent="0.3">
      <c r="A13674" s="1" t="str">
        <f>"06000221400"</f>
        <v>06000221400</v>
      </c>
      <c r="B13674" s="1" t="str">
        <f>"WOOD RAYMOND J, WOOD DAWNA L"</f>
        <v>WOOD RAYMOND J, WOOD DAWNA L</v>
      </c>
      <c r="C13674" s="1" t="str">
        <f>"BARTLETT RD H C HUBER PLAT 36 SEC 2 272"</f>
        <v>BARTLETT RD H C HUBER PLAT 36 SEC 2 272</v>
      </c>
      <c r="D13674" s="1">
        <v>3653.01</v>
      </c>
    </row>
    <row r="13675" spans="1:4" x14ac:dyDescent="0.3">
      <c r="A13675" s="1" t="str">
        <f>"01005425700"</f>
        <v>01005425700</v>
      </c>
      <c r="B13675" s="1" t="str">
        <f>"WOOD TYLER C"</f>
        <v>WOOD TYLER C</v>
      </c>
      <c r="C13675" s="1" t="str">
        <f>"517 S 4TH ST PARSONS 23'STHRN MID PT LTS 37-38"</f>
        <v>517 S 4TH ST PARSONS 23'STHRN MID PT LTS 37-38</v>
      </c>
      <c r="D13675" s="1">
        <v>149.33000000000001</v>
      </c>
    </row>
    <row r="13676" spans="1:4" x14ac:dyDescent="0.3">
      <c r="A13676" s="1" t="str">
        <f>"01011904000"</f>
        <v>01011904000</v>
      </c>
      <c r="B13676" s="1" t="str">
        <f>"WOODEN THOMAS W, MCGEE LATASHA DENISE"</f>
        <v>WOODEN THOMAS W, MCGEE LATASHA DENISE</v>
      </c>
      <c r="C13676" s="1" t="str">
        <f>"GROVEWOOD DR SOUTHFIELD LOT 63"</f>
        <v>GROVEWOOD DR SOUTHFIELD LOT 63</v>
      </c>
      <c r="D13676" s="1">
        <v>782.43</v>
      </c>
    </row>
    <row r="13677" spans="1:4" x14ac:dyDescent="0.3">
      <c r="A13677" s="1" t="str">
        <f>"01004341300"</f>
        <v>01004341300</v>
      </c>
      <c r="B13677" s="1" t="str">
        <f>"WOODFORD ANTHONY JR"</f>
        <v>WOODFORD ANTHONY JR</v>
      </c>
      <c r="C13677" s="1" t="str">
        <f>"659 STEWAAT AVE DAVIES LOT 40"</f>
        <v>659 STEWAAT AVE DAVIES LOT 40</v>
      </c>
      <c r="D13677" s="1">
        <v>962.6</v>
      </c>
    </row>
    <row r="13678" spans="1:4" x14ac:dyDescent="0.3">
      <c r="A13678" s="1" t="str">
        <f>"01002353100"</f>
        <v>01002353100</v>
      </c>
      <c r="B13678" s="1" t="str">
        <f>"WOODFORD ANTHONY L SR"</f>
        <v>WOODFORD ANTHONY L SR</v>
      </c>
      <c r="C13678" s="1" t="str">
        <f>"298-300 E 17TH AVE INDIANOLA SUMMIT BLK 7 LOT 16"</f>
        <v>298-300 E 17TH AVE INDIANOLA SUMMIT BLK 7 LOT 16</v>
      </c>
      <c r="D13678" s="1">
        <v>2256.44</v>
      </c>
    </row>
    <row r="13679" spans="1:4" x14ac:dyDescent="0.3">
      <c r="A13679" s="1" t="str">
        <f>"01000702300"</f>
        <v>01000702300</v>
      </c>
      <c r="B13679" s="1" t="str">
        <f>"WOODFORD ANTHONY L SR"</f>
        <v>WOODFORD ANTHONY L SR</v>
      </c>
      <c r="C13679" s="1" t="str">
        <f>"355 E NORTHWOOD AVE INDIANOLA SUMMIT LOT 18 BLK 17"</f>
        <v>355 E NORTHWOOD AVE INDIANOLA SUMMIT LOT 18 BLK 17</v>
      </c>
      <c r="D13679" s="1">
        <v>2659.91</v>
      </c>
    </row>
    <row r="13680" spans="1:4" x14ac:dyDescent="0.3">
      <c r="A13680" s="1" t="str">
        <f>"01005168300"</f>
        <v>01005168300</v>
      </c>
      <c r="B13680" s="1" t="str">
        <f>"WOODFORD ANTHONY L SR"</f>
        <v>WOODFORD ANTHONY L SR</v>
      </c>
      <c r="C13680" s="1" t="str">
        <f>"2126 SUMMIT ST INDIANOLA SUMMIT LOT 4 BLK 17"</f>
        <v>2126 SUMMIT ST INDIANOLA SUMMIT LOT 4 BLK 17</v>
      </c>
      <c r="D13680" s="1">
        <v>5908.68</v>
      </c>
    </row>
    <row r="13681" spans="1:4" x14ac:dyDescent="0.3">
      <c r="A13681" s="1" t="str">
        <f>"06000279900"</f>
        <v>06000279900</v>
      </c>
      <c r="B13681" s="1" t="str">
        <f>"WOODFORD BEVERLY J"</f>
        <v>WOODFORD BEVERLY J</v>
      </c>
      <c r="C13681" s="1" t="str">
        <f>"CARROUSEL DR S BRIARCLIFF 3 LOT 240"</f>
        <v>CARROUSEL DR S BRIARCLIFF 3 LOT 240</v>
      </c>
      <c r="D13681" s="1">
        <v>2370.33</v>
      </c>
    </row>
    <row r="13682" spans="1:4" x14ac:dyDescent="0.3">
      <c r="A13682" s="1" t="str">
        <f>"05000544200"</f>
        <v>05000544200</v>
      </c>
      <c r="B13682" s="1" t="str">
        <f>"WOODFORD BEVERLY J"</f>
        <v>WOODFORD BEVERLY J</v>
      </c>
      <c r="C13682" s="1" t="str">
        <f>"BROOKFIELD VILLAGE SECTION 4 LOT 255"</f>
        <v>BROOKFIELD VILLAGE SECTION 4 LOT 255</v>
      </c>
      <c r="D13682" s="1">
        <v>4333.26</v>
      </c>
    </row>
    <row r="13683" spans="1:4" x14ac:dyDescent="0.3">
      <c r="A13683" s="1" t="str">
        <f>"02000188900"</f>
        <v>02000188900</v>
      </c>
      <c r="B13683" s="1" t="str">
        <f>"WOODFORD CARL H"</f>
        <v>WOODFORD CARL H</v>
      </c>
      <c r="C13683" s="1" t="str">
        <f>"850 CHELSEA AVE EAST LAWN LOT 258"</f>
        <v>850 CHELSEA AVE EAST LAWN LOT 258</v>
      </c>
      <c r="D13683" s="1">
        <v>5393.78</v>
      </c>
    </row>
    <row r="13684" spans="1:4" x14ac:dyDescent="0.3">
      <c r="A13684" s="1" t="str">
        <f>"09000200000"</f>
        <v>09000200000</v>
      </c>
      <c r="B13684" s="1" t="str">
        <f>"WOODFORD CARL H"</f>
        <v>WOODFORD CARL H</v>
      </c>
      <c r="C13684" s="1" t="str">
        <f>"334 MAPLEWOOD AVE SEE DUP FOR DESCPT LOWRIE BROS 112-113"</f>
        <v>334 MAPLEWOOD AVE SEE DUP FOR DESCPT LOWRIE BROS 112-113</v>
      </c>
      <c r="D13684" s="1">
        <v>5355.78</v>
      </c>
    </row>
    <row r="13685" spans="1:4" x14ac:dyDescent="0.3">
      <c r="A13685" s="1" t="str">
        <f>"01004585600"</f>
        <v>01004585600</v>
      </c>
      <c r="B13685" s="1" t="str">
        <f>"WOODFORD CARL H, WOODFORD ANTHONY L SR, WOODFORD CARL"</f>
        <v>WOODFORD CARL H, WOODFORD ANTHONY L SR, WOODFORD CARL</v>
      </c>
      <c r="C13685" s="1" t="str">
        <f>"135 S GARFIELD AVE MONETTS BRYDEN RD LOT 48"</f>
        <v>135 S GARFIELD AVE MONETTS BRYDEN RD LOT 48</v>
      </c>
      <c r="D13685" s="1">
        <v>948.96</v>
      </c>
    </row>
    <row r="13686" spans="1:4" x14ac:dyDescent="0.3">
      <c r="A13686" s="1" t="str">
        <f>"01012802900"</f>
        <v>01012802900</v>
      </c>
      <c r="B13686" s="1" t="str">
        <f>"WOODFORD ERIC P"</f>
        <v>WOODFORD ERIC P</v>
      </c>
      <c r="C13686" s="1" t="str">
        <f>"BERWYN LOT 155 "</f>
        <v xml:space="preserve">BERWYN LOT 155 </v>
      </c>
      <c r="D13686" s="1">
        <v>649.86</v>
      </c>
    </row>
    <row r="13687" spans="1:4" x14ac:dyDescent="0.3">
      <c r="A13687" s="1" t="str">
        <f>"08000552700"</f>
        <v>08000552700</v>
      </c>
      <c r="B13687" s="1" t="str">
        <f>"WOODFORD STACY M, RENKEN ALEXA"</f>
        <v>WOODFORD STACY M, RENKEN ALEXA</v>
      </c>
      <c r="C13687" s="1" t="str">
        <f>"MICHAEL AVENUE GREEN ACRES PHASE II LOT 52"</f>
        <v>MICHAEL AVENUE GREEN ACRES PHASE II LOT 52</v>
      </c>
      <c r="D13687" s="1">
        <v>397.79</v>
      </c>
    </row>
    <row r="13688" spans="1:4" x14ac:dyDescent="0.3">
      <c r="A13688" s="1" t="str">
        <f>"01009971000"</f>
        <v>01009971000</v>
      </c>
      <c r="B13688" s="1" t="str">
        <f>"WOODFORD TAFT A"</f>
        <v>WOODFORD TAFT A</v>
      </c>
      <c r="C13688" s="1" t="str">
        <f>"LOCKWOOD RD CARLYLE ESTATES LOT 9"</f>
        <v>LOCKWOOD RD CARLYLE ESTATES LOT 9</v>
      </c>
      <c r="D13688" s="1">
        <v>1952.59</v>
      </c>
    </row>
    <row r="13689" spans="1:4" x14ac:dyDescent="0.3">
      <c r="A13689" s="1" t="str">
        <f>"01014339200"</f>
        <v>01014339200</v>
      </c>
      <c r="B13689" s="1" t="str">
        <f>"WOODRING DENNIS G"</f>
        <v>WOODRING DENNIS G</v>
      </c>
      <c r="C13689" s="1" t="str">
        <f>"OLD FARM RD THE GREENBRIER FARM NO 3 LOT 10"</f>
        <v>OLD FARM RD THE GREENBRIER FARM NO 3 LOT 10</v>
      </c>
      <c r="D13689" s="1">
        <v>197.68</v>
      </c>
    </row>
    <row r="13690" spans="1:4" x14ac:dyDescent="0.3">
      <c r="A13690" s="1" t="str">
        <f>"09000178900"</f>
        <v>09000178900</v>
      </c>
      <c r="B13690" s="1" t="str">
        <f>"WOODROFFE DOLORES M TR"</f>
        <v>WOODROFFE DOLORES M TR</v>
      </c>
      <c r="C13690" s="1" t="str">
        <f>"857 FAIRWAY BLVD FAIRWAY 2 LOT 116 "</f>
        <v xml:space="preserve">857 FAIRWAY BLVD FAIRWAY 2 LOT 116 </v>
      </c>
      <c r="D13690" s="1">
        <v>399.2</v>
      </c>
    </row>
    <row r="13691" spans="1:4" x14ac:dyDescent="0.3">
      <c r="A13691" s="1" t="str">
        <f>"01019515800"</f>
        <v>01019515800</v>
      </c>
      <c r="B13691" s="1" t="str">
        <f>"WOODROFFE DOLORES M TR"</f>
        <v>WOODROFFE DOLORES M TR</v>
      </c>
      <c r="C13691" s="1" t="str">
        <f>"E BROAD ST PARK TOWERS CONDO UNIT 208"</f>
        <v>E BROAD ST PARK TOWERS CONDO UNIT 208</v>
      </c>
      <c r="D13691" s="1">
        <v>151.97999999999999</v>
      </c>
    </row>
    <row r="13692" spans="1:4" x14ac:dyDescent="0.3">
      <c r="A13692" s="1" t="str">
        <f>"01002348000"</f>
        <v>01002348000</v>
      </c>
      <c r="B13692" s="1" t="str">
        <f>"WOODROW RONNIE"</f>
        <v>WOODROW RONNIE</v>
      </c>
      <c r="C13692" s="1" t="str">
        <f>"590 MITHOFF A J STUART LOT 40"</f>
        <v>590 MITHOFF A J STUART LOT 40</v>
      </c>
      <c r="D13692" s="1">
        <v>3577.56</v>
      </c>
    </row>
    <row r="13693" spans="1:4" x14ac:dyDescent="0.3">
      <c r="A13693" s="1" t="str">
        <f>"18500001100"</f>
        <v>18500001100</v>
      </c>
      <c r="B13693" s="1" t="str">
        <f>"WOODROW RONNIE"</f>
        <v>WOODROW RONNIE</v>
      </c>
      <c r="C13693" s="1" t="str">
        <f>"MAIN ST EX 22FT IN LOT 20TRI PIECE 95FT LONG OUT 140"</f>
        <v>MAIN ST EX 22FT IN LOT 20TRI PIECE 95FT LONG OUT 140</v>
      </c>
      <c r="D13693" s="1">
        <v>4000</v>
      </c>
    </row>
    <row r="13694" spans="1:4" x14ac:dyDescent="0.3">
      <c r="A13694" s="1" t="str">
        <f>"60019706400"</f>
        <v>60019706400</v>
      </c>
      <c r="B13694" s="1" t="str">
        <f>"WOODRUFF CHRISTOPHER R, JANKOWSKI ROBERT P"</f>
        <v>WOODRUFF CHRISTOPHER R, JANKOWSKI ROBERT P</v>
      </c>
      <c r="C13694" s="1" t="str">
        <f>"TANAGER DR VIL TANAGER WOODS 2 LOT 15"</f>
        <v>TANAGER DR VIL TANAGER WOODS 2 LOT 15</v>
      </c>
      <c r="D13694" s="1">
        <v>222.07</v>
      </c>
    </row>
    <row r="13695" spans="1:4" x14ac:dyDescent="0.3">
      <c r="A13695" s="1" t="str">
        <f>"07001249000"</f>
        <v>07001249000</v>
      </c>
      <c r="B13695" s="1" t="str">
        <f>"WOODRUFF JERRY L TTEE, WOODRUFF SUSAN D TTEE"</f>
        <v>WOODRUFF JERRY L TTEE, WOODRUFF SUSAN D TTEE</v>
      </c>
      <c r="C13695" s="1" t="str">
        <f>"3511 LA ROCHELLE DR TROUVILLE PARK CONDO LOT B 22-U"</f>
        <v>3511 LA ROCHELLE DR TROUVILLE PARK CONDO LOT B 22-U</v>
      </c>
      <c r="D13695" s="1">
        <v>376.57</v>
      </c>
    </row>
    <row r="13696" spans="1:4" x14ac:dyDescent="0.3">
      <c r="A13696" s="1" t="str">
        <f>"01010998300"</f>
        <v>01010998300</v>
      </c>
      <c r="B13696" s="1" t="str">
        <f>"WOODRUFF PATRIC L"</f>
        <v>WOODRUFF PATRIC L</v>
      </c>
      <c r="C13696" s="1" t="str">
        <f>"CHASE AVE CHASELAND LOT 368 &amp; PT AL VAC"</f>
        <v>CHASE AVE CHASELAND LOT 368 &amp; PT AL VAC</v>
      </c>
      <c r="D13696" s="1">
        <v>3794.7</v>
      </c>
    </row>
    <row r="13697" spans="1:4" x14ac:dyDescent="0.3">
      <c r="A13697" s="1" t="str">
        <f>"57022289300"</f>
        <v>57022289300</v>
      </c>
      <c r="B13697" s="1" t="str">
        <f>"WOODRUFF ROBERT K"</f>
        <v>WOODRUFF ROBERT K</v>
      </c>
      <c r="C13697" s="1" t="str">
        <f>"0000 BLUHM RD MURNANE SUBDIVISION LOT 28"</f>
        <v>0000 BLUHM RD MURNANE SUBDIVISION LOT 28</v>
      </c>
      <c r="D13697" s="1">
        <v>130.81</v>
      </c>
    </row>
    <row r="13698" spans="1:4" x14ac:dyDescent="0.3">
      <c r="A13698" s="1" t="str">
        <f>"53026268900"</f>
        <v>53026268900</v>
      </c>
      <c r="B13698" s="1" t="str">
        <f>"WOODS CHERYL"</f>
        <v>WOODS CHERYL</v>
      </c>
      <c r="C13698" s="1" t="str">
        <f>"VILLAGE AT WILLIAMS CREEK S-F HOMES CONDOMINIUM HOME DESIGNATION 328"</f>
        <v>VILLAGE AT WILLIAMS CREEK S-F HOMES CONDOMINIUM HOME DESIGNATION 328</v>
      </c>
      <c r="D13698" s="1">
        <v>33.880000000000003</v>
      </c>
    </row>
    <row r="13699" spans="1:4" x14ac:dyDescent="0.3">
      <c r="A13699" s="1" t="str">
        <f>"01009753700"</f>
        <v>01009753700</v>
      </c>
      <c r="B13699" s="1" t="str">
        <f>"WOODS MARGARET H, WOODS JAMES A"</f>
        <v>WOODS MARGARET H, WOODS JAMES A</v>
      </c>
      <c r="C13699" s="1" t="str">
        <f>"CAROLYN AVE               RE SUB PT OF SCHOENE-LAND     LOT 13                   "</f>
        <v xml:space="preserve">CAROLYN AVE               RE SUB PT OF SCHOENE-LAND     LOT 13                   </v>
      </c>
      <c r="D13699" s="1">
        <v>131.03</v>
      </c>
    </row>
    <row r="13700" spans="1:4" x14ac:dyDescent="0.3">
      <c r="A13700" s="1" t="str">
        <f>"01009291000"</f>
        <v>01009291000</v>
      </c>
      <c r="B13700" s="1" t="str">
        <f>"WOODS PAULA, WOODS MICHAEL W"</f>
        <v>WOODS PAULA, WOODS MICHAEL W</v>
      </c>
      <c r="C13700" s="1" t="str">
        <f>"DAWSON AVE BEXLEY HTS AMD LOT 98"</f>
        <v>DAWSON AVE BEXLEY HTS AMD LOT 98</v>
      </c>
      <c r="D13700" s="1">
        <v>535.80999999999995</v>
      </c>
    </row>
    <row r="13701" spans="1:4" x14ac:dyDescent="0.3">
      <c r="A13701" s="1" t="str">
        <f>"01011674100"</f>
        <v>01011674100</v>
      </c>
      <c r="B13701" s="1" t="str">
        <f>"WOODS ROBERT A, WOODS GWENDOLYN L"</f>
        <v>WOODS ROBERT A, WOODS GWENDOLYN L</v>
      </c>
      <c r="C13701" s="1" t="str">
        <f>"COUNTRY CLUB RD LEA WOOD GARDENS 3 LOT 57"</f>
        <v>COUNTRY CLUB RD LEA WOOD GARDENS 3 LOT 57</v>
      </c>
      <c r="D13701" s="1">
        <v>1669.2</v>
      </c>
    </row>
    <row r="13702" spans="1:4" x14ac:dyDescent="0.3">
      <c r="A13702" s="1" t="str">
        <f>"17000407500"</f>
        <v>17000407500</v>
      </c>
      <c r="B13702" s="1" t="str">
        <f>"WOODS ROBERT L JR, WOODS MANJU E"</f>
        <v>WOODS ROBERT L JR, WOODS MANJU E</v>
      </c>
      <c r="C13702" s="1" t="str">
        <f>"PARKWOOD PHASE 2 LOT 51"</f>
        <v>PARKWOOD PHASE 2 LOT 51</v>
      </c>
      <c r="D13702" s="1">
        <v>15094.35</v>
      </c>
    </row>
    <row r="13703" spans="1:4" x14ac:dyDescent="0.3">
      <c r="A13703" s="1" t="str">
        <f>"16000312200"</f>
        <v>16000312200</v>
      </c>
      <c r="B13703" s="1" t="str">
        <f>"WOODS RONALD, WOODS LAURA"</f>
        <v>WOODS RONALD, WOODS LAURA</v>
      </c>
      <c r="C13703" s="1" t="str">
        <f>"ALKIRE RD ENTRY 1389 0.562 ACRES"</f>
        <v>ALKIRE RD ENTRY 1389 0.562 ACRES</v>
      </c>
      <c r="D13703" s="1">
        <v>102.75</v>
      </c>
    </row>
    <row r="13704" spans="1:4" x14ac:dyDescent="0.3">
      <c r="A13704" s="1" t="str">
        <f>"01013822600"</f>
        <v>01013822600</v>
      </c>
      <c r="B13704" s="1" t="str">
        <f>"WOODS SUZANNE L, WOODS JAMAAL G"</f>
        <v>WOODS SUZANNE L, WOODS JAMAAL G</v>
      </c>
      <c r="C13704" s="1" t="str">
        <f>"EASTHAVEN DR S GLENBROOK SEC 2 LOT 142"</f>
        <v>EASTHAVEN DR S GLENBROOK SEC 2 LOT 142</v>
      </c>
      <c r="D13704" s="1">
        <v>3636.91</v>
      </c>
    </row>
    <row r="13705" spans="1:4" x14ac:dyDescent="0.3">
      <c r="A13705" s="1" t="str">
        <f>"02501193400"</f>
        <v>02501193400</v>
      </c>
      <c r="B13705" s="1" t="str">
        <f>"WOODWORTH MARGARET O TTEE"</f>
        <v>WOODWORTH MARGARET O TTEE</v>
      </c>
      <c r="C13705" s="1" t="str">
        <f>"THE VILLAS AT WHITE OAK CONDOMINIUM 5TH AMD UNIT 1360"</f>
        <v>THE VILLAS AT WHITE OAK CONDOMINIUM 5TH AMD UNIT 1360</v>
      </c>
      <c r="D13705" s="1">
        <v>485.57</v>
      </c>
    </row>
    <row r="13706" spans="1:4" x14ac:dyDescent="0.3">
      <c r="A13706" s="1" t="str">
        <f>"01008026000"</f>
        <v>01008026000</v>
      </c>
      <c r="B13706" s="1" t="str">
        <f>"WOODY LLOYD E"</f>
        <v>WOODY LLOYD E</v>
      </c>
      <c r="C13706" s="1" t="str">
        <f>"FAIRWOOD AVE 1221 LENOX LOT 76 "</f>
        <v xml:space="preserve">FAIRWOOD AVE 1221 LENOX LOT 76 </v>
      </c>
      <c r="D13706" s="1">
        <v>763.79</v>
      </c>
    </row>
    <row r="13707" spans="1:4" x14ac:dyDescent="0.3">
      <c r="A13707" s="1" t="str">
        <f>"18400304700"</f>
        <v>18400304700</v>
      </c>
      <c r="B13707" s="1" t="str">
        <f>"WOODYARD TIFFANY R TTEE"</f>
        <v>WOODYARD TIFFANY R TTEE</v>
      </c>
      <c r="C13707" s="1" t="str">
        <f>"CHARLESTON LAKE CONDOMINIUM 5TH AMD BLDG 2 UNIT 6754"</f>
        <v>CHARLESTON LAKE CONDOMINIUM 5TH AMD BLDG 2 UNIT 6754</v>
      </c>
      <c r="D13707" s="1">
        <v>273.08</v>
      </c>
    </row>
    <row r="13708" spans="1:4" x14ac:dyDescent="0.3">
      <c r="A13708" s="1" t="str">
        <f>"57022840000"</f>
        <v>57022840000</v>
      </c>
      <c r="B13708" s="1" t="str">
        <f>"WOOTEN CAROL A"</f>
        <v>WOOTEN CAROL A</v>
      </c>
      <c r="C13708" s="1" t="str">
        <f>"STONERIDGE VILLAGE SECTION 5 LOT 225"</f>
        <v>STONERIDGE VILLAGE SECTION 5 LOT 225</v>
      </c>
      <c r="D13708" s="1">
        <v>2657.01</v>
      </c>
    </row>
    <row r="13709" spans="1:4" x14ac:dyDescent="0.3">
      <c r="A13709" s="1" t="str">
        <f>"02000413300"</f>
        <v>02000413300</v>
      </c>
      <c r="B13709" s="1" t="str">
        <f>"WOOTEN CAROL L"</f>
        <v>WOOTEN CAROL L</v>
      </c>
      <c r="C13709" s="1" t="str">
        <f>"740 FRANCIS AVE HAMILTON GARDENS PT LOTS 33-34"</f>
        <v>740 FRANCIS AVE HAMILTON GARDENS PT LOTS 33-34</v>
      </c>
      <c r="D13709" s="1">
        <v>311.26</v>
      </c>
    </row>
    <row r="13710" spans="1:4" x14ac:dyDescent="0.3">
      <c r="A13710" s="1" t="str">
        <f>"01015954200"</f>
        <v>01015954200</v>
      </c>
      <c r="B13710" s="1" t="str">
        <f>"WOOTEN FRANK J, WOOTEN CYNTHIA O"</f>
        <v>WOOTEN FRANK J, WOOTEN CYNTHIA O</v>
      </c>
      <c r="C13710" s="1" t="str">
        <f>"SHARON WOODS SEC 8 NOBLESHIRE ROAD LOT 906"</f>
        <v>SHARON WOODS SEC 8 NOBLESHIRE ROAD LOT 906</v>
      </c>
      <c r="D13710" s="1">
        <v>4770.17</v>
      </c>
    </row>
    <row r="13711" spans="1:4" x14ac:dyDescent="0.3">
      <c r="A13711" s="1" t="str">
        <f>"01016693100"</f>
        <v>01016693100</v>
      </c>
      <c r="B13711" s="1" t="str">
        <f>"WOOTEN NEARAL D"</f>
        <v>WOOTEN NEARAL D</v>
      </c>
      <c r="C13711" s="1" t="str">
        <f>"1846 JERMAIN DRIVE AMVET HOMESTEAD 2 LOT 15 BLK N"</f>
        <v>1846 JERMAIN DRIVE AMVET HOMESTEAD 2 LOT 15 BLK N</v>
      </c>
      <c r="D13711" s="1">
        <v>157</v>
      </c>
    </row>
    <row r="13712" spans="1:4" x14ac:dyDescent="0.3">
      <c r="A13712" s="1" t="str">
        <f>"61021705400"</f>
        <v>61021705400</v>
      </c>
      <c r="B13712" s="1" t="str">
        <f>"WORDEN JAMES CRAWFORD, FOSGATE BETH MICHELLE"</f>
        <v>WORDEN JAMES CRAWFORD, FOSGATE BETH MICHELLE</v>
      </c>
      <c r="C13712" s="1" t="str">
        <f>"WORTHINGTON WOODS W CONDO 10 7TH AMD BLDG 26 UNIT 133"</f>
        <v>WORTHINGTON WOODS W CONDO 10 7TH AMD BLDG 26 UNIT 133</v>
      </c>
      <c r="D13712" s="1">
        <v>181.29</v>
      </c>
    </row>
    <row r="13713" spans="1:4" x14ac:dyDescent="0.3">
      <c r="A13713" s="1" t="str">
        <f>"15000237500"</f>
        <v>15000237500</v>
      </c>
      <c r="B13713" s="1" t="str">
        <f>"WORKMAN SHIRLEY"</f>
        <v>WORKMAN SHIRLEY</v>
      </c>
      <c r="C13713" s="1" t="str">
        <f>"4856 MIDDLE SCHOOL HAMILTON MEADOWS 8 LOT 835"</f>
        <v>4856 MIDDLE SCHOOL HAMILTON MEADOWS 8 LOT 835</v>
      </c>
      <c r="D13713" s="1">
        <v>86.53</v>
      </c>
    </row>
    <row r="13714" spans="1:4" x14ac:dyDescent="0.3">
      <c r="A13714" s="1" t="str">
        <f>"61020383500"</f>
        <v>61020383500</v>
      </c>
      <c r="B13714" s="1" t="str">
        <f>"WORTHINGTON CHRISTIAN VILLAGE COLONY INC"</f>
        <v>WORTHINGTON CHRISTIAN VILLAGE COLONY INC</v>
      </c>
      <c r="C13714" s="1" t="str">
        <f>"HIGHBLUFFS BLVD 3.675 ACRES "</f>
        <v xml:space="preserve">HIGHBLUFFS BLVD 3.675 ACRES </v>
      </c>
      <c r="D13714" s="1">
        <v>7342.91</v>
      </c>
    </row>
    <row r="13715" spans="1:4" x14ac:dyDescent="0.3">
      <c r="A13715" s="1" t="str">
        <f>"24000554900"</f>
        <v>24000554900</v>
      </c>
      <c r="B13715" s="1" t="str">
        <f>"WORTHINGTON GERALD A, WORTHINGTON TIFFANY J"</f>
        <v>WORTHINGTON GERALD A, WORTHINGTON TIFFANY J</v>
      </c>
      <c r="C13715" s="1" t="str">
        <f>"VILLAGE PARK BIRCH PARK DRIVE LOT 81"</f>
        <v>VILLAGE PARK BIRCH PARK DRIVE LOT 81</v>
      </c>
      <c r="D13715" s="1">
        <v>1621.82</v>
      </c>
    </row>
    <row r="13716" spans="1:4" x14ac:dyDescent="0.3">
      <c r="A13716" s="1" t="str">
        <f>"21300215500"</f>
        <v>21300215500</v>
      </c>
      <c r="B13716" s="1" t="str">
        <f>"WORTHINGTON HILLS COUNTRY CLUB INC"</f>
        <v>WORTHINGTON HILLS COUNTRY CLUB INC</v>
      </c>
      <c r="C13716" s="1" t="str">
        <f>"1582 CLUB VIEW BLVD N WORTHINGTON HILLS 3 RES E"</f>
        <v>1582 CLUB VIEW BLVD N WORTHINGTON HILLS 3 RES E</v>
      </c>
      <c r="D13716" s="1">
        <v>277.77999999999997</v>
      </c>
    </row>
    <row r="13717" spans="1:4" x14ac:dyDescent="0.3">
      <c r="A13717" s="1" t="str">
        <f>"53019472200"</f>
        <v>53019472200</v>
      </c>
      <c r="B13717" s="1" t="str">
        <f>"WORTHINGTON WYATT, WORTHINGTON VALERIE M"</f>
        <v>WORTHINGTON WYATT, WORTHINGTON VALERIE M</v>
      </c>
      <c r="C13717" s="1" t="str">
        <f>"RESUB PT IND VIL EAST SEC 5 LOT 415"</f>
        <v>RESUB PT IND VIL EAST SEC 5 LOT 415</v>
      </c>
      <c r="D13717" s="1">
        <v>143.21</v>
      </c>
    </row>
    <row r="13718" spans="1:4" x14ac:dyDescent="0.3">
      <c r="A13718" s="1" t="str">
        <f>"01000194700"</f>
        <v>01000194700</v>
      </c>
      <c r="B13718" s="1" t="str">
        <f>"WREF III LOAN 6 LLC"</f>
        <v>WREF III LOAN 6 LLC</v>
      </c>
      <c r="C13718" s="1" t="str">
        <f>"184-186 N HAGUE AVE HILL CREST LOT 2"</f>
        <v>184-186 N HAGUE AVE HILL CREST LOT 2</v>
      </c>
      <c r="D13718" s="1">
        <v>2839.52</v>
      </c>
    </row>
    <row r="13719" spans="1:4" x14ac:dyDescent="0.3">
      <c r="A13719" s="1" t="str">
        <f>"01003688700"</f>
        <v>01003688700</v>
      </c>
      <c r="B13719" s="1" t="str">
        <f>"WRIGHT ANEECA MCCOY"</f>
        <v>WRIGHT ANEECA MCCOY</v>
      </c>
      <c r="C13719" s="1" t="str">
        <f>"1631-3 PEMBROKE AVE BOLENGAUGH AMD SUB 43"</f>
        <v>1631-3 PEMBROKE AVE BOLENGAUGH AMD SUB 43</v>
      </c>
      <c r="D13719" s="1">
        <v>4102.08</v>
      </c>
    </row>
    <row r="13720" spans="1:4" x14ac:dyDescent="0.3">
      <c r="A13720" s="1" t="str">
        <f>"01025496000"</f>
        <v>01025496000</v>
      </c>
      <c r="B13720" s="1" t="str">
        <f>"WRIGHT ANNE J"</f>
        <v>WRIGHT ANNE J</v>
      </c>
      <c r="C13720" s="1" t="str">
        <f>"1 MIRANOVA PL CONDO # 1410 "</f>
        <v xml:space="preserve">1 MIRANOVA PL CONDO # 1410 </v>
      </c>
      <c r="D13720" s="1">
        <v>474.85</v>
      </c>
    </row>
    <row r="13721" spans="1:4" x14ac:dyDescent="0.3">
      <c r="A13721" s="1" t="str">
        <f>"01025673100"</f>
        <v>01025673100</v>
      </c>
      <c r="B13721" s="1" t="str">
        <f>"WRIGHT BONNIE I, WRIGHT WILLIAM E"</f>
        <v>WRIGHT BONNIE I, WRIGHT WILLIAM E</v>
      </c>
      <c r="C13721" s="1" t="str">
        <f>"GENDER PARK CONDOMINIUM 12TH AMD UNIT 54D"</f>
        <v>GENDER PARK CONDOMINIUM 12TH AMD UNIT 54D</v>
      </c>
      <c r="D13721" s="1">
        <v>112.19</v>
      </c>
    </row>
    <row r="13722" spans="1:4" x14ac:dyDescent="0.3">
      <c r="A13722" s="1" t="str">
        <f>"04000991000"</f>
        <v>04000991000</v>
      </c>
      <c r="B13722" s="1" t="str">
        <f>"WRIGHT BRENT W TR"</f>
        <v>WRIGHT BRENT W TR</v>
      </c>
      <c r="C13722" s="1" t="str">
        <f>"TAMARACK AVENUE CONCORD LAKES SEC 1 PHASE 3 LOT 130"</f>
        <v>TAMARACK AVENUE CONCORD LAKES SEC 1 PHASE 3 LOT 130</v>
      </c>
      <c r="D13722" s="1">
        <v>2985.32</v>
      </c>
    </row>
    <row r="13723" spans="1:4" x14ac:dyDescent="0.3">
      <c r="A13723" s="1" t="str">
        <f>"02500493100"</f>
        <v>02500493100</v>
      </c>
      <c r="B13723" s="1" t="str">
        <f>"WRIGHT BRIAN H, MCKINLEY MICHELLE L"</f>
        <v>WRIGHT BRIAN H, MCKINLEY MICHELLE L</v>
      </c>
      <c r="C13723" s="1" t="str">
        <f>"550 SAULSBURY COURT AMBASSADOR COMMONS LOT 20"</f>
        <v>550 SAULSBURY COURT AMBASSADOR COMMONS LOT 20</v>
      </c>
      <c r="D13723" s="1">
        <v>615.80999999999995</v>
      </c>
    </row>
    <row r="13724" spans="1:4" x14ac:dyDescent="0.3">
      <c r="A13724" s="1" t="str">
        <f>"01016296100"</f>
        <v>01016296100</v>
      </c>
      <c r="B13724" s="1" t="str">
        <f>"WRIGHT CHARLOTTE"</f>
        <v>WRIGHT CHARLOTTE</v>
      </c>
      <c r="C13724" s="1" t="str">
        <f>"GLENBROOK GREEN CONDOMINIUM BLDG 7 UNIT D"</f>
        <v>GLENBROOK GREEN CONDOMINIUM BLDG 7 UNIT D</v>
      </c>
      <c r="D13724" s="1">
        <v>643.42999999999995</v>
      </c>
    </row>
    <row r="13725" spans="1:4" x14ac:dyDescent="0.3">
      <c r="A13725" s="1" t="str">
        <f>"01008496500"</f>
        <v>01008496500</v>
      </c>
      <c r="B13725" s="1" t="str">
        <f>"WRIGHT COFFMAN ERIN ANNE, WRIGHT JASON THOMAS, COFFMAN ROBERT PAUL JR"</f>
        <v>WRIGHT COFFMAN ERIN ANNE, WRIGHT JASON THOMAS, COFFMAN ROBERT PAUL JR</v>
      </c>
      <c r="C13725" s="1" t="str">
        <f>"E BEECHWOLD BLVD ZOOLAND LOT 98"</f>
        <v>E BEECHWOLD BLVD ZOOLAND LOT 98</v>
      </c>
      <c r="D13725" s="1">
        <v>2432.69</v>
      </c>
    </row>
    <row r="13726" spans="1:4" x14ac:dyDescent="0.3">
      <c r="A13726" s="1" t="str">
        <f>"01007455700"</f>
        <v>01007455700</v>
      </c>
      <c r="B13726" s="1" t="str">
        <f>"WRIGHT DANA W"</f>
        <v>WRIGHT DANA W</v>
      </c>
      <c r="C13726" s="1" t="str">
        <f>"REPUBLIC AVE HIGHWAY PARK LOT 215"</f>
        <v>REPUBLIC AVE HIGHWAY PARK LOT 215</v>
      </c>
      <c r="D13726" s="1">
        <v>1113.67</v>
      </c>
    </row>
    <row r="13727" spans="1:4" x14ac:dyDescent="0.3">
      <c r="A13727" s="1" t="str">
        <f>"53021101700"</f>
        <v>53021101700</v>
      </c>
      <c r="B13727" s="1" t="str">
        <f>"WRIGHT HERBERT, WRIGHT ANITA"</f>
        <v>WRIGHT HERBERT, WRIGHT ANITA</v>
      </c>
      <c r="C13727" s="1" t="str">
        <f>"BERRY POND WAY COUNTRYVIEW VILLAGE SEC 2 LOT 233"</f>
        <v>BERRY POND WAY COUNTRYVIEW VILLAGE SEC 2 LOT 233</v>
      </c>
      <c r="D13727" s="1">
        <v>427.73</v>
      </c>
    </row>
    <row r="13728" spans="1:4" x14ac:dyDescent="0.3">
      <c r="A13728" s="1" t="str">
        <f>"01013241500"</f>
        <v>01013241500</v>
      </c>
      <c r="B13728" s="1" t="str">
        <f>"WRIGHT HOME OFFER LLC"</f>
        <v>WRIGHT HOME OFFER LLC</v>
      </c>
      <c r="C13728" s="1" t="str">
        <f>"FAHLANDER DR S WOODWARD PK LOT 13"</f>
        <v>FAHLANDER DR S WOODWARD PK LOT 13</v>
      </c>
      <c r="D13728" s="1">
        <v>1484.62</v>
      </c>
    </row>
    <row r="13729" spans="1:4" x14ac:dyDescent="0.3">
      <c r="A13729" s="1" t="str">
        <f>"18000259100"</f>
        <v>18000259100</v>
      </c>
      <c r="B13729" s="1" t="str">
        <f>"WRIGHT JAMES PATRICK, WRIGHT LEAH JAN"</f>
        <v>WRIGHT JAMES PATRICK, WRIGHT LEAH JAN</v>
      </c>
      <c r="C13729" s="1" t="str">
        <f>"3711 LAGUNA DR BLACKLICK ESTATES 2 LOT 200"</f>
        <v>3711 LAGUNA DR BLACKLICK ESTATES 2 LOT 200</v>
      </c>
      <c r="D13729" s="1">
        <v>1241.5999999999999</v>
      </c>
    </row>
    <row r="13730" spans="1:4" x14ac:dyDescent="0.3">
      <c r="A13730" s="1" t="str">
        <f>"05000245600"</f>
        <v>05000245600</v>
      </c>
      <c r="B13730" s="1" t="str">
        <f>"WRIGHT JAMES PATRICK, WRIGHT LEAH JAN"</f>
        <v>WRIGHT JAMES PATRICK, WRIGHT LEAH JAN</v>
      </c>
      <c r="C13730" s="1" t="str">
        <f>"3533 PAXTON DR BEACON LOT 23"</f>
        <v>3533 PAXTON DR BEACON LOT 23</v>
      </c>
      <c r="D13730" s="1">
        <v>2271.4499999999998</v>
      </c>
    </row>
    <row r="13731" spans="1:4" x14ac:dyDescent="0.3">
      <c r="A13731" s="1" t="str">
        <f>"05000255700"</f>
        <v>05000255700</v>
      </c>
      <c r="B13731" s="1" t="str">
        <f>"WRIGHT JAMES PATRICK, WRIGHT LEAH JAN"</f>
        <v>WRIGHT JAMES PATRICK, WRIGHT LEAH JAN</v>
      </c>
      <c r="C13731" s="1" t="str">
        <f>"3444 LACON RD BEACON LOT 126"</f>
        <v>3444 LACON RD BEACON LOT 126</v>
      </c>
      <c r="D13731" s="1">
        <v>2296.56</v>
      </c>
    </row>
    <row r="13732" spans="1:4" x14ac:dyDescent="0.3">
      <c r="A13732" s="1" t="str">
        <f>"01010909700"</f>
        <v>01010909700</v>
      </c>
      <c r="B13732" s="1" t="str">
        <f>"WRIGHT JOHNNY"</f>
        <v>WRIGHT JOHNNY</v>
      </c>
      <c r="C13732" s="1" t="str">
        <f>"BRENTNELL BLVD ARLINGTON PK TRACT 2 LOT 20 BLK E"</f>
        <v>BRENTNELL BLVD ARLINGTON PK TRACT 2 LOT 20 BLK E</v>
      </c>
      <c r="D13732" s="1">
        <v>3199.83</v>
      </c>
    </row>
    <row r="13733" spans="1:4" x14ac:dyDescent="0.3">
      <c r="A13733" s="1" t="str">
        <f>"23400014200"</f>
        <v>23400014200</v>
      </c>
      <c r="B13733" s="1" t="str">
        <f>"WRIGHT MICHAEL V"</f>
        <v>WRIGHT MICHAEL V</v>
      </c>
      <c r="C13733" s="1" t="str">
        <f>"COLUMBUS DR SPRING LAWN 2 "</f>
        <v xml:space="preserve">COLUMBUS DR SPRING LAWN 2 </v>
      </c>
      <c r="D13733" s="1">
        <v>111.84</v>
      </c>
    </row>
    <row r="13734" spans="1:4" x14ac:dyDescent="0.3">
      <c r="A13734" s="1" t="str">
        <f>"01024934000"</f>
        <v>01024934000</v>
      </c>
      <c r="B13734" s="1" t="str">
        <f>"WRIGHT NASANDRA M"</f>
        <v>WRIGHT NASANDRA M</v>
      </c>
      <c r="C13734" s="1" t="str">
        <f>"CHANTE COURT EASTVIEW ESTATES SECTION ONE LOT 15"</f>
        <v>CHANTE COURT EASTVIEW ESTATES SECTION ONE LOT 15</v>
      </c>
      <c r="D13734" s="1">
        <v>5237.6099999999997</v>
      </c>
    </row>
    <row r="13735" spans="1:4" x14ac:dyDescent="0.3">
      <c r="A13735" s="1" t="str">
        <f>"24000671000"</f>
        <v>24000671000</v>
      </c>
      <c r="B13735" s="1" t="str">
        <f>"WRIGHT NORMAN, WRIGHT MEGAN C"</f>
        <v>WRIGHT NORMAN, WRIGHT MEGAN C</v>
      </c>
      <c r="C13735" s="1" t="str">
        <f>"BRADSHAW BOULEVARD POST OAK COUNTRY ESTATES LOT 4"</f>
        <v>BRADSHAW BOULEVARD POST OAK COUNTRY ESTATES LOT 4</v>
      </c>
      <c r="D13735" s="1">
        <v>6588.41</v>
      </c>
    </row>
    <row r="13736" spans="1:4" x14ac:dyDescent="0.3">
      <c r="A13736" s="1" t="str">
        <f>"61027321900"</f>
        <v>61027321900</v>
      </c>
      <c r="B13736" s="1" t="str">
        <f>"WRIGHT THOMAS E, WRIGHT KELLY D"</f>
        <v>WRIGHT THOMAS E, WRIGHT KELLY D</v>
      </c>
      <c r="C13736" s="1" t="str">
        <f>"THOMAS JOSEPH LANE LINDSEY WOODS LOT 19"</f>
        <v>THOMAS JOSEPH LANE LINDSEY WOODS LOT 19</v>
      </c>
      <c r="D13736" s="1">
        <v>665.4</v>
      </c>
    </row>
    <row r="13737" spans="1:4" x14ac:dyDescent="0.3">
      <c r="A13737" s="1" t="str">
        <f>"56026646100"</f>
        <v>56026646100</v>
      </c>
      <c r="B13737" s="1" t="str">
        <f>"WRIGHT-PATT CREDIT UNION INC"</f>
        <v>WRIGHT-PATT CREDIT UNION INC</v>
      </c>
      <c r="C13737" s="1" t="str">
        <f>"HILLIARD ROME RD ENTRY 7065 1.076 ACRES"</f>
        <v>HILLIARD ROME RD ENTRY 7065 1.076 ACRES</v>
      </c>
      <c r="D13737" s="1">
        <v>45829.04</v>
      </c>
    </row>
    <row r="13738" spans="1:4" x14ac:dyDescent="0.3">
      <c r="A13738" s="1" t="str">
        <f>"22200537800"</f>
        <v>22200537800</v>
      </c>
      <c r="B13738" s="1" t="str">
        <f>"WRIGHT-PATT CREDIT UNION INC"</f>
        <v>WRIGHT-PATT CREDIT UNION INC</v>
      </c>
      <c r="C13738" s="1" t="str">
        <f>"JOHNSTOWN RD R16 T2 1/4T1 1.114 ACRES"</f>
        <v>JOHNSTOWN RD R16 T2 1/4T1 1.114 ACRES</v>
      </c>
      <c r="D13738" s="1">
        <v>743.45</v>
      </c>
    </row>
    <row r="13739" spans="1:4" x14ac:dyDescent="0.3">
      <c r="A13739" s="1" t="str">
        <f>"01001758900"</f>
        <v>01001758900</v>
      </c>
      <c r="B13739" s="1" t="str">
        <f>"WU ENTERPRISES LLC"</f>
        <v>WU ENTERPRISES LLC</v>
      </c>
      <c r="C13739" s="1" t="str">
        <f>"1018 E 16TH AVE LOUIS HTS LOT 345"</f>
        <v>1018 E 16TH AVE LOUIS HTS LOT 345</v>
      </c>
      <c r="D13739" s="1">
        <v>2995.35</v>
      </c>
    </row>
    <row r="13740" spans="1:4" x14ac:dyDescent="0.3">
      <c r="A13740" s="1" t="str">
        <f>"01006045300"</f>
        <v>01006045300</v>
      </c>
      <c r="B13740" s="1" t="str">
        <f>"WU ENTERPRISES LLC"</f>
        <v>WU ENTERPRISES LLC</v>
      </c>
      <c r="C13740" s="1" t="str">
        <f>"22ND AVE WALDEMERE LOT 202"</f>
        <v>22ND AVE WALDEMERE LOT 202</v>
      </c>
      <c r="D13740" s="1">
        <v>1386.86</v>
      </c>
    </row>
    <row r="13741" spans="1:4" x14ac:dyDescent="0.3">
      <c r="A13741" s="1" t="str">
        <f>"01005270600"</f>
        <v>01005270600</v>
      </c>
      <c r="B13741" s="1" t="str">
        <f>"WU ENTERPRISES LLC"</f>
        <v>WU ENTERPRISES LLC</v>
      </c>
      <c r="C13741" s="1" t="str">
        <f>"1128 16TH AVE LOUIS HTS LOT 368"</f>
        <v>1128 16TH AVE LOUIS HTS LOT 368</v>
      </c>
      <c r="D13741" s="1">
        <v>2105.75</v>
      </c>
    </row>
    <row r="13742" spans="1:4" x14ac:dyDescent="0.3">
      <c r="A13742" s="1" t="str">
        <f>"01000932200"</f>
        <v>01000932200</v>
      </c>
      <c r="B13742" s="1" t="str">
        <f>"WU ENTERPRISES LLC"</f>
        <v>WU ENTERPRISES LLC</v>
      </c>
      <c r="C13742" s="1" t="str">
        <f>"929 CHITTENDEN AVE DOW HRS LOT 72"</f>
        <v>929 CHITTENDEN AVE DOW HRS LOT 72</v>
      </c>
      <c r="D13742" s="1">
        <v>1316.22</v>
      </c>
    </row>
    <row r="13743" spans="1:4" x14ac:dyDescent="0.3">
      <c r="A13743" s="1" t="str">
        <f>"54526014900"</f>
        <v>54526014900</v>
      </c>
      <c r="B13743" s="1" t="str">
        <f>"WU FAN, GAO YANPING"</f>
        <v>WU FAN, GAO YANPING</v>
      </c>
      <c r="C13743" s="1" t="str">
        <f>"DOVER COMMONS COURT ALBANY PARK SECTION 3 PART 2 LOT 174"</f>
        <v>DOVER COMMONS COURT ALBANY PARK SECTION 3 PART 2 LOT 174</v>
      </c>
      <c r="D13743" s="1">
        <v>4981.46</v>
      </c>
    </row>
    <row r="13744" spans="1:4" x14ac:dyDescent="0.3">
      <c r="A13744" s="1" t="str">
        <f>"27300519200"</f>
        <v>27300519200</v>
      </c>
      <c r="B13744" s="1" t="str">
        <f>"WU YANAN"</f>
        <v>WU YANAN</v>
      </c>
      <c r="C13744" s="1" t="str">
        <f>"HADDINGTONSHIRE LN HEATHER GLEN SEC 1 LOT 51"</f>
        <v>HADDINGTONSHIRE LN HEATHER GLEN SEC 1 LOT 51</v>
      </c>
      <c r="D13744" s="1">
        <v>4773.42</v>
      </c>
    </row>
    <row r="13745" spans="1:4" x14ac:dyDescent="0.3">
      <c r="A13745" s="1" t="str">
        <f>"01003763100"</f>
        <v>01003763100</v>
      </c>
      <c r="B13745" s="1" t="str">
        <f>"WUERDIG JOHANNES"</f>
        <v>WUERDIG JOHANNES</v>
      </c>
      <c r="C13745" s="1" t="str">
        <f>"226 E WEBER RD WALHALLA PARK PLC L22 EX 13'&amp;27'ES L21"</f>
        <v>226 E WEBER RD WALHALLA PARK PLC L22 EX 13'&amp;27'ES L21</v>
      </c>
      <c r="D13745" s="1">
        <v>7912.43</v>
      </c>
    </row>
    <row r="13746" spans="1:4" x14ac:dyDescent="0.3">
      <c r="A13746" s="1" t="str">
        <f>"14300000200"</f>
        <v>14300000200</v>
      </c>
      <c r="B13746" s="1" t="str">
        <f>"WULF AMY B TTEE, WULF JV TTEE"</f>
        <v>WULF AMY B TTEE, WULF JV TTEE</v>
      </c>
      <c r="C13746" s="1" t="str">
        <f>"2041 W 3RD AVE ARLINGTON PLC AMD PT LOTS 41-2-3"</f>
        <v>2041 W 3RD AVE ARLINGTON PLC AMD PT LOTS 41-2-3</v>
      </c>
      <c r="D13746" s="1">
        <v>1172.8900000000001</v>
      </c>
    </row>
    <row r="13747" spans="1:4" x14ac:dyDescent="0.3">
      <c r="A13747" s="1" t="str">
        <f>"49022965000"</f>
        <v>49022965000</v>
      </c>
      <c r="B13747" s="1" t="str">
        <f>"WULF KATHRYN"</f>
        <v>WULF KATHRYN</v>
      </c>
      <c r="C13747" s="1" t="str">
        <f>"BAY BROOK DRIVE ESSEX PLACE SEC 2 LOT 93"</f>
        <v>BAY BROOK DRIVE ESSEX PLACE SEC 2 LOT 93</v>
      </c>
      <c r="D13747" s="1">
        <v>1686.2</v>
      </c>
    </row>
    <row r="13748" spans="1:4" x14ac:dyDescent="0.3">
      <c r="A13748" s="1" t="str">
        <f>"61013274200"</f>
        <v>61013274200</v>
      </c>
      <c r="B13748" s="1" t="str">
        <f>"WUPEK PROPERTIES LLC"</f>
        <v>WUPEK PROPERTIES LLC</v>
      </c>
      <c r="C13748" s="1" t="str">
        <f>"6480 BUSCH BLVD BUSCH CORPORATE CTR 6.6853 AC     LOT D"</f>
        <v>6480 BUSCH BLVD BUSCH CORPORATE CTR 6.6853 AC     LOT D</v>
      </c>
      <c r="D13748" s="1">
        <v>77000</v>
      </c>
    </row>
    <row r="13749" spans="1:4" x14ac:dyDescent="0.3">
      <c r="A13749" s="1" t="str">
        <f>"15200150500"</f>
        <v>15200150500</v>
      </c>
      <c r="B13749" s="1" t="str">
        <f>"WWSD"</f>
        <v>WWSD</v>
      </c>
      <c r="C13749" s="1" t="str">
        <f>"DEXTER COURT DEXTER VILLAGE LOT 35"</f>
        <v>DEXTER COURT DEXTER VILLAGE LOT 35</v>
      </c>
      <c r="D13749" s="1">
        <v>101.39</v>
      </c>
    </row>
    <row r="13750" spans="1:4" x14ac:dyDescent="0.3">
      <c r="A13750" s="1" t="str">
        <f>"61016429200"</f>
        <v>61016429200</v>
      </c>
      <c r="B13750" s="1" t="str">
        <f>"WYATT DANIEL E TTEE"</f>
        <v>WYATT DANIEL E TTEE</v>
      </c>
      <c r="C13750" s="1" t="str">
        <f>"FIELDSTONE PLACE WORTHINGVIEW LOT 3"</f>
        <v>FIELDSTONE PLACE WORTHINGVIEW LOT 3</v>
      </c>
      <c r="D13750" s="1">
        <v>392.95</v>
      </c>
    </row>
    <row r="13751" spans="1:4" x14ac:dyDescent="0.3">
      <c r="A13751" s="1" t="str">
        <f>"01013394600"</f>
        <v>01013394600</v>
      </c>
      <c r="B13751" s="1" t="str">
        <f>"WYCKOFF JOHN A"</f>
        <v>WYCKOFF JOHN A</v>
      </c>
      <c r="C13751" s="1" t="str">
        <f>"WHITBY SQ N DEVONSHIRE 1 LOT 167"</f>
        <v>WHITBY SQ N DEVONSHIRE 1 LOT 167</v>
      </c>
      <c r="D13751" s="1">
        <v>90.49</v>
      </c>
    </row>
    <row r="13752" spans="1:4" x14ac:dyDescent="0.3">
      <c r="A13752" s="1" t="str">
        <f>"01012819600"</f>
        <v>01012819600</v>
      </c>
      <c r="B13752" s="1" t="str">
        <f>"WYKE MARY C TTEE"</f>
        <v>WYKE MARY C TTEE</v>
      </c>
      <c r="C13752" s="1" t="str">
        <f>"MANOLA DR BERWYN LOT 322"</f>
        <v>MANOLA DR BERWYN LOT 322</v>
      </c>
      <c r="D13752" s="1">
        <v>79.569999999999993</v>
      </c>
    </row>
    <row r="13753" spans="1:4" x14ac:dyDescent="0.3">
      <c r="A13753" s="1" t="str">
        <f>"17000066400"</f>
        <v>17000066400</v>
      </c>
      <c r="B13753" s="1" t="str">
        <f>"WYLES-BICKEL BETHANY A TR, BICKEL BRENT A TR"</f>
        <v>WYLES-BICKEL BETHANY A TR, BICKEL BRENT A TR</v>
      </c>
      <c r="C13753" s="1" t="str">
        <f>"WAGGONER RD 7.236 ACRES LOT 19-20"</f>
        <v>WAGGONER RD 7.236 ACRES LOT 19-20</v>
      </c>
      <c r="D13753" s="1">
        <v>1113.01</v>
      </c>
    </row>
    <row r="13754" spans="1:4" x14ac:dyDescent="0.3">
      <c r="A13754" s="1" t="str">
        <f>"01015076500"</f>
        <v>01015076500</v>
      </c>
      <c r="B13754" s="1" t="str">
        <f>"WYLIE DARRYL L, PINKERTON RICHARD W"</f>
        <v>WYLIE DARRYL L, PINKERTON RICHARD W</v>
      </c>
      <c r="C13754" s="1" t="str">
        <f>"TEAKWOOD DR FOREST PARK E SEC 8 LOT 861"</f>
        <v>TEAKWOOD DR FOREST PARK E SEC 8 LOT 861</v>
      </c>
      <c r="D13754" s="1">
        <v>2715.21</v>
      </c>
    </row>
    <row r="13755" spans="1:4" x14ac:dyDescent="0.3">
      <c r="A13755" s="1" t="str">
        <f>"59020502500"</f>
        <v>59020502500</v>
      </c>
      <c r="B13755" s="1" t="str">
        <f>"WYNER GARY L"</f>
        <v>WYNER GARY L</v>
      </c>
      <c r="C13755" s="1" t="str">
        <f>"TWEEDSMUIR LANE MISTY MEADOWS WEST SEC 2 LOT 75"</f>
        <v>TWEEDSMUIR LANE MISTY MEADOWS WEST SEC 2 LOT 75</v>
      </c>
      <c r="D13755" s="1">
        <v>2637.58</v>
      </c>
    </row>
    <row r="13756" spans="1:4" x14ac:dyDescent="0.3">
      <c r="A13756" s="1" t="str">
        <f>"18000263800"</f>
        <v>18000263800</v>
      </c>
      <c r="B13756" s="1" t="str">
        <f>"WYNKOOP AARON M"</f>
        <v>WYNKOOP AARON M</v>
      </c>
      <c r="C13756" s="1" t="str">
        <f>"TYLOR DR BLACKLICK ESTATES 2 247 "</f>
        <v xml:space="preserve">TYLOR DR BLACKLICK ESTATES 2 247 </v>
      </c>
      <c r="D13756" s="1">
        <v>4.82</v>
      </c>
    </row>
    <row r="13757" spans="1:4" x14ac:dyDescent="0.3">
      <c r="A13757" s="1" t="str">
        <f>"01010296100"</f>
        <v>01010296100</v>
      </c>
      <c r="B13757" s="1" t="str">
        <f>"WYNN KATHY MARIE, PHIPPS ERICK D"</f>
        <v>WYNN KATHY MARIE, PHIPPS ERICK D</v>
      </c>
      <c r="C13757" s="1" t="str">
        <f>"WOODLAND TERRACE LOT 7 "</f>
        <v xml:space="preserve">WOODLAND TERRACE LOT 7 </v>
      </c>
      <c r="D13757" s="1">
        <v>2514.73</v>
      </c>
    </row>
    <row r="13758" spans="1:4" x14ac:dyDescent="0.3">
      <c r="A13758" s="1" t="str">
        <f>"01030181600"</f>
        <v>01030181600</v>
      </c>
      <c r="B13758" s="1" t="str">
        <f>"WYNN ON WILSON LLC"</f>
        <v>WYNN ON WILSON LLC</v>
      </c>
      <c r="C13758" s="1" t="str">
        <f>"WYNN ON WILSON TOWNHOMES CONDOMINIUM UNIT 911 "</f>
        <v xml:space="preserve">WYNN ON WILSON TOWNHOMES CONDOMINIUM UNIT 911 </v>
      </c>
      <c r="D13758" s="1">
        <v>3060.94</v>
      </c>
    </row>
    <row r="13759" spans="1:4" x14ac:dyDescent="0.3">
      <c r="A13759" s="1" t="str">
        <f>"01030181700"</f>
        <v>01030181700</v>
      </c>
      <c r="B13759" s="1" t="str">
        <f>"WYNN ON WILSON LLC"</f>
        <v>WYNN ON WILSON LLC</v>
      </c>
      <c r="C13759" s="1" t="str">
        <f>"WYNN ON WILSON TOWNHOMES CONDOMINIUM UNIT 913 "</f>
        <v xml:space="preserve">WYNN ON WILSON TOWNHOMES CONDOMINIUM UNIT 913 </v>
      </c>
      <c r="D13759" s="1">
        <v>3060.94</v>
      </c>
    </row>
    <row r="13760" spans="1:4" x14ac:dyDescent="0.3">
      <c r="A13760" s="1" t="str">
        <f>"01030181800"</f>
        <v>01030181800</v>
      </c>
      <c r="B13760" s="1" t="str">
        <f>"WYNN ON WILSON LLC"</f>
        <v>WYNN ON WILSON LLC</v>
      </c>
      <c r="C13760" s="1" t="str">
        <f>"WYNN ON WILSON TOWNHOMES CONDOMINIUM UNIT 915 "</f>
        <v xml:space="preserve">WYNN ON WILSON TOWNHOMES CONDOMINIUM UNIT 915 </v>
      </c>
      <c r="D13760" s="1">
        <v>3261.65</v>
      </c>
    </row>
    <row r="13761" spans="1:4" x14ac:dyDescent="0.3">
      <c r="A13761" s="1" t="str">
        <f>"01013284400"</f>
        <v>01013284400</v>
      </c>
      <c r="B13761" s="1" t="str">
        <f>"XAYVONGSA KHAMMOUANE, XAYVONGSA KHAMKHENE"</f>
        <v>XAYVONGSA KHAMMOUANE, XAYVONGSA KHAMKHENE</v>
      </c>
      <c r="C13761" s="1" t="str">
        <f>"ELDORN DR. E. INNIS GARDENS 3 LOT 22"</f>
        <v>ELDORN DR. E. INNIS GARDENS 3 LOT 22</v>
      </c>
      <c r="D13761" s="1">
        <v>1264.42</v>
      </c>
    </row>
    <row r="13762" spans="1:4" x14ac:dyDescent="0.3">
      <c r="A13762" s="1" t="str">
        <f>"01012090900"</f>
        <v>01012090900</v>
      </c>
      <c r="B13762" s="1" t="str">
        <f>"XEL EQUITY LLC"</f>
        <v>XEL EQUITY LLC</v>
      </c>
      <c r="C13762" s="1" t="str">
        <f>"LEE ELLEN PLC HILLGATE 2 LOT 9"</f>
        <v>LEE ELLEN PLC HILLGATE 2 LOT 9</v>
      </c>
      <c r="D13762" s="1">
        <v>1352.15</v>
      </c>
    </row>
    <row r="13763" spans="1:4" x14ac:dyDescent="0.3">
      <c r="A13763" s="1" t="str">
        <f>"01000007600"</f>
        <v>01000007600</v>
      </c>
      <c r="B13763" s="1" t="str">
        <f>"XENIA MART LLC"</f>
        <v>XENIA MART LLC</v>
      </c>
      <c r="C13763" s="1" t="str">
        <f>"2092 SULLIVANT AVE O'BLENNES MUNSON SUB LOTS 4-9"</f>
        <v>2092 SULLIVANT AVE O'BLENNES MUNSON SUB LOTS 4-9</v>
      </c>
      <c r="D13763" s="1">
        <v>23815.94</v>
      </c>
    </row>
    <row r="13764" spans="1:4" x14ac:dyDescent="0.3">
      <c r="A13764" s="1" t="str">
        <f>"01004578000"</f>
        <v>01004578000</v>
      </c>
      <c r="B13764" s="1" t="str">
        <f>"XENIA MART LLC"</f>
        <v>XENIA MART LLC</v>
      </c>
      <c r="C13764" s="1" t="str">
        <f>"WHITETHORNE AVE MUNSON LOT 10"</f>
        <v>WHITETHORNE AVE MUNSON LOT 10</v>
      </c>
      <c r="D13764" s="1">
        <v>978.08</v>
      </c>
    </row>
    <row r="13765" spans="1:4" x14ac:dyDescent="0.3">
      <c r="A13765" s="1" t="str">
        <f>"01028728300"</f>
        <v>01028728300</v>
      </c>
      <c r="B13765" s="1" t="str">
        <f>"XIDAS ANTHONY, XIDAS PENNY"</f>
        <v>XIDAS ANTHONY, XIDAS PENNY</v>
      </c>
      <c r="C13765" s="1" t="str">
        <f>"BROADVIEW MEWS CONDOMINIUM BLDG 3 UNIT 1378"</f>
        <v>BROADVIEW MEWS CONDOMINIUM BLDG 3 UNIT 1378</v>
      </c>
      <c r="D13765" s="1">
        <v>291.7</v>
      </c>
    </row>
    <row r="13766" spans="1:4" x14ac:dyDescent="0.3">
      <c r="A13766" s="1" t="str">
        <f>"07001289300"</f>
        <v>07001289300</v>
      </c>
      <c r="B13766" s="1" t="str">
        <f>"XIE GUIYING"</f>
        <v>XIE GUIYING</v>
      </c>
      <c r="C13766" s="1" t="str">
        <f>"LONGEATON DR WESTMINSTER VILLAGE COND 3 UNIT 4533"</f>
        <v>LONGEATON DR WESTMINSTER VILLAGE COND 3 UNIT 4533</v>
      </c>
      <c r="D13766" s="1">
        <v>3305.6</v>
      </c>
    </row>
    <row r="13767" spans="1:4" x14ac:dyDescent="0.3">
      <c r="A13767" s="1" t="str">
        <f>"56019681400"</f>
        <v>56019681400</v>
      </c>
      <c r="B13767" s="1" t="str">
        <f>"XU LANG"</f>
        <v>XU LANG</v>
      </c>
      <c r="C13767" s="1" t="str">
        <f>"DINSMORE CASTLE DR THE GLEN NO 5 LOT 347"</f>
        <v>DINSMORE CASTLE DR THE GLEN NO 5 LOT 347</v>
      </c>
      <c r="D13767" s="1">
        <v>3318.13</v>
      </c>
    </row>
    <row r="13768" spans="1:4" x14ac:dyDescent="0.3">
      <c r="A13768" s="1" t="str">
        <f>"08000925400"</f>
        <v>08000925400</v>
      </c>
      <c r="B13768" s="1" t="str">
        <f>"XU SONGZHE"</f>
        <v>XU SONGZHE</v>
      </c>
      <c r="C13768" s="1" t="str">
        <f>"SCHROCK RD R17 T2 1/4T2 0.709 ACRE"</f>
        <v>SCHROCK RD R17 T2 1/4T2 0.709 ACRE</v>
      </c>
      <c r="D13768" s="1">
        <v>7542.87</v>
      </c>
    </row>
    <row r="13769" spans="1:4" x14ac:dyDescent="0.3">
      <c r="A13769" s="1" t="str">
        <f>"01007293100"</f>
        <v>01007293100</v>
      </c>
      <c r="B13769" s="1" t="str">
        <f>"Y &amp; R INVESTMENTS AND DEVELOPMENT"</f>
        <v>Y &amp; R INVESTMENTS AND DEVELOPMENT</v>
      </c>
      <c r="C13769" s="1" t="str">
        <f>"PONTIAC ST ALMADA LOT 399"</f>
        <v>PONTIAC ST ALMADA LOT 399</v>
      </c>
      <c r="D13769" s="1">
        <v>2353.1799999999998</v>
      </c>
    </row>
    <row r="13770" spans="1:4" x14ac:dyDescent="0.3">
      <c r="A13770" s="1" t="str">
        <f>"01008323500"</f>
        <v>01008323500</v>
      </c>
      <c r="B13770" s="1" t="str">
        <f>"Y &amp; R INVESTMENTS DEVELOPMENT"</f>
        <v>Y &amp; R INVESTMENTS DEVELOPMENT</v>
      </c>
      <c r="C13770" s="1" t="str">
        <f>"PONTIAC ST SUNNYSIDE LOT 72"</f>
        <v>PONTIAC ST SUNNYSIDE LOT 72</v>
      </c>
      <c r="D13770" s="1">
        <v>2475.4</v>
      </c>
    </row>
    <row r="13771" spans="1:4" x14ac:dyDescent="0.3">
      <c r="A13771" s="1" t="str">
        <f>"01008293700"</f>
        <v>01008293700</v>
      </c>
      <c r="B13771" s="1" t="str">
        <f>"Y &amp; R INVESTMENTS DEVELOPMENT INC"</f>
        <v>Y &amp; R INVESTMENTS DEVELOPMENT INC</v>
      </c>
      <c r="C13771" s="1" t="str">
        <f>"NORTHRIDGE RD EDGEMONT GDNS 2 LOT 298"</f>
        <v>NORTHRIDGE RD EDGEMONT GDNS 2 LOT 298</v>
      </c>
      <c r="D13771" s="1">
        <v>3102.82</v>
      </c>
    </row>
    <row r="13772" spans="1:4" x14ac:dyDescent="0.3">
      <c r="A13772" s="1" t="str">
        <f>"01009341000"</f>
        <v>01009341000</v>
      </c>
      <c r="B13772" s="1" t="str">
        <f>"Y &amp; R INVESTMENTS DEVELOPMENTS INC"</f>
        <v>Y &amp; R INVESTMENTS DEVELOPMENTS INC</v>
      </c>
      <c r="C13772" s="1" t="str">
        <f>"1229 WELDON AVE OAK PARK LOT 63"</f>
        <v>1229 WELDON AVE OAK PARK LOT 63</v>
      </c>
      <c r="D13772" s="1">
        <v>3038.64</v>
      </c>
    </row>
    <row r="13773" spans="1:4" x14ac:dyDescent="0.3">
      <c r="A13773" s="1" t="str">
        <f>"23000272100"</f>
        <v>23000272100</v>
      </c>
      <c r="B13773" s="1" t="str">
        <f>"Y ON MAIN LLC"</f>
        <v>Y ON MAIN LLC</v>
      </c>
      <c r="C13773" s="1" t="str">
        <f>"GEORGESVLE-HARRISBRG ENTRY 2596-2597 2.500 ACRES"</f>
        <v>GEORGESVLE-HARRISBRG ENTRY 2596-2597 2.500 ACRES</v>
      </c>
      <c r="D13773" s="1">
        <v>26.94</v>
      </c>
    </row>
    <row r="13774" spans="1:4" x14ac:dyDescent="0.3">
      <c r="A13774" s="1" t="str">
        <f>"09000199800"</f>
        <v>09000199800</v>
      </c>
      <c r="B13774" s="1" t="str">
        <f>"YAD BH HOLDING LLC"</f>
        <v>YAD BH HOLDING LLC</v>
      </c>
      <c r="C13774" s="1" t="str">
        <f>"4133 E MAIN ST JAEGER MANOR 95'W MID PT RES B"</f>
        <v>4133 E MAIN ST JAEGER MANOR 95'W MID PT RES B</v>
      </c>
      <c r="D13774" s="1">
        <v>11997.92</v>
      </c>
    </row>
    <row r="13775" spans="1:4" x14ac:dyDescent="0.3">
      <c r="A13775" s="1" t="str">
        <f>"01011369700"</f>
        <v>01011369700</v>
      </c>
      <c r="B13775" s="1" t="str">
        <f>"YADAICELA MANUEL JESUS"</f>
        <v>YADAICELA MANUEL JESUS</v>
      </c>
      <c r="C13775" s="1" t="str">
        <f>"KOEHLE RD OPPORTUNITY FARMS LOT 66"</f>
        <v>KOEHLE RD OPPORTUNITY FARMS LOT 66</v>
      </c>
      <c r="D13775" s="1">
        <v>1602.7</v>
      </c>
    </row>
    <row r="13776" spans="1:4" x14ac:dyDescent="0.3">
      <c r="A13776" s="1" t="str">
        <f>"01016347900"</f>
        <v>01016347900</v>
      </c>
      <c r="B13776" s="1" t="str">
        <f>"YAEGER JOSHUA A"</f>
        <v>YAEGER JOSHUA A</v>
      </c>
      <c r="C13776" s="1" t="str">
        <f>"ROCKWOOD COURT ROCKWOOD CT CONDO UNIT R-31"</f>
        <v>ROCKWOOD COURT ROCKWOOD CT CONDO UNIT R-31</v>
      </c>
      <c r="D13776" s="1">
        <v>1867.68</v>
      </c>
    </row>
    <row r="13777" spans="1:4" x14ac:dyDescent="0.3">
      <c r="A13777" s="1" t="str">
        <f>"01000024100"</f>
        <v>01000024100</v>
      </c>
      <c r="B13777" s="1" t="str">
        <f>"YALE HOMES LLC"</f>
        <v>YALE HOMES LLC</v>
      </c>
      <c r="C13777" s="1" t="str">
        <f>"89 N YALE AVE FRANKLIN 2ND LOT 58"</f>
        <v>89 N YALE AVE FRANKLIN 2ND LOT 58</v>
      </c>
      <c r="D13777" s="1">
        <v>2027.7</v>
      </c>
    </row>
    <row r="13778" spans="1:4" x14ac:dyDescent="0.3">
      <c r="A13778" s="1" t="str">
        <f>"01002623400"</f>
        <v>01002623400</v>
      </c>
      <c r="B13778" s="1" t="str">
        <f>"YALE HOMES LLC"</f>
        <v>YALE HOMES LLC</v>
      </c>
      <c r="C13778" s="1" t="str">
        <f>"632&amp;4REYNOLDS AVE ENGLEWOOD LOT 27"</f>
        <v>632&amp;4REYNOLDS AVE ENGLEWOOD LOT 27</v>
      </c>
      <c r="D13778" s="1">
        <v>2695.12</v>
      </c>
    </row>
    <row r="13779" spans="1:4" x14ac:dyDescent="0.3">
      <c r="A13779" s="1" t="str">
        <f>"01003437700"</f>
        <v>01003437700</v>
      </c>
      <c r="B13779" s="1" t="str">
        <f>"YALE HOMES LLC"</f>
        <v>YALE HOMES LLC</v>
      </c>
      <c r="C13779" s="1" t="str">
        <f>"BREHL AVE DOREN CENTRAL AVE LOT 140"</f>
        <v>BREHL AVE DOREN CENTRAL AVE LOT 140</v>
      </c>
      <c r="D13779" s="1">
        <v>360.53</v>
      </c>
    </row>
    <row r="13780" spans="1:4" x14ac:dyDescent="0.3">
      <c r="A13780" s="1" t="str">
        <f>"01001127000"</f>
        <v>01001127000</v>
      </c>
      <c r="B13780" s="1" t="str">
        <f>"YALE HOMES LLC"</f>
        <v>YALE HOMES LLC</v>
      </c>
      <c r="C13780" s="1" t="str">
        <f>"842 ST CLAIR AVE MILLER JOYCE &amp; GRAY ET AL LOT 435"</f>
        <v>842 ST CLAIR AVE MILLER JOYCE &amp; GRAY ET AL LOT 435</v>
      </c>
      <c r="D13780" s="1">
        <v>3005.2</v>
      </c>
    </row>
    <row r="13781" spans="1:4" x14ac:dyDescent="0.3">
      <c r="A13781" s="1" t="str">
        <f>"01002925200"</f>
        <v>01002925200</v>
      </c>
      <c r="B13781" s="1" t="str">
        <f>"YALE HOMES LLC"</f>
        <v>YALE HOMES LLC</v>
      </c>
      <c r="C13781" s="1" t="str">
        <f>"204 BREHL AVE DOREN CENTRAL AVE LOT 141"</f>
        <v>204 BREHL AVE DOREN CENTRAL AVE LOT 141</v>
      </c>
      <c r="D13781" s="1">
        <v>2322.91</v>
      </c>
    </row>
    <row r="13782" spans="1:4" x14ac:dyDescent="0.3">
      <c r="A13782" s="1" t="str">
        <f>"01002009100"</f>
        <v>01002009100</v>
      </c>
      <c r="B13782" s="1" t="str">
        <f>"YALE HOMES LLC"</f>
        <v>YALE HOMES LLC</v>
      </c>
      <c r="C13782" s="1" t="str">
        <f>"205-207 S BREHL AVE ALL LT 130&amp;S1/2 LT 129  LOT 130-129"</f>
        <v>205-207 S BREHL AVE ALL LT 130&amp;S1/2 LT 129  LOT 130-129</v>
      </c>
      <c r="D13782" s="1">
        <v>3802.68</v>
      </c>
    </row>
    <row r="13783" spans="1:4" x14ac:dyDescent="0.3">
      <c r="A13783" s="1" t="str">
        <f>"01000160500"</f>
        <v>01000160500</v>
      </c>
      <c r="B13783" s="1" t="str">
        <f>"YALE HOMES LLC"</f>
        <v>YALE HOMES LLC</v>
      </c>
      <c r="C13783" s="1" t="str">
        <f>"34 S PRINCETON WEST PARK ADDITION LOT 772"</f>
        <v>34 S PRINCETON WEST PARK ADDITION LOT 772</v>
      </c>
      <c r="D13783" s="1">
        <v>355.21</v>
      </c>
    </row>
    <row r="13784" spans="1:4" x14ac:dyDescent="0.3">
      <c r="A13784" s="1" t="str">
        <f>"01012997000"</f>
        <v>01012997000</v>
      </c>
      <c r="B13784" s="1" t="str">
        <f>"YANG THOMAS"</f>
        <v>YANG THOMAS</v>
      </c>
      <c r="C13784" s="1" t="str">
        <f>"HAZELWOOD RD FOREST PARK SUB LOT 29"</f>
        <v>HAZELWOOD RD FOREST PARK SUB LOT 29</v>
      </c>
      <c r="D13784" s="1">
        <v>3647.64</v>
      </c>
    </row>
    <row r="13785" spans="1:4" x14ac:dyDescent="0.3">
      <c r="A13785" s="1" t="str">
        <f>"01027543800"</f>
        <v>01027543800</v>
      </c>
      <c r="B13785" s="1" t="str">
        <f>"YANG VICTORIA M"</f>
        <v>YANG VICTORIA M</v>
      </c>
      <c r="C13785" s="1" t="str">
        <f>"5548 LITTLE FALLS DR      HAYDENS CROSSING          SECTION 2 PART 1 LOT 107 "</f>
        <v xml:space="preserve">5548 LITTLE FALLS DR      HAYDENS CROSSING          SECTION 2 PART 1 LOT 107 </v>
      </c>
      <c r="D13785" s="1">
        <v>2381.09</v>
      </c>
    </row>
    <row r="13786" spans="1:4" x14ac:dyDescent="0.3">
      <c r="A13786" s="1" t="str">
        <f>"09000014000"</f>
        <v>09000014000</v>
      </c>
      <c r="B13786" s="1" t="str">
        <f>"YANKEE REAL ESTATE LLC"</f>
        <v>YANKEE REAL ESTATE LLC</v>
      </c>
      <c r="C13786" s="1" t="str">
        <f>"HAMILTON RD               NORTON FIELD PLAT 1       LOT 24                   "</f>
        <v xml:space="preserve">HAMILTON RD               NORTON FIELD PLAT 1       LOT 24                   </v>
      </c>
      <c r="D13786" s="1">
        <v>1193.58</v>
      </c>
    </row>
    <row r="13787" spans="1:4" x14ac:dyDescent="0.3">
      <c r="A13787" s="1" t="str">
        <f>"09000257200"</f>
        <v>09000257200</v>
      </c>
      <c r="B13787" s="1" t="str">
        <f>"YANKEE REAL ESTATE LLC"</f>
        <v>YANKEE REAL ESTATE LLC</v>
      </c>
      <c r="C13787" s="1" t="str">
        <f>"4245 MAYFLOWER BLVD PINEWOOD LOT 106"</f>
        <v>4245 MAYFLOWER BLVD PINEWOOD LOT 106</v>
      </c>
      <c r="D13787" s="1">
        <v>1237.42</v>
      </c>
    </row>
    <row r="13788" spans="1:4" x14ac:dyDescent="0.3">
      <c r="A13788" s="1" t="str">
        <f>"01010039900"</f>
        <v>01010039900</v>
      </c>
      <c r="B13788" s="1" t="str">
        <f>"YANKEE REAL ESTATE LLC"</f>
        <v>YANKEE REAL ESTATE LLC</v>
      </c>
      <c r="C13788" s="1" t="str">
        <f>"MAETZEL DR SHADY LANE PARK LOT 347"</f>
        <v>MAETZEL DR SHADY LANE PARK LOT 347</v>
      </c>
      <c r="D13788" s="1">
        <v>1558.47</v>
      </c>
    </row>
    <row r="13789" spans="1:4" x14ac:dyDescent="0.3">
      <c r="A13789" s="1" t="str">
        <f>"09000398000"</f>
        <v>09000398000</v>
      </c>
      <c r="B13789" s="1" t="str">
        <f>"YANKEE REAL ESTATE LLC"</f>
        <v>YANKEE REAL ESTATE LLC</v>
      </c>
      <c r="C13789" s="1" t="str">
        <f>"600 PIERCE AVE GLENCOE LOT 184 "</f>
        <v xml:space="preserve">600 PIERCE AVE GLENCOE LOT 184 </v>
      </c>
      <c r="D13789" s="1">
        <v>1009.15</v>
      </c>
    </row>
    <row r="13790" spans="1:4" x14ac:dyDescent="0.3">
      <c r="A13790" s="1" t="str">
        <f>"01012437700"</f>
        <v>01012437700</v>
      </c>
      <c r="B13790" s="1" t="str">
        <f>"YANKEE REAL ESTATE LLC"</f>
        <v>YANKEE REAL ESTATE LLC</v>
      </c>
      <c r="C13790" s="1" t="str">
        <f>"4603 ELLERY DRIVE WALNUT VILLAGE 2 LOT 14 &amp; 0.0936 ACRE"</f>
        <v>4603 ELLERY DRIVE WALNUT VILLAGE 2 LOT 14 &amp; 0.0936 ACRE</v>
      </c>
      <c r="D13790" s="1">
        <v>2158.4499999999998</v>
      </c>
    </row>
    <row r="13791" spans="1:4" x14ac:dyDescent="0.3">
      <c r="A13791" s="1" t="str">
        <f>"01010162800"</f>
        <v>01010162800</v>
      </c>
      <c r="B13791" s="1" t="str">
        <f>"YANOVSKY IGOR A, YANOVSKY LANA K"</f>
        <v>YANOVSKY IGOR A, YANOVSKY LANA K</v>
      </c>
      <c r="C13791" s="1" t="str">
        <f>"WAKEFIELD CT WEST BERWICK HTS 2 LOT 271"</f>
        <v>WAKEFIELD CT WEST BERWICK HTS 2 LOT 271</v>
      </c>
      <c r="D13791" s="1">
        <v>190.74</v>
      </c>
    </row>
    <row r="13792" spans="1:4" x14ac:dyDescent="0.3">
      <c r="A13792" s="1" t="str">
        <f>"01014544100"</f>
        <v>01014544100</v>
      </c>
      <c r="B13792" s="1" t="str">
        <f>"YAO JIE LLC"</f>
        <v>YAO JIE LLC</v>
      </c>
      <c r="C13792" s="1" t="str">
        <f>"HIBBS DR SHEFFIELD LOT 128"</f>
        <v>HIBBS DR SHEFFIELD LOT 128</v>
      </c>
      <c r="D13792" s="1">
        <v>476.26</v>
      </c>
    </row>
    <row r="13793" spans="1:4" x14ac:dyDescent="0.3">
      <c r="A13793" s="1" t="str">
        <f>"18000264500"</f>
        <v>18000264500</v>
      </c>
      <c r="B13793" s="1" t="str">
        <f>"YARBOROUGH PAMELA"</f>
        <v>YARBOROUGH PAMELA</v>
      </c>
      <c r="C13793" s="1" t="str">
        <f>"TYLOR DR BLACKLICK ESTATES 2 LOT 254"</f>
        <v>TYLOR DR BLACKLICK ESTATES 2 LOT 254</v>
      </c>
      <c r="D13793" s="1">
        <v>1501.68</v>
      </c>
    </row>
    <row r="13794" spans="1:4" x14ac:dyDescent="0.3">
      <c r="A13794" s="1" t="str">
        <f>"17000505300"</f>
        <v>17000505300</v>
      </c>
      <c r="B13794" s="1" t="str">
        <f>"YARGER JONATHAN, NEITZEL RADHIKA"</f>
        <v>YARGER JONATHAN, NEITZEL RADHIKA</v>
      </c>
      <c r="C13794" s="1" t="str">
        <f>"HEADLEY FARMS SUBDIVISION LOT 5 "</f>
        <v xml:space="preserve">HEADLEY FARMS SUBDIVISION LOT 5 </v>
      </c>
      <c r="D13794" s="1">
        <v>3181.2</v>
      </c>
    </row>
    <row r="13795" spans="1:4" x14ac:dyDescent="0.3">
      <c r="A13795" s="1" t="str">
        <f>"15000094700"</f>
        <v>15000094700</v>
      </c>
      <c r="B13795" s="1" t="str">
        <f>"YARNELL FRANK DONALD, YARNELL HEATHER LYNN"</f>
        <v>YARNELL FRANK DONALD, YARNELL HEATHER LYNN</v>
      </c>
      <c r="C13795" s="1" t="str">
        <f>"4751 WOOD AVE WALNUT HTS 219-20 PT 218"</f>
        <v>4751 WOOD AVE WALNUT HTS 219-20 PT 218</v>
      </c>
      <c r="D13795" s="1">
        <v>1709.2</v>
      </c>
    </row>
    <row r="13796" spans="1:4" x14ac:dyDescent="0.3">
      <c r="A13796" s="1" t="str">
        <f>"61017253200"</f>
        <v>61017253200</v>
      </c>
      <c r="B13796" s="1" t="str">
        <f>"YARRINGTON JOHN T, YARRINGTON JANICE M"</f>
        <v>YARRINGTON JOHN T, YARRINGTON JANICE M</v>
      </c>
      <c r="C13796" s="1" t="str">
        <f>"MACGREGOR AVE OLENTANGY HIGHLANDS SEC 3 LOT 218"</f>
        <v>MACGREGOR AVE OLENTANGY HIGHLANDS SEC 3 LOT 218</v>
      </c>
      <c r="D13796" s="1">
        <v>312.56</v>
      </c>
    </row>
    <row r="13797" spans="1:4" x14ac:dyDescent="0.3">
      <c r="A13797" s="1" t="str">
        <f>"01005531000"</f>
        <v>01005531000</v>
      </c>
      <c r="B13797" s="1" t="str">
        <f>"YASHON TAHITIA"</f>
        <v>YASHON TAHITIA</v>
      </c>
      <c r="C13797" s="1" t="str">
        <f>"DREXEL PARK LOT 91 "</f>
        <v xml:space="preserve">DREXEL PARK LOT 91 </v>
      </c>
      <c r="D13797" s="1">
        <v>208.47</v>
      </c>
    </row>
    <row r="13798" spans="1:4" x14ac:dyDescent="0.3">
      <c r="A13798" s="1" t="str">
        <f>"01004449700"</f>
        <v>01004449700</v>
      </c>
      <c r="B13798" s="1" t="str">
        <f>"YASHON TAHITIA, WALTON MARCEDEZ"</f>
        <v>YASHON TAHITIA, WALTON MARCEDEZ</v>
      </c>
      <c r="C13798" s="1" t="str">
        <f>"1492 KINGRY ST SCHNEIDERS 12TH AVE LOT 16"</f>
        <v>1492 KINGRY ST SCHNEIDERS 12TH AVE LOT 16</v>
      </c>
      <c r="D13798" s="1">
        <v>5.96</v>
      </c>
    </row>
    <row r="13799" spans="1:4" x14ac:dyDescent="0.3">
      <c r="A13799" s="1" t="str">
        <f>"18500170000"</f>
        <v>18500170000</v>
      </c>
      <c r="B13799" s="1" t="str">
        <f>"YATAMA LLC"</f>
        <v>YATAMA LLC</v>
      </c>
      <c r="C13799" s="1" t="str">
        <f>"HOMER OHIO LN -RESUB HMLTN 33 IND PK PH1 PT RES A=4.423 ACRES"</f>
        <v>HOMER OHIO LN -RESUB HMLTN 33 IND PK PH1 PT RES A=4.423 ACRES</v>
      </c>
      <c r="D13799" s="1">
        <v>534.41999999999996</v>
      </c>
    </row>
    <row r="13800" spans="1:4" x14ac:dyDescent="0.3">
      <c r="A13800" s="1" t="str">
        <f>"01017735400"</f>
        <v>01017735400</v>
      </c>
      <c r="B13800" s="1" t="str">
        <f>"YATES CAROLYN J"</f>
        <v>YATES CAROLYN J</v>
      </c>
      <c r="C13800" s="1" t="str">
        <f>"HENDEREED VIL CONDO UNIT BLDG 1879 17 "</f>
        <v xml:space="preserve">HENDEREED VIL CONDO UNIT BLDG 1879 17 </v>
      </c>
      <c r="D13800" s="1">
        <v>1461.13</v>
      </c>
    </row>
    <row r="13801" spans="1:4" x14ac:dyDescent="0.3">
      <c r="A13801" s="1" t="str">
        <f>"56021460500"</f>
        <v>56021460500</v>
      </c>
      <c r="B13801" s="1" t="str">
        <f>"YATES JERRY TTEE, CLARK JASON TTEE, DODD DEREK TTEE"</f>
        <v>YATES JERRY TTEE, CLARK JASON TTEE, DODD DEREK TTEE</v>
      </c>
      <c r="C13801" s="1" t="str">
        <f>"TRABUE ROAD ENTRY 3316 2.19 ACRES"</f>
        <v>TRABUE ROAD ENTRY 3316 2.19 ACRES</v>
      </c>
      <c r="D13801" s="1">
        <v>2432.8200000000002</v>
      </c>
    </row>
    <row r="13802" spans="1:4" x14ac:dyDescent="0.3">
      <c r="A13802" s="1" t="str">
        <f>"01006450900"</f>
        <v>01006450900</v>
      </c>
      <c r="B13802" s="1" t="str">
        <f>"YEATER LESA LEE"</f>
        <v>YEATER LESA LEE</v>
      </c>
      <c r="C13802" s="1" t="str">
        <f>"130 GUERNSEY AVE BROADVIEW LOT 1 BLK 9"</f>
        <v>130 GUERNSEY AVE BROADVIEW LOT 1 BLK 9</v>
      </c>
      <c r="D13802" s="1">
        <v>4778.97</v>
      </c>
    </row>
    <row r="13803" spans="1:4" x14ac:dyDescent="0.3">
      <c r="A13803" s="1" t="str">
        <f>"01012969700"</f>
        <v>01012969700</v>
      </c>
      <c r="B13803" s="1" t="str">
        <f>"YEBOAH GLORIA"</f>
        <v>YEBOAH GLORIA</v>
      </c>
      <c r="C13803" s="1" t="str">
        <f>"BIXBY RD ACRES 9.597 R21 T12 S22 1-4S 37-38 SUB 8"</f>
        <v>BIXBY RD ACRES 9.597 R21 T12 S22 1-4S 37-38 SUB 8</v>
      </c>
      <c r="D13803" s="1">
        <v>8933.48</v>
      </c>
    </row>
    <row r="13804" spans="1:4" x14ac:dyDescent="0.3">
      <c r="A13804" s="1" t="str">
        <f>"05300036500"</f>
        <v>05300036500</v>
      </c>
      <c r="B13804" s="1" t="str">
        <f>"YEDLICK ANDREW C, YEDLICK LAUREN J"</f>
        <v>YEDLICK ANDREW C, YEDLICK LAUREN J</v>
      </c>
      <c r="C13804" s="1" t="str">
        <f>"HERITAGE PRESERVE SECTION 2 PHASE 4 LOT 299"</f>
        <v>HERITAGE PRESERVE SECTION 2 PHASE 4 LOT 299</v>
      </c>
      <c r="D13804" s="1">
        <v>600</v>
      </c>
    </row>
    <row r="13805" spans="1:4" x14ac:dyDescent="0.3">
      <c r="A13805" s="1" t="str">
        <f>"01019526400"</f>
        <v>01019526400</v>
      </c>
      <c r="B13805" s="1" t="str">
        <f>"YEE JIMMY W"</f>
        <v>YEE JIMMY W</v>
      </c>
      <c r="C13805" s="1" t="str">
        <f>"E BROAD ST PARK TOWERS CONDO UNIT 1406"</f>
        <v>E BROAD ST PARK TOWERS CONDO UNIT 1406</v>
      </c>
      <c r="D13805" s="1">
        <v>132.51</v>
      </c>
    </row>
    <row r="13806" spans="1:4" x14ac:dyDescent="0.3">
      <c r="A13806" s="1" t="str">
        <f>"01002668800"</f>
        <v>01002668800</v>
      </c>
      <c r="B13806" s="1" t="str">
        <f>"YEE WILMING F"</f>
        <v>YEE WILMING F</v>
      </c>
      <c r="C13806" s="1" t="str">
        <f>"77-79 WEST PACEMONT RIVERSIDE LOT 74"</f>
        <v>77-79 WEST PACEMONT RIVERSIDE LOT 74</v>
      </c>
      <c r="D13806" s="1">
        <v>593.82000000000005</v>
      </c>
    </row>
    <row r="13807" spans="1:4" x14ac:dyDescent="0.3">
      <c r="A13807" s="1" t="str">
        <f>"03000264400"</f>
        <v>03000264400</v>
      </c>
      <c r="B13807" s="1" t="str">
        <f>"YEGHIAZARYAN LUSINE G, PARROT PASCAL"</f>
        <v>YEGHIAZARYAN LUSINE G, PARROT PASCAL</v>
      </c>
      <c r="C13807" s="1" t="str">
        <f>"1000 URLIN AVE #601 SUMMIT CHASE CONDO UNIT 601"</f>
        <v>1000 URLIN AVE #601 SUMMIT CHASE CONDO UNIT 601</v>
      </c>
      <c r="D13807" s="1">
        <v>1915.54</v>
      </c>
    </row>
    <row r="13808" spans="1:4" x14ac:dyDescent="0.3">
      <c r="A13808" s="1" t="str">
        <f>"01018838800"</f>
        <v>01018838800</v>
      </c>
      <c r="B13808" s="1" t="str">
        <f>"YEGHIAZARYAN LUSINE G, PARROT PASCAL"</f>
        <v>YEGHIAZARYAN LUSINE G, PARROT PASCAL</v>
      </c>
      <c r="C13808" s="1" t="str">
        <f>"MERRIMAR CIR S HEARTHSTONE CONDO UNIT 1055-E BLDG 16"</f>
        <v>MERRIMAR CIR S HEARTHSTONE CONDO UNIT 1055-E BLDG 16</v>
      </c>
      <c r="D13808" s="1">
        <v>1059.3800000000001</v>
      </c>
    </row>
    <row r="13809" spans="1:4" x14ac:dyDescent="0.3">
      <c r="A13809" s="1" t="str">
        <f>"61017408100"</f>
        <v>61017408100</v>
      </c>
      <c r="B13809" s="1" t="str">
        <f>"YEH CHOW SUYUN TR, CHOW WEN-SHIUNG TR"</f>
        <v>YEH CHOW SUYUN TR, CHOW WEN-SHIUNG TR</v>
      </c>
      <c r="C13809" s="1" t="str">
        <f>"WOODMAN DR OLENTANGY HIGHLANDS SEC 5 PH 1   LOT 288"</f>
        <v>WOODMAN DR OLENTANGY HIGHLANDS SEC 5 PH 1   LOT 288</v>
      </c>
      <c r="D13809" s="1">
        <v>481.15</v>
      </c>
    </row>
    <row r="13810" spans="1:4" x14ac:dyDescent="0.3">
      <c r="A13810" s="1" t="str">
        <f>"01020787000"</f>
        <v>01020787000</v>
      </c>
      <c r="B13810" s="1" t="str">
        <f>"YEHASKUL DEBBIE"</f>
        <v>YEHASKUL DEBBIE</v>
      </c>
      <c r="C13810" s="1" t="str">
        <f>"RIVERWATCH TOWER CONDOMINIUM UNIT 625"</f>
        <v>RIVERWATCH TOWER CONDOMINIUM UNIT 625</v>
      </c>
      <c r="D13810" s="1">
        <v>2708.5</v>
      </c>
    </row>
    <row r="13811" spans="1:4" x14ac:dyDescent="0.3">
      <c r="A13811" s="1" t="str">
        <f>"01020798300"</f>
        <v>01020798300</v>
      </c>
      <c r="B13811" s="1" t="str">
        <f>"YEHSAKUL DEBBIE S, YEHSAKUL PHONGSAK D"</f>
        <v>YEHSAKUL DEBBIE S, YEHSAKUL PHONGSAK D</v>
      </c>
      <c r="C13811" s="1" t="str">
        <f>"RIVERWATCH TOWER CONDOMINIUM UNIT 1010"</f>
        <v>RIVERWATCH TOWER CONDOMINIUM UNIT 1010</v>
      </c>
      <c r="D13811" s="1">
        <v>2708.5</v>
      </c>
    </row>
    <row r="13812" spans="1:4" x14ac:dyDescent="0.3">
      <c r="A13812" s="1" t="str">
        <f>"01012296600"</f>
        <v>01012296600</v>
      </c>
      <c r="B13812" s="1" t="str">
        <f>"YEPREM ELIZABETH A, LEIDY ELIZABETH A"</f>
        <v>YEPREM ELIZABETH A, LEIDY ELIZABETH A</v>
      </c>
      <c r="C13812" s="1" t="str">
        <f>"SHANLEY DR CLINTON ESTATES 4 LOT 25"</f>
        <v>SHANLEY DR CLINTON ESTATES 4 LOT 25</v>
      </c>
      <c r="D13812" s="1">
        <v>3670.96</v>
      </c>
    </row>
    <row r="13813" spans="1:4" x14ac:dyDescent="0.3">
      <c r="A13813" s="1" t="str">
        <f>"01009964100"</f>
        <v>01009964100</v>
      </c>
      <c r="B13813" s="1" t="str">
        <f>"YETMAN JENNIFER, KIMBLE BRIAN"</f>
        <v>YETMAN JENNIFER, KIMBLE BRIAN</v>
      </c>
      <c r="C13813" s="1" t="str">
        <f>"CAROLWOOD AVE BEECHWOOD LOT 169"</f>
        <v>CAROLWOOD AVE BEECHWOOD LOT 169</v>
      </c>
      <c r="D13813" s="1">
        <v>1352.15</v>
      </c>
    </row>
    <row r="13814" spans="1:4" x14ac:dyDescent="0.3">
      <c r="A13814" s="1" t="str">
        <f>"01000496100"</f>
        <v>01000496100</v>
      </c>
      <c r="B13814" s="1" t="str">
        <f>"YEWNETU EMEBET"</f>
        <v>YEWNETU EMEBET</v>
      </c>
      <c r="C13814" s="1" t="str">
        <f>"1830 E RICH ST MARTIN &amp; STAGES SUB 33"</f>
        <v>1830 E RICH ST MARTIN &amp; STAGES SUB 33</v>
      </c>
      <c r="D13814" s="1">
        <v>3356.04</v>
      </c>
    </row>
    <row r="13815" spans="1:4" x14ac:dyDescent="0.3">
      <c r="A13815" s="1" t="str">
        <f>"01010601600"</f>
        <v>01010601600</v>
      </c>
      <c r="B13815" s="1" t="str">
        <f>"YIHDEGO ABRAHA M, MELESSE DEJU A"</f>
        <v>YIHDEGO ABRAHA M, MELESSE DEJU A</v>
      </c>
      <c r="C13815" s="1" t="str">
        <f>"BEATRICE DRIVE WILLIS PARK 2 LOT 536"</f>
        <v>BEATRICE DRIVE WILLIS PARK 2 LOT 536</v>
      </c>
      <c r="D13815" s="1">
        <v>1422.97</v>
      </c>
    </row>
    <row r="13816" spans="1:4" x14ac:dyDescent="0.3">
      <c r="A13816" s="1" t="str">
        <f>"01014460300"</f>
        <v>01014460300</v>
      </c>
      <c r="B13816" s="1" t="str">
        <f>"YING ZHU ROSEMARY, ZHIDE PAN DOUGLAS"</f>
        <v>YING ZHU ROSEMARY, ZHIDE PAN DOUGLAS</v>
      </c>
      <c r="C13816" s="1" t="str">
        <f>"SANDALWOOD PL FOREST PARK EAST SEC 1 LOT 2"</f>
        <v>SANDALWOOD PL FOREST PARK EAST SEC 1 LOT 2</v>
      </c>
      <c r="D13816" s="1">
        <v>2419.42</v>
      </c>
    </row>
    <row r="13817" spans="1:4" x14ac:dyDescent="0.3">
      <c r="A13817" s="1" t="str">
        <f>"01016382800"</f>
        <v>01016382800</v>
      </c>
      <c r="B13817" s="1" t="str">
        <f>"YINGLING BETTY J, LOGSDON ROBERT, POWERS INA, LOGSDON DAVID L, LOGSDON JAMES, LOGSDON WILLIAM E, GRAIN CATHERINE"</f>
        <v>YINGLING BETTY J, LOGSDON ROBERT, POWERS INA, LOGSDON DAVID L, LOGSDON JAMES, LOGSDON WILLIAM E, GRAIN CATHERINE</v>
      </c>
      <c r="C13817" s="1" t="str">
        <f>"COLONY HILL CONDOMINIUM SEC ONE BLDG 1 UNIT 1"</f>
        <v>COLONY HILL CONDOMINIUM SEC ONE BLDG 1 UNIT 1</v>
      </c>
      <c r="D13817" s="1">
        <v>2998.45</v>
      </c>
    </row>
    <row r="13818" spans="1:4" x14ac:dyDescent="0.3">
      <c r="A13818" s="1" t="str">
        <f>"08000235200"</f>
        <v>08000235200</v>
      </c>
      <c r="B13818" s="1" t="str">
        <f>"YINGLING HOLDINGS LLC"</f>
        <v>YINGLING HOLDINGS LLC</v>
      </c>
      <c r="C13818" s="1" t="str">
        <f>"ILLINOIS AVE HANBY HTS 90 "</f>
        <v xml:space="preserve">ILLINOIS AVE HANBY HTS 90 </v>
      </c>
      <c r="D13818" s="1">
        <v>266.60000000000002</v>
      </c>
    </row>
    <row r="13819" spans="1:4" x14ac:dyDescent="0.3">
      <c r="A13819" s="1" t="str">
        <f>"08000196700"</f>
        <v>08000196700</v>
      </c>
      <c r="B13819" s="1" t="str">
        <f>"YINGLING HOLDINGS LLC"</f>
        <v>YINGLING HOLDINGS LLC</v>
      </c>
      <c r="C13819" s="1" t="str">
        <f>"CHERRINGTON RD .275 ACRE LOT 4 "</f>
        <v xml:space="preserve">CHERRINGTON RD .275 ACRE LOT 4 </v>
      </c>
      <c r="D13819" s="1">
        <v>225.02</v>
      </c>
    </row>
    <row r="13820" spans="1:4" x14ac:dyDescent="0.3">
      <c r="A13820" s="1" t="str">
        <f>"01008808000"</f>
        <v>01008808000</v>
      </c>
      <c r="B13820" s="1" t="str">
        <f>"YISHAI VARDA"</f>
        <v>YISHAI VARDA</v>
      </c>
      <c r="C13820" s="1" t="str">
        <f>"COLLEGE AVE BERWICK LOT 1271-1270"</f>
        <v>COLLEGE AVE BERWICK LOT 1271-1270</v>
      </c>
      <c r="D13820" s="1">
        <v>106.65</v>
      </c>
    </row>
    <row r="13821" spans="1:4" x14ac:dyDescent="0.3">
      <c r="A13821" s="1" t="str">
        <f>"01021331600"</f>
        <v>01021331600</v>
      </c>
      <c r="B13821" s="1" t="str">
        <f>"YOAKUM JAMES A"</f>
        <v>YOAKUM JAMES A</v>
      </c>
      <c r="C13821" s="1" t="str">
        <f>"NORTHLAND SENIOR VILLAGE CONDO IV UNIT 214"</f>
        <v>NORTHLAND SENIOR VILLAGE CONDO IV UNIT 214</v>
      </c>
      <c r="D13821" s="1">
        <v>1123.1199999999999</v>
      </c>
    </row>
    <row r="13822" spans="1:4" x14ac:dyDescent="0.3">
      <c r="A13822" s="1" t="str">
        <f>"02000360300"</f>
        <v>02000360300</v>
      </c>
      <c r="B13822" s="1" t="str">
        <f>"YOCK ANGELA"</f>
        <v>YOCK ANGELA</v>
      </c>
      <c r="C13822" s="1" t="str">
        <f>"2240 BRYDEN RD PARK VIEW LOT 36"</f>
        <v>2240 BRYDEN RD PARK VIEW LOT 36</v>
      </c>
      <c r="D13822" s="1">
        <v>1967.36</v>
      </c>
    </row>
    <row r="13823" spans="1:4" x14ac:dyDescent="0.3">
      <c r="A13823" s="1" t="str">
        <f>"03000271300"</f>
        <v>03000271300</v>
      </c>
      <c r="B13823" s="1" t="str">
        <f>"YODER MIRIAM"</f>
        <v>YODER MIRIAM</v>
      </c>
      <c r="C13823" s="1" t="str">
        <f>"1000 URLIN AVE SUMMIT CHASE CONDO UNIT 1509"</f>
        <v>1000 URLIN AVE SUMMIT CHASE CONDO UNIT 1509</v>
      </c>
      <c r="D13823" s="1">
        <v>2046.97</v>
      </c>
    </row>
    <row r="13824" spans="1:4" x14ac:dyDescent="0.3">
      <c r="A13824" s="1" t="str">
        <f>"60021771700"</f>
        <v>60021771700</v>
      </c>
      <c r="B13824" s="1" t="str">
        <f>"YOGO JAJA V"</f>
        <v>YOGO JAJA V</v>
      </c>
      <c r="C13824" s="1" t="str">
        <f>"WHISPER CREEK DRIVE WESTERN CREEK PART 3 LOT 29"</f>
        <v>WHISPER CREEK DRIVE WESTERN CREEK PART 3 LOT 29</v>
      </c>
      <c r="D13824" s="1">
        <v>2351.34</v>
      </c>
    </row>
    <row r="13825" spans="1:4" x14ac:dyDescent="0.3">
      <c r="A13825" s="1" t="str">
        <f>"07000851200"</f>
        <v>07000851200</v>
      </c>
      <c r="B13825" s="1" t="str">
        <f>"YOHEY NORMA J, YOHEY WESLEY F"</f>
        <v>YOHEY NORMA J, YOHEY WESLEY F</v>
      </c>
      <c r="C13825" s="1" t="str">
        <f>"1465 NORTHAM RD WINDSOR PL EXT 1 100"</f>
        <v>1465 NORTHAM RD WINDSOR PL EXT 1 100</v>
      </c>
      <c r="D13825" s="1">
        <v>1182.6600000000001</v>
      </c>
    </row>
    <row r="13826" spans="1:4" x14ac:dyDescent="0.3">
      <c r="A13826" s="1" t="str">
        <f>"01004896800"</f>
        <v>01004896800</v>
      </c>
      <c r="B13826" s="1" t="str">
        <f>"YOKLEY HILARY TTEE"</f>
        <v>YOKLEY HILARY TTEE</v>
      </c>
      <c r="C13826" s="1" t="str">
        <f>"835 CITY PARK AVE E 1/2 OF N 1/2 JAEGER"</f>
        <v>835 CITY PARK AVE E 1/2 OF N 1/2 JAEGER</v>
      </c>
      <c r="D13826" s="1">
        <v>330.66</v>
      </c>
    </row>
    <row r="13827" spans="1:4" x14ac:dyDescent="0.3">
      <c r="A13827" s="1" t="str">
        <f>"04001207200"</f>
        <v>04001207200</v>
      </c>
      <c r="B13827" s="1" t="str">
        <f>"YORDE WILBUR H"</f>
        <v>YORDE WILBUR H</v>
      </c>
      <c r="C13827" s="1" t="str">
        <f>"FARMBROOK VILLAGE CONDOMINIUM (1ST AMD) UNIT 9-1912"</f>
        <v>FARMBROOK VILLAGE CONDOMINIUM (1ST AMD) UNIT 9-1912</v>
      </c>
      <c r="D13827" s="1">
        <v>165.95</v>
      </c>
    </row>
    <row r="13828" spans="1:4" x14ac:dyDescent="0.3">
      <c r="A13828" s="1" t="str">
        <f>"60020066700"</f>
        <v>60020066700</v>
      </c>
      <c r="B13828" s="1" t="str">
        <f>"YOST DANIEL R, YOST NANCY S"</f>
        <v>YOST DANIEL R, YOST NANCY S</v>
      </c>
      <c r="C13828" s="1" t="str">
        <f>"DELWIN CT PARKRIDGE VIL SEC 4 LOT 585"</f>
        <v>DELWIN CT PARKRIDGE VIL SEC 4 LOT 585</v>
      </c>
      <c r="D13828" s="1">
        <v>1272.3499999999999</v>
      </c>
    </row>
    <row r="13829" spans="1:4" x14ac:dyDescent="0.3">
      <c r="A13829" s="1" t="str">
        <f>"17000174100"</f>
        <v>17000174100</v>
      </c>
      <c r="B13829" s="1" t="str">
        <f>"YOST WILLIAM R, YOST PAMELA K"</f>
        <v>YOST WILLIAM R, YOST PAMELA K</v>
      </c>
      <c r="C13829" s="1" t="str">
        <f>"6229 WINDBROOK DR AMD WINDRUSH CREEK 2 LOT 63"</f>
        <v>6229 WINDBROOK DR AMD WINDRUSH CREEK 2 LOT 63</v>
      </c>
      <c r="D13829" s="1">
        <v>522.17999999999995</v>
      </c>
    </row>
    <row r="13830" spans="1:4" x14ac:dyDescent="0.3">
      <c r="A13830" s="1" t="str">
        <f>"07000787100"</f>
        <v>07000787100</v>
      </c>
      <c r="B13830" s="1" t="str">
        <f>"YOUNG ANTHONY P, LINKE K HAWLEY"</f>
        <v>YOUNG ANTHONY P, LINKE K HAWLEY</v>
      </c>
      <c r="C13830" s="1" t="str">
        <f>"3850 FAIRLINGTON DR RIVERSIDE PK EX 1 19 BLK 402"</f>
        <v>3850 FAIRLINGTON DR RIVERSIDE PK EX 1 19 BLK 402</v>
      </c>
      <c r="D13830" s="1">
        <v>615.01</v>
      </c>
    </row>
    <row r="13831" spans="1:4" x14ac:dyDescent="0.3">
      <c r="A13831" s="1" t="str">
        <f>"01024376300"</f>
        <v>01024376300</v>
      </c>
      <c r="B13831" s="1" t="str">
        <f>"YOUNG ARDELIA L"</f>
        <v>YOUNG ARDELIA L</v>
      </c>
      <c r="C13831" s="1" t="str">
        <f>"BLENDON PARK CONDOMINIUM 11TH AMD UNIT 108B"</f>
        <v>BLENDON PARK CONDOMINIUM 11TH AMD UNIT 108B</v>
      </c>
      <c r="D13831" s="1">
        <v>78.61</v>
      </c>
    </row>
    <row r="13832" spans="1:4" x14ac:dyDescent="0.3">
      <c r="A13832" s="1" t="str">
        <f>"01006820300"</f>
        <v>01006820300</v>
      </c>
      <c r="B13832" s="1" t="str">
        <f>"YOUNG CHRISTOPHER, YOUNG JENNIFER"</f>
        <v>YOUNG CHRISTOPHER, YOUNG JENNIFER</v>
      </c>
      <c r="C13832" s="1" t="str">
        <f>"628 WOODBURY AVE HILLTONIA ANX ALL LOT 11&amp;PT 10 BLK 17"</f>
        <v>628 WOODBURY AVE HILLTONIA ANX ALL LOT 11&amp;PT 10 BLK 17</v>
      </c>
      <c r="D13832" s="1">
        <v>2517.14</v>
      </c>
    </row>
    <row r="13833" spans="1:4" x14ac:dyDescent="0.3">
      <c r="A13833" s="1" t="str">
        <f>"01013357100"</f>
        <v>01013357100</v>
      </c>
      <c r="B13833" s="1" t="str">
        <f>"YOUNG FLOYD D"</f>
        <v>YOUNG FLOYD D</v>
      </c>
      <c r="C13833" s="1" t="str">
        <f>"YATES DR SOUTHFIELD 3 LOT 470"</f>
        <v>YATES DR SOUTHFIELD 3 LOT 470</v>
      </c>
      <c r="D13833" s="1">
        <v>2427.6999999999998</v>
      </c>
    </row>
    <row r="13834" spans="1:4" x14ac:dyDescent="0.3">
      <c r="A13834" s="1" t="str">
        <f>"16000003800"</f>
        <v>16000003800</v>
      </c>
      <c r="B13834" s="1" t="str">
        <f>"YOUNG MICHELLE J"</f>
        <v>YOUNG MICHELLE J</v>
      </c>
      <c r="C13834" s="1" t="str">
        <f>"7155 HOOVER RD ENTRY 1294 81.521 ACRES"</f>
        <v>7155 HOOVER RD ENTRY 1294 81.521 ACRES</v>
      </c>
      <c r="D13834" s="1">
        <v>5363.49</v>
      </c>
    </row>
    <row r="13835" spans="1:4" x14ac:dyDescent="0.3">
      <c r="A13835" s="1" t="str">
        <f>"01016711900"</f>
        <v>01016711900</v>
      </c>
      <c r="B13835" s="1" t="str">
        <f>"YOUNG STEPHIE"</f>
        <v>YOUNG STEPHIE</v>
      </c>
      <c r="C13835" s="1" t="str">
        <f>"HOLT AVE AMVET HOMESTD SUB 1 LOT 24 BLK C"</f>
        <v>HOLT AVE AMVET HOMESTD SUB 1 LOT 24 BLK C</v>
      </c>
      <c r="D13835" s="1">
        <v>2074.42</v>
      </c>
    </row>
    <row r="13836" spans="1:4" x14ac:dyDescent="0.3">
      <c r="A13836" s="1" t="str">
        <f>"57016313900"</f>
        <v>57016313900</v>
      </c>
      <c r="B13836" s="1" t="str">
        <f>"YOUNG STEVEN D, YOUNG HANNAH"</f>
        <v>YOUNG STEVEN D, YOUNG HANNAH</v>
      </c>
      <c r="C13836" s="1" t="str">
        <f>"OLD HICKORY DR CRESTWOOD ESTATES LOT 15"</f>
        <v>OLD HICKORY DR CRESTWOOD ESTATES LOT 15</v>
      </c>
      <c r="D13836" s="1">
        <v>2383.04</v>
      </c>
    </row>
    <row r="13837" spans="1:4" x14ac:dyDescent="0.3">
      <c r="A13837" s="1" t="str">
        <f>"01010293300"</f>
        <v>01010293300</v>
      </c>
      <c r="B13837" s="1" t="str">
        <f>"YOUNG TED F, YOUNG BARBARA M"</f>
        <v>YOUNG TED F, YOUNG BARBARA M</v>
      </c>
      <c r="C13837" s="1" t="str">
        <f>"ISLAND COURT THOMAS LANE LOT 75"</f>
        <v>ISLAND COURT THOMAS LANE LOT 75</v>
      </c>
      <c r="D13837" s="1">
        <v>2478</v>
      </c>
    </row>
    <row r="13838" spans="1:4" x14ac:dyDescent="0.3">
      <c r="A13838" s="1" t="str">
        <f>"01025352200"</f>
        <v>01025352200</v>
      </c>
      <c r="B13838" s="1" t="str">
        <f>"YOUNGBLOOD DONNA S, DASH JEFFREY T, SAMPSON MATTHEW F"</f>
        <v>YOUNGBLOOD DONNA S, DASH JEFFREY T, SAMPSON MATTHEW F</v>
      </c>
      <c r="C13838" s="1" t="str">
        <f>"LEGION LANE KINGSTON CROSSING SECTION 1 LOT 52"</f>
        <v>LEGION LANE KINGSTON CROSSING SECTION 1 LOT 52</v>
      </c>
      <c r="D13838" s="1">
        <v>2286.27</v>
      </c>
    </row>
    <row r="13839" spans="1:4" x14ac:dyDescent="0.3">
      <c r="A13839" s="1" t="str">
        <f>"15200231100"</f>
        <v>15200231100</v>
      </c>
      <c r="B13839" s="1" t="str">
        <f>"YOUNKIN RONALD P JR TR"</f>
        <v>YOUNKIN RONALD P JR TR</v>
      </c>
      <c r="C13839" s="1" t="str">
        <f>"S PARSONS AVE .71 ACRE R22 T4 S22"</f>
        <v>S PARSONS AVE .71 ACRE R22 T4 S22</v>
      </c>
      <c r="D13839" s="1">
        <v>67.31</v>
      </c>
    </row>
    <row r="13840" spans="1:4" x14ac:dyDescent="0.3">
      <c r="A13840" s="1" t="str">
        <f>"01009992300"</f>
        <v>01009992300</v>
      </c>
      <c r="B13840" s="1" t="str">
        <f>"YU CHACK YUNG, WU LAI CHU"</f>
        <v>YU CHACK YUNG, WU LAI CHU</v>
      </c>
      <c r="C13840" s="1" t="str">
        <f>"VARSITY AVE UNIVER CITY HOME LOT 135"</f>
        <v>VARSITY AVE UNIVER CITY HOME LOT 135</v>
      </c>
      <c r="D13840" s="1">
        <v>2098.1799999999998</v>
      </c>
    </row>
    <row r="13841" spans="1:4" x14ac:dyDescent="0.3">
      <c r="A13841" s="1" t="str">
        <f>"01012768500"</f>
        <v>01012768500</v>
      </c>
      <c r="B13841" s="1" t="str">
        <f>"YU MAO"</f>
        <v>YU MAO</v>
      </c>
      <c r="C13841" s="1" t="str">
        <f>"PINE HILLS LOT 327 "</f>
        <v xml:space="preserve">PINE HILLS LOT 327 </v>
      </c>
      <c r="D13841" s="1">
        <v>101.62</v>
      </c>
    </row>
    <row r="13842" spans="1:4" x14ac:dyDescent="0.3">
      <c r="A13842" s="1" t="str">
        <f>"01011179900"</f>
        <v>01011179900</v>
      </c>
      <c r="B13842" s="1" t="str">
        <f>"YU MAO"</f>
        <v>YU MAO</v>
      </c>
      <c r="C13842" s="1" t="str">
        <f>"INNIS AVE DELLBOURNE LOT 73"</f>
        <v>INNIS AVE DELLBOURNE LOT 73</v>
      </c>
      <c r="D13842" s="1">
        <v>122.3</v>
      </c>
    </row>
    <row r="13843" spans="1:4" x14ac:dyDescent="0.3">
      <c r="A13843" s="1" t="str">
        <f>"01010414700"</f>
        <v>01010414700</v>
      </c>
      <c r="B13843" s="1" t="str">
        <f>"YU MAO"</f>
        <v>YU MAO</v>
      </c>
      <c r="C13843" s="1" t="str">
        <f>"MILLER AVE LOCKBOURNE AVE LOT 48-49"</f>
        <v>MILLER AVE LOCKBOURNE AVE LOT 48-49</v>
      </c>
      <c r="D13843" s="1">
        <v>89.62</v>
      </c>
    </row>
    <row r="13844" spans="1:4" x14ac:dyDescent="0.3">
      <c r="A13844" s="1" t="str">
        <f>"01009947700"</f>
        <v>01009947700</v>
      </c>
      <c r="B13844" s="1" t="str">
        <f>"YU MAO"</f>
        <v>YU MAO</v>
      </c>
      <c r="C13844" s="1" t="str">
        <f>"BEECHWOOD RD BEECHWOOD LOT 5"</f>
        <v>BEECHWOOD RD BEECHWOOD LOT 5</v>
      </c>
      <c r="D13844" s="1">
        <v>120.37</v>
      </c>
    </row>
    <row r="13845" spans="1:4" x14ac:dyDescent="0.3">
      <c r="A13845" s="1" t="str">
        <f>"01016698900"</f>
        <v>01016698900</v>
      </c>
      <c r="B13845" s="1" t="str">
        <f>"YU MAO"</f>
        <v>YU MAO</v>
      </c>
      <c r="C13845" s="1" t="str">
        <f>"JERMAIN DRIVE AMVET HOMESTEAD 2 LOT 31 BLK O"</f>
        <v>JERMAIN DRIVE AMVET HOMESTEAD 2 LOT 31 BLK O</v>
      </c>
      <c r="D13845" s="1">
        <v>86.17</v>
      </c>
    </row>
    <row r="13846" spans="1:4" x14ac:dyDescent="0.3">
      <c r="A13846" s="1" t="str">
        <f>"01015010400"</f>
        <v>01015010400</v>
      </c>
      <c r="B13846" s="1" t="str">
        <f>"YU MAO"</f>
        <v>YU MAO</v>
      </c>
      <c r="C13846" s="1" t="str">
        <f>"ATCHESON ST WESLEY SAWYER ARMS LOT 72"</f>
        <v>ATCHESON ST WESLEY SAWYER ARMS LOT 72</v>
      </c>
      <c r="D13846" s="1">
        <v>86.81</v>
      </c>
    </row>
    <row r="13847" spans="1:4" x14ac:dyDescent="0.3">
      <c r="A13847" s="1" t="str">
        <f>"01029061000"</f>
        <v>01029061000</v>
      </c>
      <c r="B13847" s="1" t="str">
        <f>"YUNGFLEISCH FAYE LUCINDA"</f>
        <v>YUNGFLEISCH FAYE LUCINDA</v>
      </c>
      <c r="C13847" s="1" t="str">
        <f>"NORTHWEST ARMS CONDOMINIUM 1ST AMD UNIT 1803"</f>
        <v>NORTHWEST ARMS CONDOMINIUM 1ST AMD UNIT 1803</v>
      </c>
      <c r="D13847" s="1">
        <v>765.44</v>
      </c>
    </row>
    <row r="13848" spans="1:4" x14ac:dyDescent="0.3">
      <c r="A13848" s="1" t="str">
        <f>"01012230800"</f>
        <v>01012230800</v>
      </c>
      <c r="B13848" s="1" t="str">
        <f>"YUSEF AHMED A"</f>
        <v>YUSEF AHMED A</v>
      </c>
      <c r="C13848" s="1" t="str">
        <f>"4041 HALSEY PLACE GEORGIAN HTS 2 LOT 101 &amp; 10 IN 100"</f>
        <v>4041 HALSEY PLACE GEORGIAN HTS 2 LOT 101 &amp; 10 IN 100</v>
      </c>
      <c r="D13848" s="1">
        <v>2846.8</v>
      </c>
    </row>
    <row r="13849" spans="1:4" x14ac:dyDescent="0.3">
      <c r="A13849" s="1" t="str">
        <f>"01016347400"</f>
        <v>01016347400</v>
      </c>
      <c r="B13849" s="1" t="str">
        <f>"YUSSUF ABSHIR H"</f>
        <v>YUSSUF ABSHIR H</v>
      </c>
      <c r="C13849" s="1" t="str">
        <f>"ROCKWOOD COURT ROCKWOOD CT CONDO UNIT R-26"</f>
        <v>ROCKWOOD COURT ROCKWOOD CT CONDO UNIT R-26</v>
      </c>
      <c r="D13849" s="1">
        <v>92.96</v>
      </c>
    </row>
    <row r="13850" spans="1:4" x14ac:dyDescent="0.3">
      <c r="A13850" s="1" t="str">
        <f>"52028574000"</f>
        <v>52028574000</v>
      </c>
      <c r="B13850" s="1" t="str">
        <f>"YUSSUF SAHRA"</f>
        <v>YUSSUF SAHRA</v>
      </c>
      <c r="C13850" s="1" t="str">
        <f>"2789 ACARIE DRIVE TOWNE PARK SECTION 2 LOT 244"</f>
        <v>2789 ACARIE DRIVE TOWNE PARK SECTION 2 LOT 244</v>
      </c>
      <c r="D13850" s="1">
        <v>5193.46</v>
      </c>
    </row>
    <row r="13851" spans="1:4" x14ac:dyDescent="0.3">
      <c r="A13851" s="1" t="str">
        <f>"60018705800"</f>
        <v>60018705800</v>
      </c>
      <c r="B13851" s="1" t="str">
        <f>"YUSSUF SAHRA"</f>
        <v>YUSSUF SAHRA</v>
      </c>
      <c r="C13851" s="1" t="str">
        <f>"CRICKET PL THE CMN AT PARKRIDGE LOT 41"</f>
        <v>CRICKET PL THE CMN AT PARKRIDGE LOT 41</v>
      </c>
      <c r="D13851" s="1">
        <v>1739.91</v>
      </c>
    </row>
    <row r="13852" spans="1:4" x14ac:dyDescent="0.3">
      <c r="A13852" s="1" t="str">
        <f>"60014762500"</f>
        <v>60014762500</v>
      </c>
      <c r="B13852" s="1" t="str">
        <f>"YUSUF ABDI"</f>
        <v>YUSUF ABDI</v>
      </c>
      <c r="C13852" s="1" t="str">
        <f>"KILBOURNE AVE VILLA PARK PT LTS 53-54-55 &amp;RES&amp;VACSTS=.3005 AC"</f>
        <v>KILBOURNE AVE VILLA PARK PT LTS 53-54-55 &amp;RES&amp;VACSTS=.3005 AC</v>
      </c>
      <c r="D13852" s="1">
        <v>10968.33</v>
      </c>
    </row>
    <row r="13853" spans="1:4" x14ac:dyDescent="0.3">
      <c r="A13853" s="1" t="str">
        <f>"01002982600"</f>
        <v>01002982600</v>
      </c>
      <c r="B13853" s="1" t="str">
        <f>"YUSUF ABDILLAHI M"</f>
        <v>YUSUF ABDILLAHI M</v>
      </c>
      <c r="C13853" s="1" t="str">
        <f>"1776 BRYDEN RD ICKES &amp; LANE AMD &amp; FRANKLIN PK PL 47-46"</f>
        <v>1776 BRYDEN RD ICKES &amp; LANE AMD &amp; FRANKLIN PK PL 47-46</v>
      </c>
      <c r="D13853" s="1">
        <v>10020.709999999999</v>
      </c>
    </row>
    <row r="13854" spans="1:4" x14ac:dyDescent="0.3">
      <c r="A13854" s="1" t="str">
        <f>"01026644700"</f>
        <v>01026644700</v>
      </c>
      <c r="B13854" s="1" t="str">
        <f>"YUSUF ABDIRISAK AHMED, HASSAN SAHIA"</f>
        <v>YUSUF ABDIRISAK AHMED, HASSAN SAHIA</v>
      </c>
      <c r="C13854" s="1" t="str">
        <f>"VILLAGE AT EASTERN GLEN S-F CONDOMINIUM 7TH AMD UNIT DESIGNATION 16"</f>
        <v>VILLAGE AT EASTERN GLEN S-F CONDOMINIUM 7TH AMD UNIT DESIGNATION 16</v>
      </c>
      <c r="D13854" s="1">
        <v>1901.14</v>
      </c>
    </row>
    <row r="13855" spans="1:4" x14ac:dyDescent="0.3">
      <c r="A13855" s="1" t="str">
        <f>"05001007000"</f>
        <v>05001007000</v>
      </c>
      <c r="B13855" s="1" t="str">
        <f>"YUSUF ABDISAMAD"</f>
        <v>YUSUF ABDISAMAD</v>
      </c>
      <c r="C13855" s="1" t="str">
        <f>"THE VININGS CONDOMINIUM COMMUNITY 5TH AMD UNIT 5141"</f>
        <v>THE VININGS CONDOMINIUM COMMUNITY 5TH AMD UNIT 5141</v>
      </c>
      <c r="D13855" s="1">
        <v>6987.55</v>
      </c>
    </row>
    <row r="13856" spans="1:4" x14ac:dyDescent="0.3">
      <c r="A13856" s="1" t="str">
        <f>"01001932700"</f>
        <v>01001932700</v>
      </c>
      <c r="B13856" s="1" t="str">
        <f>"YUSUF ABDISAMAD"</f>
        <v>YUSUF ABDISAMAD</v>
      </c>
      <c r="C13856" s="1" t="str">
        <f>"E 6TH AVE CASSADYS 5TH AVE LOT 207"</f>
        <v>E 6TH AVE CASSADYS 5TH AVE LOT 207</v>
      </c>
      <c r="D13856" s="1">
        <v>2199.4299999999998</v>
      </c>
    </row>
    <row r="13857" spans="1:4" x14ac:dyDescent="0.3">
      <c r="A13857" s="1" t="str">
        <f>"01018192300"</f>
        <v>01018192300</v>
      </c>
      <c r="B13857" s="1" t="str">
        <f>"YUSUF AYAN AHMED, YUSUF AMINA AHMED"</f>
        <v>YUSUF AYAN AHMED, YUSUF AMINA AHMED</v>
      </c>
      <c r="C13857" s="1" t="str">
        <f>"CHELSEA PLACE CONDO BLDG 5 UNIT 26 "</f>
        <v xml:space="preserve">CHELSEA PLACE CONDO BLDG 5 UNIT 26 </v>
      </c>
      <c r="D13857" s="1">
        <v>1136.58</v>
      </c>
    </row>
    <row r="13858" spans="1:4" x14ac:dyDescent="0.3">
      <c r="A13858" s="1" t="str">
        <f>"24000686100"</f>
        <v>24000686100</v>
      </c>
      <c r="B13858" s="1" t="str">
        <f>"YUTZY KYLE R"</f>
        <v>YUTZY KYLE R</v>
      </c>
      <c r="C13858" s="1" t="str">
        <f>"8006 W BROAD ST ENTRY 6214 3.462 ACRES"</f>
        <v>8006 W BROAD ST ENTRY 6214 3.462 ACRES</v>
      </c>
      <c r="D13858" s="1">
        <v>4.16</v>
      </c>
    </row>
    <row r="13859" spans="1:4" x14ac:dyDescent="0.3">
      <c r="A13859" s="1" t="str">
        <f>"24000007000"</f>
        <v>24000007000</v>
      </c>
      <c r="B13859" s="1" t="str">
        <f>"YUTZY KYLE R"</f>
        <v>YUTZY KYLE R</v>
      </c>
      <c r="C13859" s="1" t="str">
        <f>"W BROAD ST 1.935 ACRES ENTRY 6214"</f>
        <v>W BROAD ST 1.935 ACRES ENTRY 6214</v>
      </c>
      <c r="D13859" s="1">
        <v>4.83</v>
      </c>
    </row>
    <row r="13860" spans="1:4" x14ac:dyDescent="0.3">
      <c r="A13860" s="1" t="str">
        <f>"24000685900"</f>
        <v>24000685900</v>
      </c>
      <c r="B13860" s="1" t="str">
        <f>"YUTZY KYLE R"</f>
        <v>YUTZY KYLE R</v>
      </c>
      <c r="C13860" s="1" t="str">
        <f>"W BROAD ST OQ 444 ENTRY 6214 33.5571 ACRES"</f>
        <v>W BROAD ST OQ 444 ENTRY 6214 33.5571 ACRES</v>
      </c>
      <c r="D13860" s="1">
        <v>68.760000000000005</v>
      </c>
    </row>
    <row r="13861" spans="1:4" x14ac:dyDescent="0.3">
      <c r="A13861" s="1" t="str">
        <f>"24000686000"</f>
        <v>24000686000</v>
      </c>
      <c r="B13861" s="1" t="str">
        <f>"YUTZY KYLE R"</f>
        <v>YUTZY KYLE R</v>
      </c>
      <c r="C13861" s="1" t="str">
        <f>"W BROAD ST ENTRY 6214 20.399 ACRES"</f>
        <v>W BROAD ST ENTRY 6214 20.399 ACRES</v>
      </c>
      <c r="D13861" s="1">
        <v>43.35</v>
      </c>
    </row>
    <row r="13862" spans="1:4" x14ac:dyDescent="0.3">
      <c r="A13862" s="1" t="str">
        <f>"56021079900"</f>
        <v>56021079900</v>
      </c>
      <c r="B13862" s="1" t="str">
        <f>"YYM HOSPITALITY LLC"</f>
        <v>YYM HOSPITALITY LLC</v>
      </c>
      <c r="C13862" s="1" t="str">
        <f>"MUDSOCK RD ENTRY 287 0.619 ACRE"</f>
        <v>MUDSOCK RD ENTRY 287 0.619 ACRE</v>
      </c>
      <c r="D13862" s="1">
        <v>2526.14</v>
      </c>
    </row>
    <row r="13863" spans="1:4" x14ac:dyDescent="0.3">
      <c r="A13863" s="1" t="str">
        <f>"01024696900"</f>
        <v>01024696900</v>
      </c>
      <c r="B13863" s="1" t="str">
        <f>"Z1 REALTY LLC"</f>
        <v>Z1 REALTY LLC</v>
      </c>
      <c r="C13863" s="1" t="str">
        <f>"GENDER PARK CONDOMINIUM 4TH AMD UNIT 20C"</f>
        <v>GENDER PARK CONDOMINIUM 4TH AMD UNIT 20C</v>
      </c>
      <c r="D13863" s="1">
        <v>1326.7</v>
      </c>
    </row>
    <row r="13864" spans="1:4" x14ac:dyDescent="0.3">
      <c r="A13864" s="1" t="str">
        <f>"57022256500"</f>
        <v>57022256500</v>
      </c>
      <c r="B13864" s="1" t="str">
        <f>"ZAAYER NICHOLAS K, CASTO SHELLIE D"</f>
        <v>ZAAYER NICHOLAS K, CASTO SHELLIE D</v>
      </c>
      <c r="C13864" s="1" t="str">
        <f>"0000 LANCIA LANE WESTCHESTER SEC3 PT2 LOT 48"</f>
        <v>0000 LANCIA LANE WESTCHESTER SEC3 PT2 LOT 48</v>
      </c>
      <c r="D13864" s="1">
        <v>148.69</v>
      </c>
    </row>
    <row r="13865" spans="1:4" x14ac:dyDescent="0.3">
      <c r="A13865" s="1" t="str">
        <f>"01010258000"</f>
        <v>01010258000</v>
      </c>
      <c r="B13865" s="1" t="str">
        <f>"ZABONIK LARRY, BERNAICHE TONI, ZABONIK FREDERICK E"</f>
        <v>ZABONIK LARRY, BERNAICHE TONI, ZABONIK FREDERICK E</v>
      </c>
      <c r="C13865" s="1" t="str">
        <f>"BEAUMONT LOT 340 "</f>
        <v xml:space="preserve">BEAUMONT LOT 340 </v>
      </c>
      <c r="D13865" s="1">
        <v>52.02</v>
      </c>
    </row>
    <row r="13866" spans="1:4" x14ac:dyDescent="0.3">
      <c r="A13866" s="1" t="str">
        <f>"01001815400"</f>
        <v>01001815400</v>
      </c>
      <c r="B13866" s="1" t="str">
        <f>"ZACHARIAH KENNETH D, ZACHARIAH ZELDA M"</f>
        <v>ZACHARIAH KENNETH D, ZACHARIAH ZELDA M</v>
      </c>
      <c r="C13866" s="1" t="str">
        <f>"107 BELVIDERE AVE 40 X 167 3-4 FT BELVIDERE AVE LOT 11"</f>
        <v>107 BELVIDERE AVE 40 X 167 3-4 FT BELVIDERE AVE LOT 11</v>
      </c>
      <c r="D13866" s="1">
        <v>31.54</v>
      </c>
    </row>
    <row r="13867" spans="1:4" x14ac:dyDescent="0.3">
      <c r="A13867" s="1" t="str">
        <f>"23000067800"</f>
        <v>23000067800</v>
      </c>
      <c r="B13867" s="1" t="str">
        <f>"ZAHEER IMRAN"</f>
        <v>ZAHEER IMRAN</v>
      </c>
      <c r="C13867" s="1" t="str">
        <f>"7163 HARRISBURG PK ENTRY 931 0.402 ACRE"</f>
        <v>7163 HARRISBURG PK ENTRY 931 0.402 ACRE</v>
      </c>
      <c r="D13867" s="1">
        <v>6017.62</v>
      </c>
    </row>
    <row r="13868" spans="1:4" x14ac:dyDescent="0.3">
      <c r="A13868" s="1" t="str">
        <f>"01003402500"</f>
        <v>01003402500</v>
      </c>
      <c r="B13868" s="1" t="str">
        <f>"ZAKS ENTERPRISE INC"</f>
        <v>ZAKS ENTERPRISE INC</v>
      </c>
      <c r="C13868" s="1" t="str">
        <f>"3275 SULLIVANT AVE MIRIAM     LOTS 4-6 &amp; 8'ES LOT 3 &amp; 42'WS LOT 7"</f>
        <v>3275 SULLIVANT AVE MIRIAM     LOTS 4-6 &amp; 8'ES LOT 3 &amp; 42'WS LOT 7</v>
      </c>
      <c r="D13868" s="1">
        <v>10954.46</v>
      </c>
    </row>
    <row r="13869" spans="1:4" x14ac:dyDescent="0.3">
      <c r="A13869" s="1" t="str">
        <f>"18000017900"</f>
        <v>18000017900</v>
      </c>
      <c r="B13869" s="1" t="str">
        <f>"ZALIPSKI DAVID, AVERY CHERYL"</f>
        <v>ZALIPSKI DAVID, AVERY CHERYL</v>
      </c>
      <c r="C13869" s="1" t="str">
        <f>"FLOYD DR EDGEWATER PARK PARCELS LOT 24"</f>
        <v>FLOYD DR EDGEWATER PARK PARCELS LOT 24</v>
      </c>
      <c r="D13869" s="1">
        <v>33.04</v>
      </c>
    </row>
    <row r="13870" spans="1:4" x14ac:dyDescent="0.3">
      <c r="A13870" s="1" t="str">
        <f>"57016981900"</f>
        <v>57016981900</v>
      </c>
      <c r="B13870" s="1" t="str">
        <f>"ZAMORA JENNY E"</f>
        <v>ZAMORA JENNY E</v>
      </c>
      <c r="C13870" s="1" t="str">
        <f>"WESTBURY VILLAGE CONDOMINIUM 4 UNIT 7-B"</f>
        <v>WESTBURY VILLAGE CONDOMINIUM 4 UNIT 7-B</v>
      </c>
      <c r="D13870" s="1">
        <v>1037.3900000000001</v>
      </c>
    </row>
    <row r="13871" spans="1:4" x14ac:dyDescent="0.3">
      <c r="A13871" s="1" t="str">
        <f>"09000407600"</f>
        <v>09000407600</v>
      </c>
      <c r="B13871" s="1" t="str">
        <f>"ZAMORA KARELI J JAIME"</f>
        <v>ZAMORA KARELI J JAIME</v>
      </c>
      <c r="C13871" s="1" t="str">
        <f>"746 ERICKSON AVE GLENCOE LOT 280 "</f>
        <v xml:space="preserve">746 ERICKSON AVE GLENCOE LOT 280 </v>
      </c>
      <c r="D13871" s="1">
        <v>191.82</v>
      </c>
    </row>
    <row r="13872" spans="1:4" x14ac:dyDescent="0.3">
      <c r="A13872" s="1" t="str">
        <f>"01008096300"</f>
        <v>01008096300</v>
      </c>
      <c r="B13872" s="1" t="str">
        <f>"ZAMORA NOHEMI M, RODRIGUEZ CRUZ DAVID"</f>
        <v>ZAMORA NOHEMI M, RODRIGUEZ CRUZ DAVID</v>
      </c>
      <c r="C13872" s="1" t="str">
        <f>"BERKELEY RD DRIVING PARK LOT 464"</f>
        <v>BERKELEY RD DRIVING PARK LOT 464</v>
      </c>
      <c r="D13872" s="1">
        <v>2584.75</v>
      </c>
    </row>
    <row r="13873" spans="1:4" x14ac:dyDescent="0.3">
      <c r="A13873" s="1" t="str">
        <f>"53017927700"</f>
        <v>53017927700</v>
      </c>
      <c r="B13873" s="1" t="str">
        <f>"ZAMORA REAL ESTATE PARTNERS LLC"</f>
        <v>ZAMORA REAL ESTATE PARTNERS LLC</v>
      </c>
      <c r="C13873" s="1" t="str">
        <f>"MILLRACE DR MADISON MILLS SEC 4 LOT 75"</f>
        <v>MILLRACE DR MADISON MILLS SEC 4 LOT 75</v>
      </c>
      <c r="D13873" s="1">
        <v>1510.66</v>
      </c>
    </row>
    <row r="13874" spans="1:4" x14ac:dyDescent="0.3">
      <c r="A13874" s="1" t="str">
        <f>"01003575300"</f>
        <v>01003575300</v>
      </c>
      <c r="B13874" s="1" t="str">
        <f>"ZAMORA REAL ESTATE PARTNERS LLC"</f>
        <v>ZAMORA REAL ESTATE PARTNERS LLC</v>
      </c>
      <c r="C13874" s="1" t="str">
        <f>"1075-77 ST CLAIR AVE PETERS LOT 5"</f>
        <v>1075-77 ST CLAIR AVE PETERS LOT 5</v>
      </c>
      <c r="D13874" s="1">
        <v>1648.19</v>
      </c>
    </row>
    <row r="13875" spans="1:4" x14ac:dyDescent="0.3">
      <c r="A13875" s="1" t="str">
        <f>"01001208100"</f>
        <v>01001208100</v>
      </c>
      <c r="B13875" s="1" t="str">
        <f>"ZANAIB LLC"</f>
        <v>ZANAIB LLC</v>
      </c>
      <c r="C13875" s="1" t="str">
        <f>"758 GRIGGS AVE SEE DUP FOR DESC RENICKS SUB L 13-14"</f>
        <v>758 GRIGGS AVE SEE DUP FOR DESC RENICKS SUB L 13-14</v>
      </c>
      <c r="D13875" s="1">
        <v>2735.99</v>
      </c>
    </row>
    <row r="13876" spans="1:4" x14ac:dyDescent="0.3">
      <c r="A13876" s="1" t="str">
        <f>"01009625300"</f>
        <v>01009625300</v>
      </c>
      <c r="B13876" s="1" t="str">
        <f>"ZANE PROPERTIES OF COLUMBUS LLC"</f>
        <v>ZANE PROPERTIES OF COLUMBUS LLC</v>
      </c>
      <c r="C13876" s="1" t="str">
        <f>"NW COR CLEVELAND &amp; 25TH AVES HOMESTEAD HTS 3 LOT 1"</f>
        <v>NW COR CLEVELAND &amp; 25TH AVES HOMESTEAD HTS 3 LOT 1</v>
      </c>
      <c r="D13876" s="1">
        <v>7265.42</v>
      </c>
    </row>
    <row r="13877" spans="1:4" x14ac:dyDescent="0.3">
      <c r="A13877" s="1" t="str">
        <f>"01021328300"</f>
        <v>01021328300</v>
      </c>
      <c r="B13877" s="1" t="str">
        <f>"ZANE PROPERTIES OF COLUMBUS LLC"</f>
        <v>ZANE PROPERTIES OF COLUMBUS LLC</v>
      </c>
      <c r="C13877" s="1" t="str">
        <f>"NORTHLAND SENIOR VILLAGE CONDO IV UNIT 112"</f>
        <v>NORTHLAND SENIOR VILLAGE CONDO IV UNIT 112</v>
      </c>
      <c r="D13877" s="1">
        <v>1334.28</v>
      </c>
    </row>
    <row r="13878" spans="1:4" x14ac:dyDescent="0.3">
      <c r="A13878" s="1" t="str">
        <f>"60015914900"</f>
        <v>60015914900</v>
      </c>
      <c r="B13878" s="1" t="str">
        <f>"ZANGUI YASSINE, JAOUCHEN LAILA"</f>
        <v>ZANGUI YASSINE, JAOUCHEN LAILA</v>
      </c>
      <c r="C13878" s="1" t="str">
        <f>"PARKRIDGE VIL SEC 3 BENNINGTON AV LOT 420"</f>
        <v>PARKRIDGE VIL SEC 3 BENNINGTON AV LOT 420</v>
      </c>
      <c r="D13878" s="1">
        <v>1167.69</v>
      </c>
    </row>
    <row r="13879" spans="1:4" x14ac:dyDescent="0.3">
      <c r="A13879" s="1" t="str">
        <f>"07000966500"</f>
        <v>07000966500</v>
      </c>
      <c r="B13879" s="1" t="str">
        <f>"ZANON SCOTT A, ZANON SUSAN H"</f>
        <v>ZANON SCOTT A, ZANON SUSAN H</v>
      </c>
      <c r="C13879" s="1" t="str">
        <f>"2926 PICKWICK DR BOWER ESTATES 24 "</f>
        <v xml:space="preserve">2926 PICKWICK DR BOWER ESTATES 24 </v>
      </c>
      <c r="D13879" s="1">
        <v>540.76</v>
      </c>
    </row>
    <row r="13880" spans="1:4" x14ac:dyDescent="0.3">
      <c r="A13880" s="1" t="str">
        <f>"01009517700"</f>
        <v>01009517700</v>
      </c>
      <c r="B13880" s="1" t="str">
        <f>"ZAPOR RICHARD A"</f>
        <v>ZAPOR RICHARD A</v>
      </c>
      <c r="C13880" s="1" t="str">
        <f>"HOWEY RD N GRASMERE AMD LOT 97"</f>
        <v>HOWEY RD N GRASMERE AMD LOT 97</v>
      </c>
      <c r="D13880" s="1">
        <v>629.16</v>
      </c>
    </row>
    <row r="13881" spans="1:4" x14ac:dyDescent="0.3">
      <c r="A13881" s="1" t="str">
        <f>"01015232100"</f>
        <v>01015232100</v>
      </c>
      <c r="B13881" s="1" t="str">
        <f>"ZAPPIA JOSEPH S, ZAPPIA CATHERINE M"</f>
        <v>ZAPPIA JOSEPH S, ZAPPIA CATHERINE M</v>
      </c>
      <c r="C13881" s="1" t="str">
        <f>"GRAYFAIRS LANE HYDE PARK PLAT 2 LOT 153"</f>
        <v>GRAYFAIRS LANE HYDE PARK PLAT 2 LOT 153</v>
      </c>
      <c r="D13881" s="1">
        <v>139.06</v>
      </c>
    </row>
    <row r="13882" spans="1:4" x14ac:dyDescent="0.3">
      <c r="A13882" s="1" t="str">
        <f>"08000551500"</f>
        <v>08000551500</v>
      </c>
      <c r="B13882" s="1" t="str">
        <f>"ZAPPIN JOHN R, ZAPPIN ERIN C"</f>
        <v>ZAPPIN JOHN R, ZAPPIN ERIN C</v>
      </c>
      <c r="C13882" s="1" t="str">
        <f>"7551 SUNBURY RD R17 T2 1/4T1 0.855 ACRE"</f>
        <v>7551 SUNBURY RD R17 T2 1/4T1 0.855 ACRE</v>
      </c>
      <c r="D13882" s="1">
        <v>471.1</v>
      </c>
    </row>
    <row r="13883" spans="1:4" x14ac:dyDescent="0.3">
      <c r="A13883" s="1" t="str">
        <f>"01010174800"</f>
        <v>01010174800</v>
      </c>
      <c r="B13883" s="1" t="str">
        <f>"ZARAGOZA MARIA E"</f>
        <v>ZARAGOZA MARIA E</v>
      </c>
      <c r="C13883" s="1" t="str">
        <f>"MARY AVE MIRIAM 2 LOT 6 BLK 6"</f>
        <v>MARY AVE MIRIAM 2 LOT 6 BLK 6</v>
      </c>
      <c r="D13883" s="1">
        <v>118.56</v>
      </c>
    </row>
    <row r="13884" spans="1:4" x14ac:dyDescent="0.3">
      <c r="A13884" s="1" t="str">
        <f>"01006092900"</f>
        <v>01006092900</v>
      </c>
      <c r="B13884" s="1" t="str">
        <f>"ZARATE CECILIA, ZARATE ALICIA"</f>
        <v>ZARATE CECILIA, ZARATE ALICIA</v>
      </c>
      <c r="C13884" s="1" t="str">
        <f>"KOHR PLC ALL355&amp;2.5 FT WS 356 INNIS CREST LOT 356-355"</f>
        <v>KOHR PLC ALL355&amp;2.5 FT WS 356 INNIS CREST LOT 356-355</v>
      </c>
      <c r="D13884" s="1">
        <v>1039.5</v>
      </c>
    </row>
    <row r="13885" spans="1:4" x14ac:dyDescent="0.3">
      <c r="A13885" s="1" t="str">
        <f>"01006537300"</f>
        <v>01006537300</v>
      </c>
      <c r="B13885" s="1" t="str">
        <f>"ZARATE CECILIA, ZARATE ALICIA RUBY"</f>
        <v>ZARATE CECILIA, ZARATE ALICIA RUBY</v>
      </c>
      <c r="C13885" s="1" t="str">
        <f>"EIGHT AVE CASSADYS 5TH AVE LOT 15"</f>
        <v>EIGHT AVE CASSADYS 5TH AVE LOT 15</v>
      </c>
      <c r="D13885" s="1">
        <v>403.54</v>
      </c>
    </row>
    <row r="13886" spans="1:4" x14ac:dyDescent="0.3">
      <c r="A13886" s="1" t="str">
        <f>"01016713100"</f>
        <v>01016713100</v>
      </c>
      <c r="B13886" s="1" t="str">
        <f>"ZARCONE STEPHEN S, ZARCONE KATTIA J"</f>
        <v>ZARCONE STEPHEN S, ZARCONE KATTIA J</v>
      </c>
      <c r="C13886" s="1" t="str">
        <f>"MEREDITH DR AMVET HOMESTD SUB 1 LOT 9 BLK D"</f>
        <v>MEREDITH DR AMVET HOMESTD SUB 1 LOT 9 BLK D</v>
      </c>
      <c r="D13886" s="1">
        <v>711.99</v>
      </c>
    </row>
    <row r="13887" spans="1:4" x14ac:dyDescent="0.3">
      <c r="A13887" s="1" t="str">
        <f>"01011110300"</f>
        <v>01011110300</v>
      </c>
      <c r="B13887" s="1" t="str">
        <f>"ZARIF NAYEM, ZARIF ABDUL"</f>
        <v>ZARIF NAYEM, ZARIF ABDUL</v>
      </c>
      <c r="C13887" s="1" t="str">
        <f>"JOYFUL ST ROSARY LOT 15-16 BLK 4"</f>
        <v>JOYFUL ST ROSARY LOT 15-16 BLK 4</v>
      </c>
      <c r="D13887" s="1">
        <v>3987.24</v>
      </c>
    </row>
    <row r="13888" spans="1:4" x14ac:dyDescent="0.3">
      <c r="A13888" s="1" t="str">
        <f>"01002275500"</f>
        <v>01002275500</v>
      </c>
      <c r="B13888" s="1" t="str">
        <f>"ZARIF NAYEM, ZARIF ABDUL"</f>
        <v>ZARIF NAYEM, ZARIF ABDUL</v>
      </c>
      <c r="C13888" s="1" t="str">
        <f>"UNION ST LINKE LOT 48"</f>
        <v>UNION ST LINKE LOT 48</v>
      </c>
      <c r="D13888" s="1">
        <v>2050.02</v>
      </c>
    </row>
    <row r="13889" spans="1:4" x14ac:dyDescent="0.3">
      <c r="A13889" s="1" t="str">
        <f>"01004844900"</f>
        <v>01004844900</v>
      </c>
      <c r="B13889" s="1" t="str">
        <f>"ZAVALA MENDEZ ENRIQUE"</f>
        <v>ZAVALA MENDEZ ENRIQUE</v>
      </c>
      <c r="C13889" s="1" t="str">
        <f>"JEFFERSON AVE DREXEL PK LOT 218"</f>
        <v>JEFFERSON AVE DREXEL PK LOT 218</v>
      </c>
      <c r="D13889" s="1">
        <v>768.44</v>
      </c>
    </row>
    <row r="13890" spans="1:4" x14ac:dyDescent="0.3">
      <c r="A13890" s="1" t="str">
        <f>"01000303400"</f>
        <v>01000303400</v>
      </c>
      <c r="B13890" s="1" t="str">
        <f>"ZAVALA MENDEZ ENRIQUE"</f>
        <v>ZAVALA MENDEZ ENRIQUE</v>
      </c>
      <c r="C13890" s="1" t="str">
        <f>"PETERS AVE S A SHOEMAKERS HRS LOT 199"</f>
        <v>PETERS AVE S A SHOEMAKERS HRS LOT 199</v>
      </c>
      <c r="D13890" s="1">
        <v>702.94</v>
      </c>
    </row>
    <row r="13891" spans="1:4" x14ac:dyDescent="0.3">
      <c r="A13891" s="1" t="str">
        <f>"60015018000"</f>
        <v>60015018000</v>
      </c>
      <c r="B13891" s="1" t="str">
        <f>"ZAYN LLC"</f>
        <v>ZAYN LLC</v>
      </c>
      <c r="C13891" s="1" t="str">
        <f>"WOODSTONE COURT PARKRIDGE VILLAGE SEC 2 LOT 268"</f>
        <v>WOODSTONE COURT PARKRIDGE VILLAGE SEC 2 LOT 268</v>
      </c>
      <c r="D13891" s="1">
        <v>5473.5</v>
      </c>
    </row>
    <row r="13892" spans="1:4" x14ac:dyDescent="0.3">
      <c r="A13892" s="1" t="str">
        <f>"53018400600"</f>
        <v>53018400600</v>
      </c>
      <c r="B13892" s="1" t="str">
        <f>"ZAYN LLC"</f>
        <v>ZAYN LLC</v>
      </c>
      <c r="C13892" s="1" t="str">
        <f>"BUCKWHEAT CT MADISON MILLS SEC 6 LOT 351"</f>
        <v>BUCKWHEAT CT MADISON MILLS SEC 6 LOT 351</v>
      </c>
      <c r="D13892" s="1">
        <v>3895.06</v>
      </c>
    </row>
    <row r="13893" spans="1:4" x14ac:dyDescent="0.3">
      <c r="A13893" s="1" t="str">
        <f>"24000399800"</f>
        <v>24000399800</v>
      </c>
      <c r="B13893" s="1" t="str">
        <f>"ZAYN LLC"</f>
        <v>ZAYN LLC</v>
      </c>
      <c r="C13893" s="1" t="str">
        <f>"MALDEN WAY LINCOLN VILLAGE LOT 858-859"</f>
        <v>MALDEN WAY LINCOLN VILLAGE LOT 858-859</v>
      </c>
      <c r="D13893" s="1">
        <v>3996.69</v>
      </c>
    </row>
    <row r="13894" spans="1:4" x14ac:dyDescent="0.3">
      <c r="A13894" s="1" t="str">
        <f>"08000505400"</f>
        <v>08000505400</v>
      </c>
      <c r="B13894" s="1" t="str">
        <f>"ZEGUNIS ANTHONY III, ZEGUNIS CHERYL C"</f>
        <v>ZEGUNIS ANTHONY III, ZEGUNIS CHERYL C</v>
      </c>
      <c r="C13894" s="1" t="str">
        <f>"GLADALE DRIVE SPRINGCREST ESTATES2 LOT 66 AMD"</f>
        <v>GLADALE DRIVE SPRINGCREST ESTATES2 LOT 66 AMD</v>
      </c>
      <c r="D13894" s="1">
        <v>3127.96</v>
      </c>
    </row>
    <row r="13895" spans="1:4" x14ac:dyDescent="0.3">
      <c r="A13895" s="1" t="str">
        <f>"22200437500"</f>
        <v>22200437500</v>
      </c>
      <c r="B13895" s="1" t="str">
        <f>"ZEIDMAN JOSHUA, ZEIDMAN JULIANN"</f>
        <v>ZEIDMAN JOSHUA, ZEIDMAN JULIANN</v>
      </c>
      <c r="C13895" s="1" t="str">
        <f>"NEW ALBANY COUNTRY CLUB SECT 24 LOT 10 "</f>
        <v xml:space="preserve">NEW ALBANY COUNTRY CLUB SECT 24 LOT 10 </v>
      </c>
      <c r="D13895" s="1">
        <v>1014.08</v>
      </c>
    </row>
    <row r="13896" spans="1:4" x14ac:dyDescent="0.3">
      <c r="A13896" s="1" t="str">
        <f>"01014861500"</f>
        <v>01014861500</v>
      </c>
      <c r="B13896" s="1" t="str">
        <f>"ZEIGLER ELIZABETH S, ZEIGLER ELIZABETH"</f>
        <v>ZEIGLER ELIZABETH S, ZEIGLER ELIZABETH</v>
      </c>
      <c r="C13896" s="1" t="str">
        <f>"PEEKSKILL DR BRITTANY HILLS LOT 85"</f>
        <v>PEEKSKILL DR BRITTANY HILLS LOT 85</v>
      </c>
      <c r="D13896" s="1">
        <v>269.95</v>
      </c>
    </row>
    <row r="13897" spans="1:4" x14ac:dyDescent="0.3">
      <c r="A13897" s="1" t="str">
        <f>"01007277800"</f>
        <v>01007277800</v>
      </c>
      <c r="B13897" s="1" t="str">
        <f>"ZEILER NICHOLAS"</f>
        <v>ZEILER NICHOLAS</v>
      </c>
      <c r="C13897" s="1" t="str">
        <f>"PONTIAC ST ALMADA LOT 353"</f>
        <v>PONTIAC ST ALMADA LOT 353</v>
      </c>
      <c r="D13897" s="1">
        <v>2466.5100000000002</v>
      </c>
    </row>
    <row r="13898" spans="1:4" x14ac:dyDescent="0.3">
      <c r="A13898" s="1" t="str">
        <f>"10000031900"</f>
        <v>10000031900</v>
      </c>
      <c r="B13898" s="1" t="str">
        <f>"ZELLER JOAN S"</f>
        <v>ZELLER JOAN S</v>
      </c>
      <c r="C13898" s="1" t="str">
        <f>"48 E SOUTH ST PT LOT 155 CITY OF WORTHINGTON"</f>
        <v>48 E SOUTH ST PT LOT 155 CITY OF WORTHINGTON</v>
      </c>
      <c r="D13898" s="1">
        <v>714.04</v>
      </c>
    </row>
    <row r="13899" spans="1:4" x14ac:dyDescent="0.3">
      <c r="A13899" s="1" t="str">
        <f>"01005939000"</f>
        <v>01005939000</v>
      </c>
      <c r="B13899" s="1" t="str">
        <f>"ZENISEK MICHAEL B"</f>
        <v>ZENISEK MICHAEL B</v>
      </c>
      <c r="C13899" s="1" t="str">
        <f>"1247 GENESEE AVE LINDEN LOT 817"</f>
        <v>1247 GENESEE AVE LINDEN LOT 817</v>
      </c>
      <c r="D13899" s="1">
        <v>1049.1199999999999</v>
      </c>
    </row>
    <row r="13900" spans="1:4" x14ac:dyDescent="0.3">
      <c r="A13900" s="1" t="str">
        <f>"01027506000"</f>
        <v>01027506000</v>
      </c>
      <c r="B13900" s="1" t="str">
        <f>"ZENNI BUCK LLC"</f>
        <v>ZENNI BUCK LLC</v>
      </c>
      <c r="C13900" s="1" t="str">
        <f>"VICTORIAN GATE            CONDOMINIUMS              UNIT 728 PARK            "</f>
        <v xml:space="preserve">VICTORIAN GATE            CONDOMINIUMS              UNIT 728 PARK            </v>
      </c>
      <c r="D13900" s="1">
        <v>361.68</v>
      </c>
    </row>
    <row r="13901" spans="1:4" x14ac:dyDescent="0.3">
      <c r="A13901" s="1" t="str">
        <f>"18600014500"</f>
        <v>18600014500</v>
      </c>
      <c r="B13901" s="1" t="str">
        <f>"ZENNI BUCK LLC"</f>
        <v>ZENNI BUCK LLC</v>
      </c>
      <c r="C13901" s="1" t="str">
        <f>"ALUM CREEK DR R21 T11 S18-17 9.680 ACRES"</f>
        <v>ALUM CREEK DR R21 T11 S18-17 9.680 ACRES</v>
      </c>
      <c r="D13901" s="1">
        <v>13335.85</v>
      </c>
    </row>
    <row r="13902" spans="1:4" x14ac:dyDescent="0.3">
      <c r="A13902" s="1" t="str">
        <f>"60015349600"</f>
        <v>60015349600</v>
      </c>
      <c r="B13902" s="1" t="str">
        <f>"ZEPEDA JUAN A"</f>
        <v>ZEPEDA JUAN A</v>
      </c>
      <c r="C13902" s="1" t="str">
        <f>"3223 PARKLANE AVE PARKRIDGE VILLAGE LOT 6-5"</f>
        <v>3223 PARKLANE AVE PARKRIDGE VILLAGE LOT 6-5</v>
      </c>
      <c r="D13902" s="1">
        <v>191.51</v>
      </c>
    </row>
    <row r="13903" spans="1:4" x14ac:dyDescent="0.3">
      <c r="A13903" s="1" t="str">
        <f>"01014285800"</f>
        <v>01014285800</v>
      </c>
      <c r="B13903" s="1" t="str">
        <f>"ZERKLE ROBERT A, ZERKLE AMY C"</f>
        <v>ZERKLE ROBERT A, ZERKLE AMY C</v>
      </c>
      <c r="C13903" s="1" t="str">
        <f>"3721 CHRISTIE ROAD SOUTHERN PINES SEC 5 LOT 391"</f>
        <v>3721 CHRISTIE ROAD SOUTHERN PINES SEC 5 LOT 391</v>
      </c>
      <c r="D13903" s="1">
        <v>2793.76</v>
      </c>
    </row>
    <row r="13904" spans="1:4" x14ac:dyDescent="0.3">
      <c r="A13904" s="1" t="str">
        <f>"01018330200"</f>
        <v>01018330200</v>
      </c>
      <c r="B13904" s="1" t="str">
        <f>"ZERNIS CHAD M"</f>
        <v>ZERNIS CHAD M</v>
      </c>
      <c r="C13904" s="1" t="str">
        <f>"SCOTLAND YARD CONDO UNIT 5932-B BLDG 11 "</f>
        <v xml:space="preserve">SCOTLAND YARD CONDO UNIT 5932-B BLDG 11 </v>
      </c>
      <c r="D13904" s="1">
        <v>674.56</v>
      </c>
    </row>
    <row r="13905" spans="1:4" x14ac:dyDescent="0.3">
      <c r="A13905" s="1" t="str">
        <f>"01020420500"</f>
        <v>01020420500</v>
      </c>
      <c r="B13905" s="1" t="str">
        <f>"ZETA REAL ESTATES LLC"</f>
        <v>ZETA REAL ESTATES LLC</v>
      </c>
      <c r="C13905" s="1" t="str">
        <f>"4920 REED ROAD HENDEREED EAST OFF CONDO PH 1 UNIT D"</f>
        <v>4920 REED ROAD HENDEREED EAST OFF CONDO PH 1 UNIT D</v>
      </c>
      <c r="D13905" s="1">
        <v>2800.41</v>
      </c>
    </row>
    <row r="13906" spans="1:4" x14ac:dyDescent="0.3">
      <c r="A13906" s="1" t="str">
        <f>"01018572200"</f>
        <v>01018572200</v>
      </c>
      <c r="B13906" s="1" t="str">
        <f>"ZHANG FAN"</f>
        <v>ZHANG FAN</v>
      </c>
      <c r="C13906" s="1" t="str">
        <f>"KENNY RD CHATHAM VILL CONDO UNIT 952 K BLDG 8"</f>
        <v>KENNY RD CHATHAM VILL CONDO UNIT 952 K BLDG 8</v>
      </c>
      <c r="D13906" s="1">
        <v>1957.79</v>
      </c>
    </row>
    <row r="13907" spans="1:4" x14ac:dyDescent="0.3">
      <c r="A13907" s="1" t="str">
        <f>"17000399500"</f>
        <v>17000399500</v>
      </c>
      <c r="B13907" s="1" t="str">
        <f>"ZHANG MENGYAO, WANG LEI"</f>
        <v>ZHANG MENGYAO, WANG LEI</v>
      </c>
      <c r="C13907" s="1" t="str">
        <f>"PARKWOOD PHASE 1 LOT 6 "</f>
        <v xml:space="preserve">PARKWOOD PHASE 1 LOT 6 </v>
      </c>
      <c r="D13907" s="1">
        <v>715.76</v>
      </c>
    </row>
    <row r="13908" spans="1:4" x14ac:dyDescent="0.3">
      <c r="A13908" s="1" t="str">
        <f>"01020960300"</f>
        <v>01020960300</v>
      </c>
      <c r="B13908" s="1" t="str">
        <f>"ZHANG MIN"</f>
        <v>ZHANG MIN</v>
      </c>
      <c r="C13908" s="1" t="str">
        <f>"MASON RUN COURT MASON VILLAGE CONDO UNIT 2455"</f>
        <v>MASON RUN COURT MASON VILLAGE CONDO UNIT 2455</v>
      </c>
      <c r="D13908" s="1">
        <v>1842.04</v>
      </c>
    </row>
    <row r="13909" spans="1:4" x14ac:dyDescent="0.3">
      <c r="A13909" s="1" t="str">
        <f>"56021247300"</f>
        <v>56021247300</v>
      </c>
      <c r="B13909" s="1" t="str">
        <f>"ZHANG XIANG"</f>
        <v>ZHANG XIANG</v>
      </c>
      <c r="C13909" s="1" t="str">
        <f>"CASPER AVE CROSS CREEK VILLAGE LOT 31"</f>
        <v>CASPER AVE CROSS CREEK VILLAGE LOT 31</v>
      </c>
      <c r="D13909" s="1">
        <v>3773.8</v>
      </c>
    </row>
    <row r="13910" spans="1:4" x14ac:dyDescent="0.3">
      <c r="A13910" s="1" t="str">
        <f>"22200354300"</f>
        <v>22200354300</v>
      </c>
      <c r="B13910" s="1" t="str">
        <f>"ZHENG SHUJIA, LUO MENGHUA"</f>
        <v>ZHENG SHUJIA, LUO MENGHUA</v>
      </c>
      <c r="C13910" s="1" t="str">
        <f>"7385 BRITTS BEND WEST NEW ALBANY LINKS SECTION 11 LOT 453"</f>
        <v>7385 BRITTS BEND WEST NEW ALBANY LINKS SECTION 11 LOT 453</v>
      </c>
      <c r="D13910" s="1">
        <v>430.53</v>
      </c>
    </row>
    <row r="13911" spans="1:4" x14ac:dyDescent="0.3">
      <c r="A13911" s="1" t="str">
        <f>"61027664500"</f>
        <v>61027664500</v>
      </c>
      <c r="B13911" s="1" t="str">
        <f>"ZHOU CHARLES C"</f>
        <v>ZHOU CHARLES C</v>
      </c>
      <c r="C13911" s="1" t="str">
        <f>"THE TRADITIONS AT POLARIS CONDOMINIUMS 2ND AMD UNIT G-77"</f>
        <v>THE TRADITIONS AT POLARIS CONDOMINIUMS 2ND AMD UNIT G-77</v>
      </c>
      <c r="D13911" s="1">
        <v>307.77999999999997</v>
      </c>
    </row>
    <row r="13912" spans="1:4" x14ac:dyDescent="0.3">
      <c r="A13912" s="1" t="str">
        <f>"01018561200"</f>
        <v>01018561200</v>
      </c>
      <c r="B13912" s="1" t="str">
        <f>"ZHU LIANG LIANG, YE BI YU"</f>
        <v>ZHU LIANG LIANG, YE BI YU</v>
      </c>
      <c r="C13912" s="1" t="str">
        <f>"DIERKER RD THE CUNARD VIL CONDO UNIT D  5194"</f>
        <v>DIERKER RD THE CUNARD VIL CONDO UNIT D  5194</v>
      </c>
      <c r="D13912" s="1">
        <v>1475.96</v>
      </c>
    </row>
    <row r="13913" spans="1:4" x14ac:dyDescent="0.3">
      <c r="A13913" s="1" t="str">
        <f>"07000666800"</f>
        <v>07000666800</v>
      </c>
      <c r="B13913" s="1" t="str">
        <f>"ZHU WEI, AN MIN"</f>
        <v>ZHU WEI, AN MIN</v>
      </c>
      <c r="C13913" s="1" t="str">
        <f>"SWANSEA RD &amp; PT AL VAC RIVER RIDGE 7 BLK 25"</f>
        <v>SWANSEA RD &amp; PT AL VAC RIVER RIDGE 7 BLK 25</v>
      </c>
      <c r="D13913" s="1">
        <v>393.9</v>
      </c>
    </row>
    <row r="13914" spans="1:4" x14ac:dyDescent="0.3">
      <c r="A13914" s="1" t="str">
        <f>"07000428800"</f>
        <v>07000428800</v>
      </c>
      <c r="B13914" s="1" t="str">
        <f>"ZIEG MICHAEL B, ZIEG DIANE H"</f>
        <v>ZIEG MICHAEL B, ZIEG DIANE H</v>
      </c>
      <c r="C13914" s="1" t="str">
        <f>"LEEDS RD CANTERBURY PL EXT 1 16 BLK 252"</f>
        <v>LEEDS RD CANTERBURY PL EXT 1 16 BLK 252</v>
      </c>
      <c r="D13914" s="1">
        <v>19056.169999999998</v>
      </c>
    </row>
    <row r="13915" spans="1:4" x14ac:dyDescent="0.3">
      <c r="A13915" s="1" t="str">
        <f>"01001107700"</f>
        <v>01001107700</v>
      </c>
      <c r="B13915" s="1" t="str">
        <f>"ZIEGLER CHARLES D"</f>
        <v>ZIEGLER CHARLES D</v>
      </c>
      <c r="C13915" s="1" t="str">
        <f>"HUDSON ST G WILLIAMS LOT 345"</f>
        <v>HUDSON ST G WILLIAMS LOT 345</v>
      </c>
      <c r="D13915" s="1">
        <v>71.94</v>
      </c>
    </row>
    <row r="13916" spans="1:4" x14ac:dyDescent="0.3">
      <c r="A13916" s="1" t="str">
        <f>"01003602100"</f>
        <v>01003602100</v>
      </c>
      <c r="B13916" s="1" t="str">
        <f>"ZIEGLER CHARLES D"</f>
        <v>ZIEGLER CHARLES D</v>
      </c>
      <c r="C13916" s="1" t="str">
        <f>"305 E HUDSON ST NORTHWOOD HTS LOT 346"</f>
        <v>305 E HUDSON ST NORTHWOOD HTS LOT 346</v>
      </c>
      <c r="D13916" s="1">
        <v>184.09</v>
      </c>
    </row>
    <row r="13917" spans="1:4" x14ac:dyDescent="0.3">
      <c r="A13917" s="1" t="str">
        <f>"02000195400"</f>
        <v>02000195400</v>
      </c>
      <c r="B13917" s="1" t="str">
        <f>"ZIEGLER MARC E"</f>
        <v>ZIEGLER MARC E</v>
      </c>
      <c r="C13917" s="1" t="str">
        <f>"718 GRANDON AVE LOT 134 EASTLAWN"</f>
        <v>718 GRANDON AVE LOT 134 EASTLAWN</v>
      </c>
      <c r="D13917" s="1">
        <v>315.02</v>
      </c>
    </row>
    <row r="13918" spans="1:4" x14ac:dyDescent="0.3">
      <c r="A13918" s="1" t="str">
        <f>"02000050600"</f>
        <v>02000050600</v>
      </c>
      <c r="B13918" s="1" t="str">
        <f>"ZIEGLER PROPERTY MANAGEMENT LLC"</f>
        <v>ZIEGLER PROPERTY MANAGEMENT LLC</v>
      </c>
      <c r="C13918" s="1" t="str">
        <f>"2674 COLUMBUS AVE BELLWOOD LOT 567"</f>
        <v>2674 COLUMBUS AVE BELLWOOD LOT 567</v>
      </c>
      <c r="D13918" s="1">
        <v>231.06</v>
      </c>
    </row>
    <row r="13919" spans="1:4" x14ac:dyDescent="0.3">
      <c r="A13919" s="1" t="str">
        <f>"01008515600"</f>
        <v>01008515600</v>
      </c>
      <c r="B13919" s="1" t="str">
        <f>"ZIG ZAG PROPERTIES LLC"</f>
        <v>ZIG ZAG PROPERTIES LLC</v>
      </c>
      <c r="C13919" s="1" t="str">
        <f>"E JEFFREY PLC ZOOLAND LOT 529"</f>
        <v>E JEFFREY PLC ZOOLAND LOT 529</v>
      </c>
      <c r="D13919" s="1">
        <v>218.14</v>
      </c>
    </row>
    <row r="13920" spans="1:4" x14ac:dyDescent="0.3">
      <c r="A13920" s="1" t="str">
        <f>"01002310700"</f>
        <v>01002310700</v>
      </c>
      <c r="B13920" s="1" t="str">
        <f>"ZIGLAR PRINCESS, ZIGLAR FERNE A, BROWN JONATHAN, ZIGLAR VINCENT J, ZIGLAR VIANE, MOORE CHRISTA A"</f>
        <v>ZIGLAR PRINCESS, ZIGLAR FERNE A, BROWN JONATHAN, ZIGLAR VINCENT J, ZIGLAR VIANE, MOORE CHRISTA A</v>
      </c>
      <c r="C13920" s="1" t="str">
        <f>"WOODLAND AVE WOODLAND AVE LOT 40"</f>
        <v>WOODLAND AVE WOODLAND AVE LOT 40</v>
      </c>
      <c r="D13920" s="1">
        <v>62.27</v>
      </c>
    </row>
    <row r="13921" spans="1:4" x14ac:dyDescent="0.3">
      <c r="A13921" s="1" t="str">
        <f>"01009295600"</f>
        <v>01009295600</v>
      </c>
      <c r="B13921" s="1" t="str">
        <f>"ZIKA REAL ESTATE E LLC"</f>
        <v>ZIKA REAL ESTATE E LLC</v>
      </c>
      <c r="C13921" s="1" t="str">
        <f>"NO ASHBURTON RD BROADLAND PLACE LOT 28"</f>
        <v>NO ASHBURTON RD BROADLAND PLACE LOT 28</v>
      </c>
      <c r="D13921" s="1">
        <v>3287.64</v>
      </c>
    </row>
    <row r="13922" spans="1:4" x14ac:dyDescent="0.3">
      <c r="A13922" s="1" t="str">
        <f>"01008898900"</f>
        <v>01008898900</v>
      </c>
      <c r="B13922" s="1" t="str">
        <f>"ZIKA REAL ESTATE E LLC"</f>
        <v>ZIKA REAL ESTATE E LLC</v>
      </c>
      <c r="C13922" s="1" t="str">
        <f>"ELIZAGETH AVE CALDWELLSMAIN ST LOT 99"</f>
        <v>ELIZAGETH AVE CALDWELLSMAIN ST LOT 99</v>
      </c>
      <c r="D13922" s="1">
        <v>3118.14</v>
      </c>
    </row>
    <row r="13923" spans="1:4" x14ac:dyDescent="0.3">
      <c r="A13923" s="1" t="str">
        <f>"01008983200"</f>
        <v>01008983200</v>
      </c>
      <c r="B13923" s="1" t="str">
        <f>"ZIKA REAL ESTATE E LLC"</f>
        <v>ZIKA REAL ESTATE E LLC</v>
      </c>
      <c r="C13923" s="1" t="str">
        <f>"N 1/2 LINCLN PK LOT 371"</f>
        <v>N 1/2 LINCLN PK LOT 371</v>
      </c>
      <c r="D13923" s="1">
        <v>308.47000000000003</v>
      </c>
    </row>
    <row r="13924" spans="1:4" x14ac:dyDescent="0.3">
      <c r="A13924" s="1" t="str">
        <f>"01008923300"</f>
        <v>01008923300</v>
      </c>
      <c r="B13924" s="1" t="str">
        <f>"ZIKA REAL ESTATE E LLC"</f>
        <v>ZIKA REAL ESTATE E LLC</v>
      </c>
      <c r="C13924" s="1" t="str">
        <f>"WEYANT AVE 406 LINCOLN PK LOT 370"</f>
        <v>WEYANT AVE 406 LINCOLN PK LOT 370</v>
      </c>
      <c r="D13924" s="1">
        <v>2886.26</v>
      </c>
    </row>
    <row r="13925" spans="1:4" x14ac:dyDescent="0.3">
      <c r="A13925" s="1" t="str">
        <f>"01004718400"</f>
        <v>01004718400</v>
      </c>
      <c r="B13925" s="1" t="str">
        <f>"ZIKA REAL ESTATE LLC"</f>
        <v>ZIKA REAL ESTATE LLC</v>
      </c>
      <c r="C13925" s="1" t="str">
        <f>"2166 N 4TH ST INDIANOLA SUMMIT LOT 4 BLK 20"</f>
        <v>2166 N 4TH ST INDIANOLA SUMMIT LOT 4 BLK 20</v>
      </c>
      <c r="D13925" s="1">
        <v>6377.47</v>
      </c>
    </row>
    <row r="13926" spans="1:4" x14ac:dyDescent="0.3">
      <c r="A13926" s="1" t="str">
        <f>"01009671200"</f>
        <v>01009671200</v>
      </c>
      <c r="B13926" s="1" t="str">
        <f>"ZIKA REAL ESTATE NE LLC"</f>
        <v>ZIKA REAL ESTATE NE LLC</v>
      </c>
      <c r="C13926" s="1" t="str">
        <f>"ONTARIO ST W H DAVIS LOT 154"</f>
        <v>ONTARIO ST W H DAVIS LOT 154</v>
      </c>
      <c r="D13926" s="1">
        <v>2505.02</v>
      </c>
    </row>
    <row r="13927" spans="1:4" x14ac:dyDescent="0.3">
      <c r="A13927" s="1" t="str">
        <f>"01006774500"</f>
        <v>01006774500</v>
      </c>
      <c r="B13927" s="1" t="str">
        <f>"ZIKA REAL ESTATE W LLC"</f>
        <v>ZIKA REAL ESTATE W LLC</v>
      </c>
      <c r="C13927" s="1" t="str">
        <f>"509 TOWNSEND AVE HILLTONIA LOT 95"</f>
        <v>509 TOWNSEND AVE HILLTONIA LOT 95</v>
      </c>
      <c r="D13927" s="1">
        <v>2244.21</v>
      </c>
    </row>
    <row r="13928" spans="1:4" x14ac:dyDescent="0.3">
      <c r="A13928" s="1" t="str">
        <f>"24000051500"</f>
        <v>24000051500</v>
      </c>
      <c r="B13928" s="1" t="str">
        <f>"ZIKA REAL ESTATE W LLC"</f>
        <v>ZIKA REAL ESTATE W LLC</v>
      </c>
      <c r="C13928" s="1" t="str">
        <f>"LAWRENCE AVE LITTLE FARMS 196 "</f>
        <v xml:space="preserve">LAWRENCE AVE LITTLE FARMS 196 </v>
      </c>
      <c r="D13928" s="1">
        <v>2838.28</v>
      </c>
    </row>
    <row r="13929" spans="1:4" x14ac:dyDescent="0.3">
      <c r="A13929" s="1" t="str">
        <f>"24000260200"</f>
        <v>24000260200</v>
      </c>
      <c r="B13929" s="1" t="str">
        <f>"ZIKA REAL ESTATE W LLC"</f>
        <v>ZIKA REAL ESTATE W LLC</v>
      </c>
      <c r="C13929" s="1" t="str">
        <f>"FERNHILL AVE ROME HTS LOT 50"</f>
        <v>FERNHILL AVE ROME HTS LOT 50</v>
      </c>
      <c r="D13929" s="1">
        <v>3979.52</v>
      </c>
    </row>
    <row r="13930" spans="1:4" x14ac:dyDescent="0.3">
      <c r="A13930" s="1" t="str">
        <f>"01004994900"</f>
        <v>01004994900</v>
      </c>
      <c r="B13930" s="1" t="str">
        <f>"ZIMMER SCOTT A, ZIMMER BRYNN M"</f>
        <v>ZIMMER SCOTT A, ZIMMER BRYNN M</v>
      </c>
      <c r="C13930" s="1" t="str">
        <f>"772 S 17TH ST SWAYNE LOT 242"</f>
        <v>772 S 17TH ST SWAYNE LOT 242</v>
      </c>
      <c r="D13930" s="1">
        <v>1500.06</v>
      </c>
    </row>
    <row r="13931" spans="1:4" x14ac:dyDescent="0.3">
      <c r="A13931" s="1" t="str">
        <f>"01004995000"</f>
        <v>01004995000</v>
      </c>
      <c r="B13931" s="1" t="str">
        <f>"ZIMMER SCOTT A, ZIMMER BRYNN M"</f>
        <v>ZIMMER SCOTT A, ZIMMER BRYNN M</v>
      </c>
      <c r="C13931" s="1" t="str">
        <f>"778S17TH ST SWAYNE LOT 243"</f>
        <v>778S17TH ST SWAYNE LOT 243</v>
      </c>
      <c r="D13931" s="1">
        <v>1922.37</v>
      </c>
    </row>
    <row r="13932" spans="1:4" x14ac:dyDescent="0.3">
      <c r="A13932" s="1" t="str">
        <f>"01008060900"</f>
        <v>01008060900</v>
      </c>
      <c r="B13932" s="1" t="str">
        <f>"ZIMMER SCOTT, ZIMMER BRYNN"</f>
        <v>ZIMMER SCOTT, ZIMMER BRYNN</v>
      </c>
      <c r="C13932" s="1" t="str">
        <f>"FOREST ST DRIVING PK LOT 110"</f>
        <v>FOREST ST DRIVING PK LOT 110</v>
      </c>
      <c r="D13932" s="1">
        <v>2236.0100000000002</v>
      </c>
    </row>
    <row r="13933" spans="1:4" x14ac:dyDescent="0.3">
      <c r="A13933" s="1" t="str">
        <f>"01003842500"</f>
        <v>01003842500</v>
      </c>
      <c r="B13933" s="1" t="str">
        <f>"ZIMMER SCOTT, ZIMMER BRYNN"</f>
        <v>ZIMMER SCOTT, ZIMMER BRYNN</v>
      </c>
      <c r="C13933" s="1" t="str">
        <f>"458 BECK ST DENHAM RANKIN &amp; STEWART LOT 1 &amp; 10'SE VAC AL"</f>
        <v>458 BECK ST DENHAM RANKIN &amp; STEWART LOT 1 &amp; 10'SE VAC AL</v>
      </c>
      <c r="D13933" s="1">
        <v>2661.42</v>
      </c>
    </row>
    <row r="13934" spans="1:4" x14ac:dyDescent="0.3">
      <c r="A13934" s="1" t="str">
        <f>"04000508200"</f>
        <v>04000508200</v>
      </c>
      <c r="B13934" s="1" t="str">
        <f>"ZIMMERMAN LISA M"</f>
        <v>ZIMMERMAN LISA M</v>
      </c>
      <c r="C13934" s="1" t="str">
        <f>"2525 DOLORES DRIVE BROOK PARK SECTION 2 LOT 14"</f>
        <v>2525 DOLORES DRIVE BROOK PARK SECTION 2 LOT 14</v>
      </c>
      <c r="D13934" s="1">
        <v>12565.33</v>
      </c>
    </row>
    <row r="13935" spans="1:4" x14ac:dyDescent="0.3">
      <c r="A13935" s="1" t="str">
        <f>"08000226400"</f>
        <v>08000226400</v>
      </c>
      <c r="B13935" s="1" t="str">
        <f>"ZIMMERMAN PHILLIP K, ZIMMERMAN JACQUELINE"</f>
        <v>ZIMMERMAN PHILLIP K, ZIMMERMAN JACQUELINE</v>
      </c>
      <c r="C13935" s="1" t="str">
        <f>"CHERRINGTON RD HANBY HTS 2 "</f>
        <v xml:space="preserve">CHERRINGTON RD HANBY HTS 2 </v>
      </c>
      <c r="D13935" s="1">
        <v>3035.26</v>
      </c>
    </row>
    <row r="13936" spans="1:4" x14ac:dyDescent="0.3">
      <c r="A13936" s="1" t="str">
        <f>"01011535600"</f>
        <v>01011535600</v>
      </c>
      <c r="B13936" s="1" t="str">
        <f>"ZIMMERMAN RONALD W JR, ZIMMERMAN DEBRA K"</f>
        <v>ZIMMERMAN RONALD W JR, ZIMMERMAN DEBRA K</v>
      </c>
      <c r="C13936" s="1" t="str">
        <f>"OAKWOOD AVE MASON- COOPER BUCKEYE LOT 50"</f>
        <v>OAKWOOD AVE MASON- COOPER BUCKEYE LOT 50</v>
      </c>
      <c r="D13936" s="1">
        <v>1631.96</v>
      </c>
    </row>
    <row r="13937" spans="1:4" x14ac:dyDescent="0.3">
      <c r="A13937" s="1" t="str">
        <f>"01014124900"</f>
        <v>01014124900</v>
      </c>
      <c r="B13937" s="1" t="str">
        <f>"ZIMMERMAN TODD R"</f>
        <v>ZIMMERMAN TODD R</v>
      </c>
      <c r="C13937" s="1" t="str">
        <f>"CRANWOOD SQ N DEVONSHIRE 5 SEC 8 LOT 523"</f>
        <v>CRANWOOD SQ N DEVONSHIRE 5 SEC 8 LOT 523</v>
      </c>
      <c r="D13937" s="1">
        <v>204.98</v>
      </c>
    </row>
    <row r="13938" spans="1:4" x14ac:dyDescent="0.3">
      <c r="A13938" s="1" t="str">
        <f>"02000131700"</f>
        <v>02000131700</v>
      </c>
      <c r="B13938" s="1" t="str">
        <f>"ZIMPFER LUCILE C CO-TR, RUSSELL ANN Z TR"</f>
        <v>ZIMPFER LUCILE C CO-TR, RUSSELL ANN Z TR</v>
      </c>
      <c r="C13938" s="1" t="str">
        <f>"2581 FAIR AVE LOT 53 BEXLEY PARK"</f>
        <v>2581 FAIR AVE LOT 53 BEXLEY PARK</v>
      </c>
      <c r="D13938" s="1">
        <v>330</v>
      </c>
    </row>
    <row r="13939" spans="1:4" x14ac:dyDescent="0.3">
      <c r="A13939" s="1" t="str">
        <f>"01005891900"</f>
        <v>01005891900</v>
      </c>
      <c r="B13939" s="1" t="str">
        <f>"ZINK GAIL C"</f>
        <v>ZINK GAIL C</v>
      </c>
      <c r="C13939" s="1" t="str">
        <f>"280 NORTHMOOR PL NORTHMOOR LOT 233"</f>
        <v>280 NORTHMOOR PL NORTHMOOR LOT 233</v>
      </c>
      <c r="D13939" s="1">
        <v>35.58</v>
      </c>
    </row>
    <row r="13940" spans="1:4" x14ac:dyDescent="0.3">
      <c r="A13940" s="1" t="str">
        <f>"01025496500"</f>
        <v>01025496500</v>
      </c>
      <c r="B13940" s="1" t="str">
        <f>"ZIOUZENKOVA OULIANA"</f>
        <v>ZIOUZENKOVA OULIANA</v>
      </c>
      <c r="C13940" s="1" t="str">
        <f>"1 MIRANOVA PL CONDO # 1505 "</f>
        <v xml:space="preserve">1 MIRANOVA PL CONDO # 1505 </v>
      </c>
      <c r="D13940" s="1">
        <v>486.52</v>
      </c>
    </row>
    <row r="13941" spans="1:4" x14ac:dyDescent="0.3">
      <c r="A13941" s="1" t="str">
        <f>"01027705700"</f>
        <v>01027705700</v>
      </c>
      <c r="B13941" s="1" t="str">
        <f>"ZIPF BELINDA P TR"</f>
        <v>ZIPF BELINDA P TR</v>
      </c>
      <c r="C13941" s="1" t="str">
        <f>"OLENTANGY POINT AND COVE CONDOMINIUM UNIT C-219"</f>
        <v>OLENTANGY POINT AND COVE CONDOMINIUM UNIT C-219</v>
      </c>
      <c r="D13941" s="1">
        <v>4016.29</v>
      </c>
    </row>
    <row r="13942" spans="1:4" x14ac:dyDescent="0.3">
      <c r="A13942" s="1" t="str">
        <f>"01020742900"</f>
        <v>01020742900</v>
      </c>
      <c r="B13942" s="1" t="str">
        <f>"ZITTER DIANA M"</f>
        <v>ZITTER DIANA M</v>
      </c>
      <c r="C13942" s="1" t="str">
        <f>"WATERFORD TOWER CONDOMINIUM UNIT 1801"</f>
        <v>WATERFORD TOWER CONDOMINIUM UNIT 1801</v>
      </c>
      <c r="D13942" s="1">
        <v>6425.02</v>
      </c>
    </row>
    <row r="13943" spans="1:4" x14ac:dyDescent="0.3">
      <c r="A13943" s="1" t="str">
        <f>"49023466400"</f>
        <v>49023466400</v>
      </c>
      <c r="B13943" s="1" t="str">
        <f>"ZIYADEH SHERI"</f>
        <v>ZIYADEH SHERI</v>
      </c>
      <c r="C13943" s="1" t="str">
        <f>"JENNYANN WAY WINCHESTER HIGHLANDS SEC 3 PT 1 LOT 193"</f>
        <v>JENNYANN WAY WINCHESTER HIGHLANDS SEC 3 PT 1 LOT 193</v>
      </c>
      <c r="D13943" s="1">
        <v>2349.8000000000002</v>
      </c>
    </row>
    <row r="13944" spans="1:4" x14ac:dyDescent="0.3">
      <c r="A13944" s="1" t="str">
        <f>"05000664300"</f>
        <v>05000664300</v>
      </c>
      <c r="B13944" s="1" t="str">
        <f>"ZODY DEAN A, ZODY LYNNETTE C"</f>
        <v>ZODY DEAN A, ZODY LYNNETTE C</v>
      </c>
      <c r="C13944" s="1" t="str">
        <f>"4200 DUBLIN RD ENTRY 1406 ACRES 1.672 TRACT 5 URP"</f>
        <v>4200 DUBLIN RD ENTRY 1406 ACRES 1.672 TRACT 5 URP</v>
      </c>
      <c r="D13944" s="1">
        <v>3740.18</v>
      </c>
    </row>
    <row r="13945" spans="1:4" x14ac:dyDescent="0.3">
      <c r="A13945" s="1" t="str">
        <f>"01008976900"</f>
        <v>01008976900</v>
      </c>
      <c r="B13945" s="1" t="str">
        <f>"ZOFAN ELYAHOU S TR"</f>
        <v>ZOFAN ELYAHOU S TR</v>
      </c>
      <c r="C13945" s="1" t="str">
        <f>"GOULD RD BROADLEIGH LOT 33-4"</f>
        <v>GOULD RD BROADLEIGH LOT 33-4</v>
      </c>
      <c r="D13945" s="1">
        <v>25.56</v>
      </c>
    </row>
    <row r="13946" spans="1:4" x14ac:dyDescent="0.3">
      <c r="A13946" s="1" t="str">
        <f>"01014308200"</f>
        <v>01014308200</v>
      </c>
      <c r="B13946" s="1" t="str">
        <f>"ZOVATH SUSAN R, RANK THOMAS E"</f>
        <v>ZOVATH SUSAN R, RANK THOMAS E</v>
      </c>
      <c r="C13946" s="1" t="str">
        <f>"5016-18 KINGSHILL DR WOODWARD PARK WEST LOT 140&amp;PT 139"</f>
        <v>5016-18 KINGSHILL DR WOODWARD PARK WEST LOT 140&amp;PT 139</v>
      </c>
      <c r="D13946" s="1">
        <v>2368.4899999999998</v>
      </c>
    </row>
    <row r="13947" spans="1:4" x14ac:dyDescent="0.3">
      <c r="A13947" s="1" t="str">
        <f>"09000754200"</f>
        <v>09000754200</v>
      </c>
      <c r="B13947" s="1" t="str">
        <f>"ZSCHACH MARYLOU TTEE"</f>
        <v>ZSCHACH MARYLOU TTEE</v>
      </c>
      <c r="C13947" s="1" t="str">
        <f>"3835 E WASHBURN ST ROBINWOOD PL AMD LOT 42"</f>
        <v>3835 E WASHBURN ST ROBINWOOD PL AMD LOT 42</v>
      </c>
      <c r="D13947" s="1">
        <v>1413.09</v>
      </c>
    </row>
    <row r="13948" spans="1:4" x14ac:dyDescent="0.3">
      <c r="A13948" s="1" t="str">
        <f>"56022792400"</f>
        <v>56022792400</v>
      </c>
      <c r="B13948" s="1" t="str">
        <f>"ZUNIGA GISELLE H O, ZUNIGA JACK"</f>
        <v>ZUNIGA GISELLE H O, ZUNIGA JACK</v>
      </c>
      <c r="C13948" s="1" t="str">
        <f>"RENMILL DRIVE WESTMILL LOT 8"</f>
        <v>RENMILL DRIVE WESTMILL LOT 8</v>
      </c>
      <c r="D13948" s="1">
        <v>6552.73</v>
      </c>
    </row>
    <row r="13949" spans="1:4" x14ac:dyDescent="0.3">
      <c r="A13949" s="1" t="str">
        <f>"01002848900"</f>
        <v>01002848900</v>
      </c>
      <c r="B13949" s="1" t="str">
        <f>"ZUNIGA JUAREZ ISRAEL, GARCIA ORTEGA CONCEPCION"</f>
        <v>ZUNIGA JUAREZ ISRAEL, GARCIA ORTEGA CONCEPCION</v>
      </c>
      <c r="C13949" s="1" t="str">
        <f>"939 CAMDEN AVE FAIRVIEW LOT 29"</f>
        <v>939 CAMDEN AVE FAIRVIEW LOT 29</v>
      </c>
      <c r="D13949" s="1">
        <v>94.48</v>
      </c>
    </row>
    <row r="13950" spans="1:4" x14ac:dyDescent="0.3">
      <c r="A13950" s="1" t="str">
        <f>"61020314200"</f>
        <v>61020314200</v>
      </c>
      <c r="B13950" s="1" t="str">
        <f>"ZUPAN LEO T, ZUPAN CATHERINE G"</f>
        <v>ZUPAN LEO T, ZUPAN CATHERINE G</v>
      </c>
      <c r="C13950" s="1" t="str">
        <f>"SANCTUARY COURT THE SANCTUARY SEC 2 LOT 41"</f>
        <v>SANCTUARY COURT THE SANCTUARY SEC 2 LOT 41</v>
      </c>
      <c r="D13950" s="1">
        <v>7851.9</v>
      </c>
    </row>
    <row r="13951" spans="1:4" x14ac:dyDescent="0.3">
      <c r="A13951" s="1" t="str">
        <f>"54526438400"</f>
        <v>54526438400</v>
      </c>
      <c r="B13951" s="1" t="str">
        <f>"ZUSMAN SVETLANA Y, ZUSMAN GEORGIY R"</f>
        <v>ZUSMAN SVETLANA Y, ZUSMAN GEORGIY R</v>
      </c>
      <c r="C13951" s="1" t="str">
        <f>"HILLTOP TRAIL DRIVE THE PRESERVE EAST SECTION 1 LOT 21"</f>
        <v>HILLTOP TRAIL DRIVE THE PRESERVE EAST SECTION 1 LOT 21</v>
      </c>
      <c r="D13951" s="1">
        <v>8991.68</v>
      </c>
    </row>
    <row r="13952" spans="1:4" x14ac:dyDescent="0.3">
      <c r="A13952" s="1" t="str">
        <f>"12000010500"</f>
        <v>12000010500</v>
      </c>
      <c r="B13952" s="1" t="str">
        <f>"ZWAYER JUTTA, ZWAYER TRACY L TTEE, ZWAYER II RICHARD L TTEE, OLSON GABRIELLE, MURPHY TERESA LEE TTEE, NAPIER LEESA, MARZLUF ANNE"</f>
        <v>ZWAYER JUTTA, ZWAYER TRACY L TTEE, ZWAYER II RICHARD L TTEE, OLSON GABRIELLE, MURPHY TERESA LEE TTEE, NAPIER LEESA, MARZLUF ANNE</v>
      </c>
      <c r="C13952" s="1" t="str">
        <f>"6751 ROBERTS ROAD O Q 200-967 ENTRY 6616-6637 130.32"</f>
        <v>6751 ROBERTS ROAD O Q 200-967 ENTRY 6616-6637 130.32</v>
      </c>
      <c r="D13952" s="1">
        <v>224.11</v>
      </c>
    </row>
    <row r="13953" spans="1:4" x14ac:dyDescent="0.3">
      <c r="A13953" s="1" t="str">
        <f>"53024991500"</f>
        <v>53024991500</v>
      </c>
      <c r="B13953" s="1" t="str">
        <f>"ZWEIFEL PATRICIA, RUSSELL BEVERLY, MORGAN JUDILEE, ZWEIFEL MICHAEL"</f>
        <v>ZWEIFEL PATRICIA, RUSSELL BEVERLY, MORGAN JUDILEE, ZWEIFEL MICHAEL</v>
      </c>
      <c r="C13953" s="1" t="str">
        <f>"WHIMSWILLOW DRIVE WILLIAMS CREEK SECTION 1 LOT 22"</f>
        <v>WHIMSWILLOW DRIVE WILLIAMS CREEK SECTION 1 LOT 22</v>
      </c>
      <c r="D13953" s="1">
        <v>2200.2399999999998</v>
      </c>
    </row>
    <row r="13954" spans="1:4" x14ac:dyDescent="0.3">
      <c r="A13954" s="1" t="str">
        <f>"17000477700"</f>
        <v>17000477700</v>
      </c>
      <c r="B13954" s="1" t="str">
        <f>"ZWELLING RACHEL C, ZWELLING ZACHARY J"</f>
        <v>ZWELLING RACHEL C, ZWELLING ZACHARY J</v>
      </c>
      <c r="C13954" s="1" t="str">
        <f>"FARMS AT JEFFERSON PHASE 7 LOT 249"</f>
        <v>FARMS AT JEFFERSON PHASE 7 LOT 249</v>
      </c>
      <c r="D13954" s="1">
        <v>419.29</v>
      </c>
    </row>
    <row r="13955" spans="1:4" x14ac:dyDescent="0.3">
      <c r="A13955" s="1" t="str">
        <f>"02000076600"</f>
        <v>02000076600</v>
      </c>
      <c r="B13955" s="1" t="str">
        <f>"ZWISSLER MICHAEL D"</f>
        <v>ZWISSLER MICHAEL D</v>
      </c>
      <c r="C13955" s="1" t="str">
        <f>"N COLUMBIA AVE BEXLEY HEIGHTS 17 FT N S LOT 35"</f>
        <v>N COLUMBIA AVE BEXLEY HEIGHTS 17 FT N S LOT 35</v>
      </c>
      <c r="D13955" s="1">
        <v>10.68</v>
      </c>
    </row>
    <row r="13956" spans="1:4" x14ac:dyDescent="0.3">
      <c r="A13956" s="1" t="str">
        <f>"02000167100"</f>
        <v>02000167100</v>
      </c>
      <c r="B13956" s="1" t="str">
        <f>"ZWISSLER MICHAEL D"</f>
        <v>ZWISSLER MICHAEL D</v>
      </c>
      <c r="C13956" s="1" t="str">
        <f>"550 N COLUMBIA AVE LOT 34 BEXLEY HTS"</f>
        <v>550 N COLUMBIA AVE LOT 34 BEXLEY HTS</v>
      </c>
      <c r="D13956" s="1">
        <v>650.22</v>
      </c>
    </row>
    <row r="13957" spans="1:4" x14ac:dyDescent="0.3">
      <c r="A13957" s="1" t="str">
        <f>"07000810700"</f>
        <v>07000810700</v>
      </c>
      <c r="B13957" s="1" t="str">
        <f>"ZYNGER DEBRA"</f>
        <v>ZYNGER DEBRA</v>
      </c>
      <c r="C13957" s="1" t="str">
        <f>"3839 WOODBRIDGE RD MANCHESTER PLACE 18 BLK 417"</f>
        <v>3839 WOODBRIDGE RD MANCHESTER PLACE 18 BLK 417</v>
      </c>
      <c r="D13957" s="1">
        <v>11622.02</v>
      </c>
    </row>
    <row r="13958" spans="1:4" x14ac:dyDescent="0.3">
      <c r="A13958" s="1" t="str">
        <f>"01027497200"</f>
        <v>01027497200</v>
      </c>
      <c r="B13958" s="1" t="str">
        <f>"ZYNGER DEBRA"</f>
        <v>ZYNGER DEBRA</v>
      </c>
      <c r="C13958" s="1" t="str">
        <f>"VICTORIAN GATE            CONDOMINIUMS              UNIT 36 VICTORIAN GATE WY"</f>
        <v>VICTORIAN GATE            CONDOMINIUMS              UNIT 36 VICTORIAN GATE WY</v>
      </c>
      <c r="D13958" s="1">
        <v>2259.41</v>
      </c>
    </row>
    <row r="13959" spans="1:4" x14ac:dyDescent="0.3">
      <c r="A13959" s="1" t="str">
        <f>"01027497300"</f>
        <v>01027497300</v>
      </c>
      <c r="B13959" s="1" t="str">
        <f>"ZYNGER DEBRA L"</f>
        <v>ZYNGER DEBRA L</v>
      </c>
      <c r="C13959" s="1" t="str">
        <f>"VICTORIAN GATE            CONDOMINIUMS              UNIT 37 LINCOLN          "</f>
        <v xml:space="preserve">VICTORIAN GATE            CONDOMINIUMS              UNIT 37 LINCOLN          </v>
      </c>
      <c r="D13959" s="1">
        <v>2259.41</v>
      </c>
    </row>
    <row r="13962" spans="1:4" x14ac:dyDescent="0.3">
      <c r="D13962" s="2"/>
    </row>
  </sheetData>
  <sortState xmlns:xlrd2="http://schemas.microsoft.com/office/spreadsheetml/2017/richdata2" ref="A2:D13964">
    <sortCondition ref="B2:B1396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RP_OH_ADVERTISINGLIST_1428809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Rager, Andrew T.</dc:creator>
  <cp:lastModifiedBy>Rager, Andrew T.</cp:lastModifiedBy>
  <dcterms:created xsi:type="dcterms:W3CDTF">2026-10-22T20:50:54Z</dcterms:created>
  <dcterms:modified xsi:type="dcterms:W3CDTF">2026-10-22T20:53:52Z</dcterms:modified>
</cp:coreProperties>
</file>